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епартамент капитального строительства и инвестиций\Отдел планирования и отчетности\ОПиО\АРМы\Пятилетка 2010-2013\Планы отчеты для Минэнерго\2020\Отчет 4 квартал\На отправку\"/>
    </mc:Choice>
  </mc:AlternateContent>
  <bookViews>
    <workbookView xWindow="0" yWindow="0" windowWidth="28770" windowHeight="11565"/>
  </bookViews>
  <sheets>
    <sheet name="10 Кв ф" sheetId="1" r:id="rId1"/>
  </sheets>
  <definedNames>
    <definedName name="_xlnm._FilterDatabase" localSheetId="0" hidden="1">'10 Кв ф'!$A$18:$T$628</definedName>
    <definedName name="Z_0166F564_6860_4A4D_BCAA_7E652E2AE38D_.wvu.FilterData" localSheetId="0" hidden="1">'10 Кв ф'!$A$18:$T$596</definedName>
    <definedName name="Z_06A3F353_51B3_4A72_AD0A_D70EC1B6E0CE_.wvu.FilterData" localSheetId="0" hidden="1">'10 Кв ф'!$A$19:$T$596</definedName>
    <definedName name="Z_0A56C8BB_F57D_4E95_9156_3312F9525C5E_.wvu.FilterData" localSheetId="0" hidden="1">'10 Кв ф'!$A$19:$T$596</definedName>
    <definedName name="Z_0D2A7B5C_0C40_4E6D_963D_52EC84514A68_.wvu.FilterData" localSheetId="0" hidden="1">'10 Кв ф'!$A$19:$T$596</definedName>
    <definedName name="Z_0D93C89F_D6DE_45E3_8D65_4852C654EFF1_.wvu.FilterData" localSheetId="0" hidden="1">'10 Кв ф'!$A$19:$T$628</definedName>
    <definedName name="Z_0D93C89F_D6DE_45E3_8D65_4852C654EFF1_.wvu.PrintArea" localSheetId="0" hidden="1">'10 Кв ф'!$A$1:$T$628</definedName>
    <definedName name="Z_1017E5F6_993F_45C9_9841_6CF924CF1200_.wvu.FilterData" localSheetId="0" hidden="1">'10 Кв ф'!$A$18:$T$596</definedName>
    <definedName name="Z_12DE1D8C_2E36_443D_8681_573806BBC37D_.wvu.FilterData" localSheetId="0" hidden="1">'10 Кв ф'!$A$18:$T$595</definedName>
    <definedName name="Z_1470A267_A675_4CA9_A66C_50B69FF85DA3_.wvu.FilterData" localSheetId="0" hidden="1">'10 Кв ф'!$A$18:$T$596</definedName>
    <definedName name="Z_17749444_678E_426F_BD89_F71E60B050A4_.wvu.FilterData" localSheetId="0" hidden="1">'10 Кв ф'!$A$18:$T$596</definedName>
    <definedName name="Z_1E4EBB30_6787_4635_A1AD_11437E13556E_.wvu.FilterData" localSheetId="0" hidden="1">'10 Кв ф'!$A$18:$T$596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ф'!$A$18:$T$596</definedName>
    <definedName name="Z_3D6FFAC9_26ED_4EAD_9DCA_78A482DA12FA_.wvu.FilterData" localSheetId="0" hidden="1">'10 Кв ф'!$A$18:$T$628</definedName>
    <definedName name="Z_3E520E1B_F34B_498F_8FF1_F06CA90FBFAA_.wvu.FilterData" localSheetId="0" hidden="1">'10 Кв ф'!$A$18:$T$595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ф'!$A$18:$T$628</definedName>
    <definedName name="Z_57B90536_E403_481F_B537_76A8A1190347_.wvu.FilterData" localSheetId="0" hidden="1">'10 Кв ф'!$A$18:$T$628</definedName>
    <definedName name="Z_57B90536_E403_481F_B537_76A8A1190347_.wvu.PrintArea" localSheetId="0" hidden="1">'10 Кв ф'!$A$1:$T$628</definedName>
    <definedName name="Z_584ABB53_32FF_4B7B_98BB_CA3B2584A02E_.wvu.FilterData" localSheetId="0" hidden="1">'10 Кв ф'!$A$18:$T$628</definedName>
    <definedName name="Z_58D64E48_2FAA_4C54_85F8_4917CD959A23_.wvu.FilterData" localSheetId="0" hidden="1">'10 Кв ф'!$A$19:$T$596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ф'!$A$18:$T$596</definedName>
    <definedName name="Z_655DFEB5_C371_40DD_82FC_2F6B360E2859_.wvu.FilterData" localSheetId="0" hidden="1">'10 Кв ф'!$A$18:$T$596</definedName>
    <definedName name="Z_66D403AB_EA89_4957_AA3A_9374DB17FF5F_.wvu.FilterData" localSheetId="0" hidden="1">'10 Кв ф'!$A$18:$T$596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ф'!$A$18:$T$596</definedName>
    <definedName name="Z_6F5C25E3_FA9C_4839_AF94_DEE882837079_.wvu.FilterData" localSheetId="0" hidden="1">'10 Кв ф'!$A$18:$T$596</definedName>
    <definedName name="Z_6FC8CDDA_2F22_43F0_A6F6_3C1F10ECFB0A_.wvu.FilterData" localSheetId="0" hidden="1">'10 Кв ф'!$A$18:$T$594</definedName>
    <definedName name="Z_71843E8E_FECF_48AE_A09C_6820DB9CAE0B_.wvu.FilterData" localSheetId="0" hidden="1">'10 Кв ф'!$A$18:$T$628</definedName>
    <definedName name="Z_7694D342_12FA_4800_9B2F_894DCECAE7B4_.wvu.FilterData" localSheetId="0" hidden="1">'10 Кв ф'!$A$18:$T$596</definedName>
    <definedName name="Z_84623340_CF58_4BC5_A988_3823C261B227_.wvu.FilterData" localSheetId="0" hidden="1">'10 Кв ф'!$A$18:$T$629</definedName>
    <definedName name="Z_84623340_CF58_4BC5_A988_3823C261B227_.wvu.PrintArea" localSheetId="0" hidden="1">'10 Кв ф'!$A$1:$T$628</definedName>
    <definedName name="Z_8B154DE0_53DB_4AF6_B1C2_32179B4E88BC_.wvu.FilterData" localSheetId="0" hidden="1">'10 Кв ф'!$A$18:$T$596</definedName>
    <definedName name="Z_8DFE875F_0C3F_4914_B6AA_FBE17C23D7D2_.wvu.FilterData" localSheetId="0" hidden="1">'10 Кв ф'!$A$19:$T$596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ф'!$A$18:$T$596</definedName>
    <definedName name="Z_A77A5C65_3B6D_434F_8258_50CC036FD700_.wvu.FilterData" localSheetId="0" hidden="1">'10 Кв ф'!$A$18:$T$628</definedName>
    <definedName name="Z_AC71B388_5FE0_4A9D_8A8E_E18D1F00B0E3_.wvu.FilterData" localSheetId="0" hidden="1">'10 Кв ф'!$A$18:$T$596</definedName>
    <definedName name="Z_C15C57B9_037F_4445_B888_4EC853978147_.wvu.FilterData" localSheetId="0" hidden="1">'10 Кв ф'!$A$18:$T$595</definedName>
    <definedName name="Z_C60D55EC_865E_4D38_AE27_9E8AD04058A4_.wvu.FilterData" localSheetId="0" hidden="1">'10 Кв ф'!$A$18:$T$596</definedName>
    <definedName name="Z_C8834271_1CC2_459D_BFED_D8003474F42A_.wvu.FilterData" localSheetId="0" hidden="1">'10 Кв ф'!$A$18:$T$596</definedName>
    <definedName name="Z_CD577179_AC97_47E1_BD55_34C9FD4F7788_.wvu.FilterData" localSheetId="0" hidden="1">'10 Кв ф'!$A$18:$T$596</definedName>
    <definedName name="Z_CE1E033E_FF00_49FF_86F8_A53BE3AEB0CB_.wvu.FilterData" localSheetId="0" hidden="1">'10 Кв ф'!$A$18:$T$629</definedName>
    <definedName name="Z_CE1E033E_FF00_49FF_86F8_A53BE3AEB0CB_.wvu.PrintArea" localSheetId="0" hidden="1">'10 Кв ф'!$A$1:$T$628</definedName>
    <definedName name="Z_D2373A93_A74A_4F74_898B_4F2E2B0E4C0B_.wvu.FilterData" localSheetId="0" hidden="1">'10 Кв ф'!$A$18:$T$628</definedName>
    <definedName name="Z_D2CBDC49_B9AD_49DF_A2DD_0C0CEC3CCF43_.wvu.FilterData" localSheetId="0" hidden="1">'10 Кв ф'!$A$18:$T$596</definedName>
    <definedName name="Z_D65DB3B3_D583_4A50_96A0_49F0BFBC42FA_.wvu.FilterData" localSheetId="0" hidden="1">'10 Кв ф'!$A$18:$T$628</definedName>
    <definedName name="Z_D6D9C024_8179_4E41_8196_D59861ADD944_.wvu.FilterData" localSheetId="0" hidden="1">'10 Кв ф'!$A$18:$T$628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ф'!$A$18:$T$596</definedName>
    <definedName name="Z_DD79EF37_1308_44D2_981A_C28745460F44_.wvu.FilterData" localSheetId="0" hidden="1">'10 Кв ф'!$A$18:$T$596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ф'!$A$18:$T$629</definedName>
    <definedName name="Z_E104860A_A3B7_4FDF_8BAB_6F219D9D3E8F_.wvu.PrintArea" localSheetId="0" hidden="1">'10 Кв ф'!$A$1:$T$636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ф'!$A$18:$T$596</definedName>
    <definedName name="Z_E65E1C7B_B53B_4B88_8602_A3F4B4E3D382_.wvu.FilterData" localSheetId="0" hidden="1">'10 Кв ф'!$A$18:$T$628</definedName>
    <definedName name="Z_E8944C33_CF35_4790_9FEB_7204E02DE563_.wvu.FilterData" localSheetId="0" hidden="1">'10 Кв ф'!$A$18:$T$628</definedName>
    <definedName name="Z_E8944C33_CF35_4790_9FEB_7204E02DE563_.wvu.PrintArea" localSheetId="0" hidden="1">'10 Кв ф'!$A$1:$T$628</definedName>
    <definedName name="Z_EBE17BEF_ADE5_48A1_B3B0_13D095BC5397_.wvu.FilterData" localSheetId="0" hidden="1">'10 Кв ф'!$A$18:$T$596</definedName>
    <definedName name="Z_EF664B56_5069_481F_BF03_744F9121EDA1_.wvu.FilterData" localSheetId="0" hidden="1">'10 Кв ф'!$A$19:$T$596</definedName>
    <definedName name="Z_F5250458_B3DA_4BC9_8608_3E38DAC94C38_.wvu.FilterData" localSheetId="0" hidden="1">'10 Кв ф'!$A$18:$T$596</definedName>
    <definedName name="Z_F542FC93_15B6_4F75_8CE6_13289B723FF3_.wvu.FilterData" localSheetId="0" hidden="1">'10 Кв ф'!$A$18:$T$595</definedName>
    <definedName name="Z_FF811F01_18A2_472F_A2B1_C8CB4F7C4144_.wvu.FilterData" localSheetId="0" hidden="1">'10 Кв ф'!$A$18:$T$594</definedName>
    <definedName name="Z_FFD7E54C_3584_445D_916C_CB13835F8BCF_.wvu.FilterData" localSheetId="0" hidden="1">'10 Кв ф'!$A$18:$T$596</definedName>
    <definedName name="_xlnm.Print_Area" localSheetId="0">'10 Кв ф'!$A$1:$T$628</definedName>
  </definedNames>
  <calcPr calcId="162913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8" i="1" l="1"/>
  <c r="R628" i="1" s="1"/>
  <c r="S628" i="1" s="1"/>
  <c r="F628" i="1"/>
  <c r="H627" i="1"/>
  <c r="R627" i="1" s="1"/>
  <c r="S627" i="1" s="1"/>
  <c r="F627" i="1"/>
  <c r="H626" i="1"/>
  <c r="F626" i="1"/>
  <c r="P625" i="1"/>
  <c r="O625" i="1"/>
  <c r="N625" i="1"/>
  <c r="M625" i="1"/>
  <c r="L625" i="1"/>
  <c r="K625" i="1"/>
  <c r="J625" i="1"/>
  <c r="I625" i="1"/>
  <c r="G625" i="1"/>
  <c r="E625" i="1"/>
  <c r="D625" i="1"/>
  <c r="R619" i="1"/>
  <c r="Q619" i="1"/>
  <c r="P619" i="1"/>
  <c r="O619" i="1"/>
  <c r="N619" i="1"/>
  <c r="M619" i="1"/>
  <c r="L619" i="1"/>
  <c r="K619" i="1"/>
  <c r="J619" i="1"/>
  <c r="I619" i="1"/>
  <c r="H619" i="1"/>
  <c r="G619" i="1"/>
  <c r="F619" i="1"/>
  <c r="E619" i="1"/>
  <c r="D619" i="1"/>
  <c r="R613" i="1"/>
  <c r="Q613" i="1"/>
  <c r="P613" i="1"/>
  <c r="P612" i="1" s="1"/>
  <c r="O613" i="1"/>
  <c r="O612" i="1" s="1"/>
  <c r="N613" i="1"/>
  <c r="M613" i="1"/>
  <c r="L613" i="1"/>
  <c r="L612" i="1" s="1"/>
  <c r="K613" i="1"/>
  <c r="K612" i="1" s="1"/>
  <c r="J613" i="1"/>
  <c r="I613" i="1"/>
  <c r="H613" i="1"/>
  <c r="H612" i="1" s="1"/>
  <c r="G613" i="1"/>
  <c r="G612" i="1" s="1"/>
  <c r="F613" i="1"/>
  <c r="E613" i="1"/>
  <c r="R612" i="1"/>
  <c r="Q612" i="1"/>
  <c r="N612" i="1"/>
  <c r="M612" i="1"/>
  <c r="J612" i="1"/>
  <c r="I612" i="1"/>
  <c r="F612" i="1"/>
  <c r="E612" i="1"/>
  <c r="O611" i="1"/>
  <c r="H611" i="1"/>
  <c r="F611" i="1"/>
  <c r="O610" i="1"/>
  <c r="H610" i="1"/>
  <c r="F610" i="1"/>
  <c r="O609" i="1"/>
  <c r="H609" i="1"/>
  <c r="E609" i="1"/>
  <c r="P608" i="1"/>
  <c r="N608" i="1"/>
  <c r="N604" i="1" s="1"/>
  <c r="M608" i="1"/>
  <c r="L608" i="1"/>
  <c r="L604" i="1" s="1"/>
  <c r="K608" i="1"/>
  <c r="K604" i="1" s="1"/>
  <c r="J608" i="1"/>
  <c r="I608" i="1"/>
  <c r="G608" i="1"/>
  <c r="G604" i="1" s="1"/>
  <c r="E608" i="1"/>
  <c r="E604" i="1" s="1"/>
  <c r="D608" i="1"/>
  <c r="D604" i="1" s="1"/>
  <c r="P604" i="1"/>
  <c r="M604" i="1"/>
  <c r="J604" i="1"/>
  <c r="I604" i="1"/>
  <c r="R603" i="1"/>
  <c r="R602" i="1" s="1"/>
  <c r="H603" i="1"/>
  <c r="F603" i="1"/>
  <c r="P602" i="1"/>
  <c r="O602" i="1"/>
  <c r="N602" i="1"/>
  <c r="M602" i="1"/>
  <c r="L602" i="1"/>
  <c r="K602" i="1"/>
  <c r="J602" i="1"/>
  <c r="I602" i="1"/>
  <c r="H602" i="1"/>
  <c r="G602" i="1"/>
  <c r="E602" i="1"/>
  <c r="D602" i="1"/>
  <c r="H600" i="1"/>
  <c r="E600" i="1"/>
  <c r="P599" i="1"/>
  <c r="P597" i="1" s="1"/>
  <c r="O599" i="1"/>
  <c r="N599" i="1"/>
  <c r="M599" i="1"/>
  <c r="L599" i="1"/>
  <c r="L597" i="1" s="1"/>
  <c r="K599" i="1"/>
  <c r="K597" i="1" s="1"/>
  <c r="J599" i="1"/>
  <c r="I599" i="1"/>
  <c r="I597" i="1" s="1"/>
  <c r="H599" i="1"/>
  <c r="H597" i="1" s="1"/>
  <c r="G599" i="1"/>
  <c r="F599" i="1"/>
  <c r="E599" i="1"/>
  <c r="E597" i="1" s="1"/>
  <c r="D599" i="1"/>
  <c r="D597" i="1" s="1"/>
  <c r="O597" i="1"/>
  <c r="N597" i="1"/>
  <c r="M597" i="1"/>
  <c r="J597" i="1"/>
  <c r="G597" i="1"/>
  <c r="H595" i="1"/>
  <c r="H594" i="1" s="1"/>
  <c r="H589" i="1" s="1"/>
  <c r="E595" i="1"/>
  <c r="E594" i="1" s="1"/>
  <c r="E589" i="1" s="1"/>
  <c r="P594" i="1"/>
  <c r="P589" i="1" s="1"/>
  <c r="O594" i="1"/>
  <c r="O589" i="1" s="1"/>
  <c r="N594" i="1"/>
  <c r="M594" i="1"/>
  <c r="M589" i="1" s="1"/>
  <c r="L594" i="1"/>
  <c r="L589" i="1" s="1"/>
  <c r="K594" i="1"/>
  <c r="J594" i="1"/>
  <c r="I594" i="1"/>
  <c r="G594" i="1"/>
  <c r="G589" i="1" s="1"/>
  <c r="F594" i="1"/>
  <c r="D594" i="1"/>
  <c r="D589" i="1" s="1"/>
  <c r="N589" i="1"/>
  <c r="K589" i="1"/>
  <c r="J589" i="1"/>
  <c r="I589" i="1"/>
  <c r="F589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R583" i="1"/>
  <c r="Q583" i="1"/>
  <c r="P583" i="1"/>
  <c r="O583" i="1"/>
  <c r="N583" i="1"/>
  <c r="M583" i="1"/>
  <c r="L583" i="1"/>
  <c r="K583" i="1"/>
  <c r="J583" i="1"/>
  <c r="I583" i="1"/>
  <c r="I582" i="1" s="1"/>
  <c r="H583" i="1"/>
  <c r="G583" i="1"/>
  <c r="F583" i="1"/>
  <c r="E583" i="1"/>
  <c r="D583" i="1"/>
  <c r="P582" i="1"/>
  <c r="D582" i="1"/>
  <c r="H580" i="1"/>
  <c r="H579" i="1"/>
  <c r="H578" i="1"/>
  <c r="H577" i="1"/>
  <c r="H576" i="1"/>
  <c r="H575" i="1"/>
  <c r="F575" i="1"/>
  <c r="H574" i="1"/>
  <c r="R574" i="1" s="1"/>
  <c r="S574" i="1" s="1"/>
  <c r="F574" i="1"/>
  <c r="Q574" i="1" s="1"/>
  <c r="H573" i="1"/>
  <c r="F573" i="1"/>
  <c r="H572" i="1"/>
  <c r="R572" i="1" s="1"/>
  <c r="S572" i="1" s="1"/>
  <c r="F572" i="1"/>
  <c r="Q572" i="1" s="1"/>
  <c r="H571" i="1"/>
  <c r="R571" i="1" s="1"/>
  <c r="S571" i="1" s="1"/>
  <c r="F571" i="1"/>
  <c r="Q571" i="1" s="1"/>
  <c r="N570" i="1"/>
  <c r="H570" i="1" s="1"/>
  <c r="R570" i="1" s="1"/>
  <c r="S570" i="1" s="1"/>
  <c r="F570" i="1"/>
  <c r="S569" i="1"/>
  <c r="H569" i="1"/>
  <c r="R569" i="1" s="1"/>
  <c r="F569" i="1"/>
  <c r="H568" i="1"/>
  <c r="R568" i="1" s="1"/>
  <c r="S568" i="1" s="1"/>
  <c r="F568" i="1"/>
  <c r="Q568" i="1" s="1"/>
  <c r="H567" i="1"/>
  <c r="R567" i="1" s="1"/>
  <c r="S567" i="1" s="1"/>
  <c r="F567" i="1"/>
  <c r="Q567" i="1" s="1"/>
  <c r="H566" i="1"/>
  <c r="R566" i="1" s="1"/>
  <c r="S566" i="1" s="1"/>
  <c r="H565" i="1"/>
  <c r="R565" i="1" s="1"/>
  <c r="S565" i="1" s="1"/>
  <c r="F565" i="1"/>
  <c r="H564" i="1"/>
  <c r="Q564" i="1" s="1"/>
  <c r="H563" i="1"/>
  <c r="P562" i="1"/>
  <c r="O562" i="1"/>
  <c r="N562" i="1"/>
  <c r="M562" i="1"/>
  <c r="L562" i="1"/>
  <c r="K562" i="1"/>
  <c r="J562" i="1"/>
  <c r="I562" i="1"/>
  <c r="G562" i="1"/>
  <c r="E562" i="1"/>
  <c r="D562" i="1"/>
  <c r="O560" i="1"/>
  <c r="O559" i="1" s="1"/>
  <c r="O555" i="1" s="1"/>
  <c r="H560" i="1"/>
  <c r="F560" i="1"/>
  <c r="P559" i="1"/>
  <c r="N559" i="1"/>
  <c r="N555" i="1" s="1"/>
  <c r="M559" i="1"/>
  <c r="L559" i="1"/>
  <c r="L555" i="1" s="1"/>
  <c r="K559" i="1"/>
  <c r="J559" i="1"/>
  <c r="J555" i="1" s="1"/>
  <c r="I559" i="1"/>
  <c r="H559" i="1"/>
  <c r="G559" i="1"/>
  <c r="F559" i="1"/>
  <c r="F555" i="1" s="1"/>
  <c r="E559" i="1"/>
  <c r="D559" i="1"/>
  <c r="D555" i="1" s="1"/>
  <c r="P555" i="1"/>
  <c r="M555" i="1"/>
  <c r="K555" i="1"/>
  <c r="I555" i="1"/>
  <c r="H555" i="1"/>
  <c r="G555" i="1"/>
  <c r="E555" i="1"/>
  <c r="R549" i="1"/>
  <c r="R548" i="1" s="1"/>
  <c r="Q549" i="1"/>
  <c r="Q548" i="1" s="1"/>
  <c r="P549" i="1"/>
  <c r="P548" i="1" s="1"/>
  <c r="O549" i="1"/>
  <c r="N549" i="1"/>
  <c r="N548" i="1" s="1"/>
  <c r="M549" i="1"/>
  <c r="M548" i="1" s="1"/>
  <c r="L549" i="1"/>
  <c r="L548" i="1" s="1"/>
  <c r="K549" i="1"/>
  <c r="J549" i="1"/>
  <c r="I549" i="1"/>
  <c r="I548" i="1" s="1"/>
  <c r="H549" i="1"/>
  <c r="H548" i="1" s="1"/>
  <c r="G549" i="1"/>
  <c r="F549" i="1"/>
  <c r="F548" i="1" s="1"/>
  <c r="E549" i="1"/>
  <c r="E548" i="1" s="1"/>
  <c r="O548" i="1"/>
  <c r="K548" i="1"/>
  <c r="J548" i="1"/>
  <c r="G548" i="1"/>
  <c r="D548" i="1"/>
  <c r="N547" i="1"/>
  <c r="H547" i="1"/>
  <c r="R547" i="1" s="1"/>
  <c r="S547" i="1" s="1"/>
  <c r="F547" i="1"/>
  <c r="Q547" i="1" s="1"/>
  <c r="O546" i="1"/>
  <c r="N546" i="1"/>
  <c r="H546" i="1" s="1"/>
  <c r="R546" i="1" s="1"/>
  <c r="S546" i="1" s="1"/>
  <c r="F546" i="1"/>
  <c r="O545" i="1"/>
  <c r="N545" i="1"/>
  <c r="H545" i="1"/>
  <c r="F545" i="1"/>
  <c r="N544" i="1"/>
  <c r="H544" i="1"/>
  <c r="R544" i="1" s="1"/>
  <c r="S544" i="1" s="1"/>
  <c r="F544" i="1"/>
  <c r="Q543" i="1"/>
  <c r="H543" i="1"/>
  <c r="R543" i="1" s="1"/>
  <c r="S543" i="1" s="1"/>
  <c r="H542" i="1"/>
  <c r="R542" i="1" s="1"/>
  <c r="S542" i="1" s="1"/>
  <c r="E542" i="1"/>
  <c r="E533" i="1" s="1"/>
  <c r="O541" i="1"/>
  <c r="N541" i="1"/>
  <c r="H541" i="1"/>
  <c r="R541" i="1" s="1"/>
  <c r="S541" i="1" s="1"/>
  <c r="F541" i="1"/>
  <c r="O540" i="1"/>
  <c r="H540" i="1"/>
  <c r="F540" i="1"/>
  <c r="Q540" i="1" s="1"/>
  <c r="O539" i="1"/>
  <c r="N539" i="1"/>
  <c r="H539" i="1" s="1"/>
  <c r="R539" i="1" s="1"/>
  <c r="S539" i="1" s="1"/>
  <c r="F539" i="1"/>
  <c r="R538" i="1"/>
  <c r="S538" i="1" s="1"/>
  <c r="H538" i="1"/>
  <c r="F538" i="1"/>
  <c r="Q538" i="1" s="1"/>
  <c r="O537" i="1"/>
  <c r="N537" i="1"/>
  <c r="H537" i="1" s="1"/>
  <c r="R537" i="1" s="1"/>
  <c r="S537" i="1" s="1"/>
  <c r="F537" i="1"/>
  <c r="R536" i="1"/>
  <c r="S536" i="1" s="1"/>
  <c r="H536" i="1"/>
  <c r="F536" i="1"/>
  <c r="Q536" i="1" s="1"/>
  <c r="O535" i="1"/>
  <c r="N535" i="1"/>
  <c r="F535" i="1"/>
  <c r="O534" i="1"/>
  <c r="N534" i="1"/>
  <c r="H534" i="1"/>
  <c r="F534" i="1"/>
  <c r="P533" i="1"/>
  <c r="M533" i="1"/>
  <c r="L533" i="1"/>
  <c r="K533" i="1"/>
  <c r="J533" i="1"/>
  <c r="I533" i="1"/>
  <c r="G533" i="1"/>
  <c r="D533" i="1"/>
  <c r="N530" i="1"/>
  <c r="M530" i="1"/>
  <c r="H530" i="1"/>
  <c r="F530" i="1"/>
  <c r="F528" i="1" s="1"/>
  <c r="H529" i="1"/>
  <c r="F529" i="1"/>
  <c r="P528" i="1"/>
  <c r="O528" i="1"/>
  <c r="N528" i="1"/>
  <c r="M528" i="1"/>
  <c r="L528" i="1"/>
  <c r="K528" i="1"/>
  <c r="J528" i="1"/>
  <c r="I528" i="1"/>
  <c r="G528" i="1"/>
  <c r="E528" i="1"/>
  <c r="D528" i="1"/>
  <c r="K527" i="1"/>
  <c r="G527" i="1"/>
  <c r="O526" i="1"/>
  <c r="N526" i="1"/>
  <c r="H526" i="1" s="1"/>
  <c r="F526" i="1"/>
  <c r="O525" i="1"/>
  <c r="H525" i="1"/>
  <c r="F525" i="1"/>
  <c r="H524" i="1"/>
  <c r="R524" i="1" s="1"/>
  <c r="F524" i="1"/>
  <c r="P523" i="1"/>
  <c r="N523" i="1"/>
  <c r="M523" i="1"/>
  <c r="L523" i="1"/>
  <c r="K523" i="1"/>
  <c r="J523" i="1"/>
  <c r="I523" i="1"/>
  <c r="G523" i="1"/>
  <c r="E523" i="1"/>
  <c r="D523" i="1"/>
  <c r="N522" i="1"/>
  <c r="H522" i="1"/>
  <c r="F522" i="1"/>
  <c r="F521" i="1" s="1"/>
  <c r="P521" i="1"/>
  <c r="O521" i="1"/>
  <c r="N521" i="1"/>
  <c r="M521" i="1"/>
  <c r="L521" i="1"/>
  <c r="K521" i="1"/>
  <c r="J521" i="1"/>
  <c r="I521" i="1"/>
  <c r="G521" i="1"/>
  <c r="E521" i="1"/>
  <c r="D521" i="1"/>
  <c r="O520" i="1"/>
  <c r="N520" i="1"/>
  <c r="H520" i="1" s="1"/>
  <c r="F520" i="1"/>
  <c r="F519" i="1" s="1"/>
  <c r="P519" i="1"/>
  <c r="O519" i="1"/>
  <c r="N519" i="1"/>
  <c r="M519" i="1"/>
  <c r="L519" i="1"/>
  <c r="K519" i="1"/>
  <c r="J519" i="1"/>
  <c r="I519" i="1"/>
  <c r="H519" i="1"/>
  <c r="G519" i="1"/>
  <c r="E519" i="1"/>
  <c r="D519" i="1"/>
  <c r="H518" i="1"/>
  <c r="E518" i="1"/>
  <c r="H517" i="1"/>
  <c r="R517" i="1" s="1"/>
  <c r="S517" i="1" s="1"/>
  <c r="E517" i="1"/>
  <c r="H516" i="1"/>
  <c r="R516" i="1" s="1"/>
  <c r="S516" i="1" s="1"/>
  <c r="E516" i="1"/>
  <c r="N515" i="1"/>
  <c r="H515" i="1"/>
  <c r="R515" i="1" s="1"/>
  <c r="S515" i="1" s="1"/>
  <c r="F515" i="1"/>
  <c r="O514" i="1"/>
  <c r="O511" i="1" s="1"/>
  <c r="N514" i="1"/>
  <c r="H514" i="1" s="1"/>
  <c r="F514" i="1"/>
  <c r="M513" i="1"/>
  <c r="M511" i="1" s="1"/>
  <c r="H513" i="1"/>
  <c r="F513" i="1"/>
  <c r="H512" i="1"/>
  <c r="R512" i="1" s="1"/>
  <c r="E512" i="1"/>
  <c r="P511" i="1"/>
  <c r="N511" i="1"/>
  <c r="L511" i="1"/>
  <c r="K511" i="1"/>
  <c r="K510" i="1" s="1"/>
  <c r="J511" i="1"/>
  <c r="I511" i="1"/>
  <c r="G511" i="1"/>
  <c r="E511" i="1"/>
  <c r="E510" i="1" s="1"/>
  <c r="D511" i="1"/>
  <c r="N510" i="1"/>
  <c r="J510" i="1"/>
  <c r="I510" i="1"/>
  <c r="O508" i="1"/>
  <c r="N508" i="1"/>
  <c r="H508" i="1"/>
  <c r="R508" i="1" s="1"/>
  <c r="S508" i="1" s="1"/>
  <c r="F508" i="1"/>
  <c r="O507" i="1"/>
  <c r="N507" i="1"/>
  <c r="H507" i="1"/>
  <c r="R507" i="1" s="1"/>
  <c r="S507" i="1" s="1"/>
  <c r="F507" i="1"/>
  <c r="O506" i="1"/>
  <c r="O505" i="1" s="1"/>
  <c r="O500" i="1" s="1"/>
  <c r="N506" i="1"/>
  <c r="H506" i="1" s="1"/>
  <c r="F506" i="1"/>
  <c r="P505" i="1"/>
  <c r="P500" i="1" s="1"/>
  <c r="P493" i="1" s="1"/>
  <c r="N505" i="1"/>
  <c r="M505" i="1"/>
  <c r="L505" i="1"/>
  <c r="L500" i="1" s="1"/>
  <c r="K505" i="1"/>
  <c r="J505" i="1"/>
  <c r="J500" i="1" s="1"/>
  <c r="I505" i="1"/>
  <c r="G505" i="1"/>
  <c r="G500" i="1" s="1"/>
  <c r="E505" i="1"/>
  <c r="D505" i="1"/>
  <c r="N500" i="1"/>
  <c r="M500" i="1"/>
  <c r="K500" i="1"/>
  <c r="I500" i="1"/>
  <c r="E500" i="1"/>
  <c r="D500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E497" i="1"/>
  <c r="R494" i="1"/>
  <c r="Q494" i="1"/>
  <c r="P494" i="1"/>
  <c r="O494" i="1"/>
  <c r="N494" i="1"/>
  <c r="M494" i="1"/>
  <c r="L494" i="1"/>
  <c r="K494" i="1"/>
  <c r="J494" i="1"/>
  <c r="I494" i="1"/>
  <c r="H494" i="1"/>
  <c r="G494" i="1"/>
  <c r="F494" i="1"/>
  <c r="E494" i="1"/>
  <c r="D494" i="1"/>
  <c r="D493" i="1" s="1"/>
  <c r="H491" i="1"/>
  <c r="R491" i="1" s="1"/>
  <c r="S491" i="1" s="1"/>
  <c r="F491" i="1"/>
  <c r="N490" i="1"/>
  <c r="H490" i="1" s="1"/>
  <c r="R490" i="1" s="1"/>
  <c r="S490" i="1" s="1"/>
  <c r="F490" i="1"/>
  <c r="H489" i="1"/>
  <c r="R489" i="1" s="1"/>
  <c r="S489" i="1" s="1"/>
  <c r="F489" i="1"/>
  <c r="N488" i="1"/>
  <c r="H488" i="1" s="1"/>
  <c r="F488" i="1"/>
  <c r="N487" i="1"/>
  <c r="H487" i="1"/>
  <c r="R487" i="1" s="1"/>
  <c r="S487" i="1" s="1"/>
  <c r="F487" i="1"/>
  <c r="N486" i="1"/>
  <c r="H486" i="1" s="1"/>
  <c r="F486" i="1"/>
  <c r="H485" i="1"/>
  <c r="R485" i="1" s="1"/>
  <c r="S485" i="1" s="1"/>
  <c r="F485" i="1"/>
  <c r="H484" i="1"/>
  <c r="R484" i="1" s="1"/>
  <c r="S484" i="1" s="1"/>
  <c r="F484" i="1"/>
  <c r="H483" i="1"/>
  <c r="R483" i="1" s="1"/>
  <c r="S483" i="1" s="1"/>
  <c r="F483" i="1"/>
  <c r="Q483" i="1" s="1"/>
  <c r="O482" i="1"/>
  <c r="H482" i="1"/>
  <c r="F482" i="1"/>
  <c r="Q482" i="1" s="1"/>
  <c r="H481" i="1"/>
  <c r="R481" i="1" s="1"/>
  <c r="S481" i="1" s="1"/>
  <c r="F481" i="1"/>
  <c r="Q481" i="1" s="1"/>
  <c r="H480" i="1"/>
  <c r="R480" i="1" s="1"/>
  <c r="S480" i="1" s="1"/>
  <c r="F480" i="1"/>
  <c r="H479" i="1"/>
  <c r="F479" i="1"/>
  <c r="R478" i="1"/>
  <c r="S478" i="1" s="1"/>
  <c r="H478" i="1"/>
  <c r="F478" i="1"/>
  <c r="Q478" i="1" s="1"/>
  <c r="H477" i="1"/>
  <c r="R477" i="1" s="1"/>
  <c r="S477" i="1" s="1"/>
  <c r="F477" i="1"/>
  <c r="H476" i="1"/>
  <c r="R476" i="1" s="1"/>
  <c r="S476" i="1" s="1"/>
  <c r="F476" i="1"/>
  <c r="H475" i="1"/>
  <c r="R475" i="1" s="1"/>
  <c r="S475" i="1" s="1"/>
  <c r="F475" i="1"/>
  <c r="R474" i="1"/>
  <c r="S474" i="1" s="1"/>
  <c r="H474" i="1"/>
  <c r="F474" i="1"/>
  <c r="Q474" i="1" s="1"/>
  <c r="H473" i="1"/>
  <c r="R473" i="1" s="1"/>
  <c r="S473" i="1" s="1"/>
  <c r="F473" i="1"/>
  <c r="H472" i="1"/>
  <c r="R472" i="1" s="1"/>
  <c r="S472" i="1" s="1"/>
  <c r="F472" i="1"/>
  <c r="H471" i="1"/>
  <c r="F471" i="1"/>
  <c r="R470" i="1"/>
  <c r="S470" i="1" s="1"/>
  <c r="H470" i="1"/>
  <c r="F470" i="1"/>
  <c r="Q470" i="1" s="1"/>
  <c r="H469" i="1"/>
  <c r="R469" i="1" s="1"/>
  <c r="S469" i="1" s="1"/>
  <c r="F469" i="1"/>
  <c r="H468" i="1"/>
  <c r="R468" i="1" s="1"/>
  <c r="S468" i="1" s="1"/>
  <c r="F468" i="1"/>
  <c r="N467" i="1"/>
  <c r="H467" i="1" s="1"/>
  <c r="R467" i="1" s="1"/>
  <c r="S467" i="1" s="1"/>
  <c r="F467" i="1"/>
  <c r="H466" i="1"/>
  <c r="R466" i="1" s="1"/>
  <c r="S466" i="1" s="1"/>
  <c r="F466" i="1"/>
  <c r="N465" i="1"/>
  <c r="H465" i="1" s="1"/>
  <c r="F465" i="1"/>
  <c r="N464" i="1"/>
  <c r="H464" i="1"/>
  <c r="R464" i="1" s="1"/>
  <c r="S464" i="1" s="1"/>
  <c r="F464" i="1"/>
  <c r="N463" i="1"/>
  <c r="H463" i="1"/>
  <c r="F463" i="1"/>
  <c r="N462" i="1"/>
  <c r="H462" i="1"/>
  <c r="R462" i="1" s="1"/>
  <c r="S462" i="1" s="1"/>
  <c r="F462" i="1"/>
  <c r="H461" i="1"/>
  <c r="R461" i="1" s="1"/>
  <c r="S461" i="1" s="1"/>
  <c r="F461" i="1"/>
  <c r="N460" i="1"/>
  <c r="H460" i="1" s="1"/>
  <c r="R460" i="1" s="1"/>
  <c r="S460" i="1" s="1"/>
  <c r="F460" i="1"/>
  <c r="Q460" i="1" s="1"/>
  <c r="R459" i="1"/>
  <c r="S459" i="1" s="1"/>
  <c r="H459" i="1"/>
  <c r="F459" i="1"/>
  <c r="H458" i="1"/>
  <c r="R458" i="1" s="1"/>
  <c r="S458" i="1" s="1"/>
  <c r="F458" i="1"/>
  <c r="H457" i="1"/>
  <c r="F457" i="1"/>
  <c r="R456" i="1"/>
  <c r="S456" i="1" s="1"/>
  <c r="H456" i="1"/>
  <c r="F456" i="1"/>
  <c r="Q456" i="1" s="1"/>
  <c r="H455" i="1"/>
  <c r="H454" i="1"/>
  <c r="R454" i="1" s="1"/>
  <c r="S454" i="1" s="1"/>
  <c r="F454" i="1"/>
  <c r="N453" i="1"/>
  <c r="H453" i="1" s="1"/>
  <c r="R453" i="1" s="1"/>
  <c r="S453" i="1" s="1"/>
  <c r="F453" i="1"/>
  <c r="N452" i="1"/>
  <c r="H452" i="1"/>
  <c r="R452" i="1" s="1"/>
  <c r="S452" i="1" s="1"/>
  <c r="F452" i="1"/>
  <c r="H451" i="1"/>
  <c r="R451" i="1" s="1"/>
  <c r="S451" i="1" s="1"/>
  <c r="F451" i="1"/>
  <c r="N450" i="1"/>
  <c r="H450" i="1"/>
  <c r="R450" i="1" s="1"/>
  <c r="S450" i="1" s="1"/>
  <c r="F450" i="1"/>
  <c r="N449" i="1"/>
  <c r="H449" i="1"/>
  <c r="F449" i="1"/>
  <c r="H448" i="1"/>
  <c r="R448" i="1" s="1"/>
  <c r="S448" i="1" s="1"/>
  <c r="F448" i="1"/>
  <c r="R447" i="1"/>
  <c r="S447" i="1" s="1"/>
  <c r="H447" i="1"/>
  <c r="F447" i="1"/>
  <c r="H446" i="1"/>
  <c r="R446" i="1" s="1"/>
  <c r="S446" i="1" s="1"/>
  <c r="F446" i="1"/>
  <c r="H445" i="1"/>
  <c r="R445" i="1" s="1"/>
  <c r="S445" i="1" s="1"/>
  <c r="F445" i="1"/>
  <c r="Q445" i="1" s="1"/>
  <c r="H444" i="1"/>
  <c r="R444" i="1" s="1"/>
  <c r="S444" i="1" s="1"/>
  <c r="F444" i="1"/>
  <c r="H443" i="1"/>
  <c r="R443" i="1" s="1"/>
  <c r="S443" i="1" s="1"/>
  <c r="F443" i="1"/>
  <c r="H442" i="1"/>
  <c r="R442" i="1" s="1"/>
  <c r="S442" i="1" s="1"/>
  <c r="F442" i="1"/>
  <c r="N441" i="1"/>
  <c r="F441" i="1"/>
  <c r="N440" i="1"/>
  <c r="H440" i="1"/>
  <c r="R440" i="1" s="1"/>
  <c r="S440" i="1" s="1"/>
  <c r="F440" i="1"/>
  <c r="O439" i="1"/>
  <c r="H439" i="1"/>
  <c r="F439" i="1"/>
  <c r="Q439" i="1" s="1"/>
  <c r="N438" i="1"/>
  <c r="H438" i="1" s="1"/>
  <c r="R438" i="1" s="1"/>
  <c r="S438" i="1" s="1"/>
  <c r="F438" i="1"/>
  <c r="Q437" i="1"/>
  <c r="H437" i="1"/>
  <c r="R437" i="1" s="1"/>
  <c r="S437" i="1" s="1"/>
  <c r="F437" i="1"/>
  <c r="R436" i="1"/>
  <c r="S436" i="1" s="1"/>
  <c r="H436" i="1"/>
  <c r="F436" i="1"/>
  <c r="H435" i="1"/>
  <c r="R435" i="1" s="1"/>
  <c r="S435" i="1" s="1"/>
  <c r="F435" i="1"/>
  <c r="H434" i="1"/>
  <c r="F434" i="1"/>
  <c r="N433" i="1"/>
  <c r="H433" i="1" s="1"/>
  <c r="R433" i="1" s="1"/>
  <c r="S433" i="1" s="1"/>
  <c r="F433" i="1"/>
  <c r="H432" i="1"/>
  <c r="R432" i="1" s="1"/>
  <c r="S432" i="1" s="1"/>
  <c r="F432" i="1"/>
  <c r="Q432" i="1" s="1"/>
  <c r="H431" i="1"/>
  <c r="F431" i="1"/>
  <c r="N430" i="1"/>
  <c r="H430" i="1" s="1"/>
  <c r="R430" i="1" s="1"/>
  <c r="S430" i="1" s="1"/>
  <c r="F430" i="1"/>
  <c r="H429" i="1"/>
  <c r="R429" i="1" s="1"/>
  <c r="S429" i="1" s="1"/>
  <c r="F429" i="1"/>
  <c r="H428" i="1"/>
  <c r="F428" i="1"/>
  <c r="H427" i="1"/>
  <c r="R427" i="1" s="1"/>
  <c r="S427" i="1" s="1"/>
  <c r="F427" i="1"/>
  <c r="R426" i="1"/>
  <c r="S426" i="1" s="1"/>
  <c r="H426" i="1"/>
  <c r="F426" i="1"/>
  <c r="Q426" i="1" s="1"/>
  <c r="H425" i="1"/>
  <c r="R425" i="1" s="1"/>
  <c r="S425" i="1" s="1"/>
  <c r="F425" i="1"/>
  <c r="H424" i="1"/>
  <c r="F424" i="1"/>
  <c r="O423" i="1"/>
  <c r="N423" i="1"/>
  <c r="H423" i="1"/>
  <c r="R423" i="1" s="1"/>
  <c r="S423" i="1" s="1"/>
  <c r="F423" i="1"/>
  <c r="O422" i="1"/>
  <c r="N422" i="1"/>
  <c r="H422" i="1" s="1"/>
  <c r="F422" i="1"/>
  <c r="P421" i="1"/>
  <c r="O421" i="1"/>
  <c r="M421" i="1"/>
  <c r="L421" i="1"/>
  <c r="K421" i="1"/>
  <c r="J421" i="1"/>
  <c r="I421" i="1"/>
  <c r="G421" i="1"/>
  <c r="E421" i="1"/>
  <c r="D421" i="1"/>
  <c r="O419" i="1"/>
  <c r="H419" i="1"/>
  <c r="F419" i="1"/>
  <c r="Q419" i="1" s="1"/>
  <c r="O418" i="1"/>
  <c r="N418" i="1"/>
  <c r="H418" i="1"/>
  <c r="F418" i="1"/>
  <c r="F417" i="1" s="1"/>
  <c r="F413" i="1" s="1"/>
  <c r="P417" i="1"/>
  <c r="N417" i="1"/>
  <c r="N413" i="1" s="1"/>
  <c r="M417" i="1"/>
  <c r="L417" i="1"/>
  <c r="L413" i="1" s="1"/>
  <c r="K417" i="1"/>
  <c r="J417" i="1"/>
  <c r="J413" i="1" s="1"/>
  <c r="I417" i="1"/>
  <c r="I413" i="1" s="1"/>
  <c r="H417" i="1"/>
  <c r="H413" i="1" s="1"/>
  <c r="G417" i="1"/>
  <c r="E417" i="1"/>
  <c r="E413" i="1" s="1"/>
  <c r="D417" i="1"/>
  <c r="D413" i="1" s="1"/>
  <c r="P413" i="1"/>
  <c r="M413" i="1"/>
  <c r="K413" i="1"/>
  <c r="G413" i="1"/>
  <c r="R409" i="1"/>
  <c r="R407" i="1" s="1"/>
  <c r="R406" i="1" s="1"/>
  <c r="Q409" i="1"/>
  <c r="P409" i="1"/>
  <c r="P407" i="1" s="1"/>
  <c r="P406" i="1" s="1"/>
  <c r="O409" i="1"/>
  <c r="O407" i="1" s="1"/>
  <c r="O406" i="1" s="1"/>
  <c r="N409" i="1"/>
  <c r="N407" i="1" s="1"/>
  <c r="N406" i="1" s="1"/>
  <c r="M409" i="1"/>
  <c r="L409" i="1"/>
  <c r="L407" i="1" s="1"/>
  <c r="L406" i="1" s="1"/>
  <c r="K409" i="1"/>
  <c r="K407" i="1" s="1"/>
  <c r="K406" i="1" s="1"/>
  <c r="J409" i="1"/>
  <c r="J407" i="1" s="1"/>
  <c r="J406" i="1" s="1"/>
  <c r="I409" i="1"/>
  <c r="H409" i="1"/>
  <c r="H407" i="1" s="1"/>
  <c r="H406" i="1" s="1"/>
  <c r="G409" i="1"/>
  <c r="G407" i="1" s="1"/>
  <c r="G406" i="1" s="1"/>
  <c r="F409" i="1"/>
  <c r="F407" i="1" s="1"/>
  <c r="F406" i="1" s="1"/>
  <c r="E409" i="1"/>
  <c r="D409" i="1"/>
  <c r="D407" i="1" s="1"/>
  <c r="D406" i="1" s="1"/>
  <c r="Q407" i="1"/>
  <c r="Q406" i="1" s="1"/>
  <c r="M407" i="1"/>
  <c r="M406" i="1" s="1"/>
  <c r="I407" i="1"/>
  <c r="I406" i="1" s="1"/>
  <c r="E407" i="1"/>
  <c r="E406" i="1" s="1"/>
  <c r="R405" i="1"/>
  <c r="S405" i="1" s="1"/>
  <c r="H405" i="1"/>
  <c r="F405" i="1"/>
  <c r="Q405" i="1" s="1"/>
  <c r="R404" i="1"/>
  <c r="S404" i="1" s="1"/>
  <c r="Q404" i="1"/>
  <c r="H404" i="1"/>
  <c r="E404" i="1"/>
  <c r="H403" i="1"/>
  <c r="R403" i="1" s="1"/>
  <c r="S403" i="1" s="1"/>
  <c r="F403" i="1"/>
  <c r="Q403" i="1" s="1"/>
  <c r="H402" i="1"/>
  <c r="E402" i="1"/>
  <c r="O401" i="1"/>
  <c r="H401" i="1"/>
  <c r="Q401" i="1" s="1"/>
  <c r="F401" i="1"/>
  <c r="H400" i="1"/>
  <c r="R400" i="1" s="1"/>
  <c r="S400" i="1" s="1"/>
  <c r="F400" i="1"/>
  <c r="Q400" i="1" s="1"/>
  <c r="H399" i="1"/>
  <c r="F399" i="1"/>
  <c r="N398" i="1"/>
  <c r="H398" i="1" s="1"/>
  <c r="R398" i="1" s="1"/>
  <c r="S398" i="1" s="1"/>
  <c r="F398" i="1"/>
  <c r="N397" i="1"/>
  <c r="H397" i="1"/>
  <c r="R397" i="1" s="1"/>
  <c r="S397" i="1" s="1"/>
  <c r="F397" i="1"/>
  <c r="Q397" i="1" s="1"/>
  <c r="O396" i="1"/>
  <c r="N396" i="1"/>
  <c r="H396" i="1"/>
  <c r="F396" i="1"/>
  <c r="Q396" i="1" s="1"/>
  <c r="N395" i="1"/>
  <c r="H395" i="1" s="1"/>
  <c r="F395" i="1"/>
  <c r="O394" i="1"/>
  <c r="N394" i="1"/>
  <c r="H394" i="1"/>
  <c r="F394" i="1"/>
  <c r="N393" i="1"/>
  <c r="H393" i="1" s="1"/>
  <c r="R393" i="1" s="1"/>
  <c r="S393" i="1" s="1"/>
  <c r="F393" i="1"/>
  <c r="O392" i="1"/>
  <c r="N392" i="1"/>
  <c r="H392" i="1" s="1"/>
  <c r="F392" i="1"/>
  <c r="Q392" i="1" s="1"/>
  <c r="O391" i="1"/>
  <c r="H391" i="1"/>
  <c r="R391" i="1" s="1"/>
  <c r="S391" i="1" s="1"/>
  <c r="F391" i="1"/>
  <c r="Q391" i="1" s="1"/>
  <c r="N390" i="1"/>
  <c r="H390" i="1" s="1"/>
  <c r="F390" i="1"/>
  <c r="N389" i="1"/>
  <c r="H389" i="1"/>
  <c r="R389" i="1" s="1"/>
  <c r="S389" i="1" s="1"/>
  <c r="F389" i="1"/>
  <c r="N388" i="1"/>
  <c r="H388" i="1" s="1"/>
  <c r="F388" i="1"/>
  <c r="H387" i="1"/>
  <c r="R387" i="1" s="1"/>
  <c r="S387" i="1" s="1"/>
  <c r="F387" i="1"/>
  <c r="H386" i="1"/>
  <c r="R386" i="1" s="1"/>
  <c r="S386" i="1" s="1"/>
  <c r="F386" i="1"/>
  <c r="N385" i="1"/>
  <c r="H385" i="1" s="1"/>
  <c r="F385" i="1"/>
  <c r="O384" i="1"/>
  <c r="N384" i="1"/>
  <c r="H384" i="1"/>
  <c r="R384" i="1" s="1"/>
  <c r="S384" i="1" s="1"/>
  <c r="F384" i="1"/>
  <c r="N383" i="1"/>
  <c r="H383" i="1" s="1"/>
  <c r="R383" i="1" s="1"/>
  <c r="S383" i="1" s="1"/>
  <c r="F383" i="1"/>
  <c r="O382" i="1"/>
  <c r="N382" i="1"/>
  <c r="H382" i="1" s="1"/>
  <c r="F382" i="1"/>
  <c r="O381" i="1"/>
  <c r="H381" i="1"/>
  <c r="R381" i="1" s="1"/>
  <c r="S381" i="1" s="1"/>
  <c r="F381" i="1"/>
  <c r="O380" i="1"/>
  <c r="N380" i="1"/>
  <c r="H380" i="1" s="1"/>
  <c r="F380" i="1"/>
  <c r="H379" i="1"/>
  <c r="R379" i="1" s="1"/>
  <c r="E379" i="1"/>
  <c r="E378" i="1" s="1"/>
  <c r="P378" i="1"/>
  <c r="M378" i="1"/>
  <c r="L378" i="1"/>
  <c r="K378" i="1"/>
  <c r="J378" i="1"/>
  <c r="I378" i="1"/>
  <c r="G378" i="1"/>
  <c r="D378" i="1"/>
  <c r="O377" i="1"/>
  <c r="N377" i="1"/>
  <c r="H377" i="1" s="1"/>
  <c r="R377" i="1" s="1"/>
  <c r="S377" i="1" s="1"/>
  <c r="F377" i="1"/>
  <c r="O376" i="1"/>
  <c r="H376" i="1"/>
  <c r="F376" i="1"/>
  <c r="Q376" i="1" s="1"/>
  <c r="H375" i="1"/>
  <c r="R375" i="1" s="1"/>
  <c r="S375" i="1" s="1"/>
  <c r="F375" i="1"/>
  <c r="O374" i="1"/>
  <c r="N374" i="1"/>
  <c r="H374" i="1"/>
  <c r="F374" i="1"/>
  <c r="O373" i="1"/>
  <c r="H373" i="1"/>
  <c r="F373" i="1"/>
  <c r="Q373" i="1" s="1"/>
  <c r="N372" i="1"/>
  <c r="H372" i="1"/>
  <c r="E372" i="1"/>
  <c r="E357" i="1" s="1"/>
  <c r="O371" i="1"/>
  <c r="N371" i="1"/>
  <c r="H371" i="1"/>
  <c r="F371" i="1"/>
  <c r="N370" i="1"/>
  <c r="H370" i="1" s="1"/>
  <c r="F370" i="1"/>
  <c r="N369" i="1"/>
  <c r="H369" i="1"/>
  <c r="R369" i="1" s="1"/>
  <c r="S369" i="1" s="1"/>
  <c r="F369" i="1"/>
  <c r="N368" i="1"/>
  <c r="H368" i="1" s="1"/>
  <c r="F368" i="1"/>
  <c r="R367" i="1"/>
  <c r="S367" i="1" s="1"/>
  <c r="N367" i="1"/>
  <c r="H367" i="1"/>
  <c r="F367" i="1"/>
  <c r="Q367" i="1" s="1"/>
  <c r="N366" i="1"/>
  <c r="H366" i="1" s="1"/>
  <c r="F366" i="1"/>
  <c r="O365" i="1"/>
  <c r="N365" i="1"/>
  <c r="N357" i="1" s="1"/>
  <c r="H365" i="1"/>
  <c r="R365" i="1" s="1"/>
  <c r="S365" i="1" s="1"/>
  <c r="F365" i="1"/>
  <c r="O364" i="1"/>
  <c r="H364" i="1"/>
  <c r="R364" i="1" s="1"/>
  <c r="S364" i="1" s="1"/>
  <c r="F364" i="1"/>
  <c r="Q364" i="1" s="1"/>
  <c r="O363" i="1"/>
  <c r="H363" i="1"/>
  <c r="F363" i="1"/>
  <c r="O362" i="1"/>
  <c r="H362" i="1"/>
  <c r="R362" i="1" s="1"/>
  <c r="S362" i="1" s="1"/>
  <c r="F362" i="1"/>
  <c r="O361" i="1"/>
  <c r="H361" i="1"/>
  <c r="F361" i="1"/>
  <c r="O360" i="1"/>
  <c r="R360" i="1" s="1"/>
  <c r="S360" i="1" s="1"/>
  <c r="H360" i="1"/>
  <c r="F360" i="1"/>
  <c r="Q360" i="1" s="1"/>
  <c r="O359" i="1"/>
  <c r="H359" i="1"/>
  <c r="F359" i="1"/>
  <c r="R358" i="1"/>
  <c r="O358" i="1"/>
  <c r="H358" i="1"/>
  <c r="F358" i="1"/>
  <c r="P357" i="1"/>
  <c r="M357" i="1"/>
  <c r="L357" i="1"/>
  <c r="K357" i="1"/>
  <c r="J357" i="1"/>
  <c r="I357" i="1"/>
  <c r="G357" i="1"/>
  <c r="D357" i="1"/>
  <c r="H356" i="1"/>
  <c r="R356" i="1" s="1"/>
  <c r="R355" i="1" s="1"/>
  <c r="S355" i="1" s="1"/>
  <c r="F356" i="1"/>
  <c r="P355" i="1"/>
  <c r="O355" i="1"/>
  <c r="N355" i="1"/>
  <c r="M355" i="1"/>
  <c r="L355" i="1"/>
  <c r="K355" i="1"/>
  <c r="J355" i="1"/>
  <c r="I355" i="1"/>
  <c r="G355" i="1"/>
  <c r="E355" i="1"/>
  <c r="D355" i="1"/>
  <c r="S354" i="1"/>
  <c r="H354" i="1"/>
  <c r="R354" i="1" s="1"/>
  <c r="E354" i="1"/>
  <c r="H353" i="1"/>
  <c r="Q353" i="1" s="1"/>
  <c r="F353" i="1"/>
  <c r="R352" i="1"/>
  <c r="S352" i="1" s="1"/>
  <c r="O352" i="1"/>
  <c r="H352" i="1"/>
  <c r="F352" i="1"/>
  <c r="Q351" i="1"/>
  <c r="H351" i="1"/>
  <c r="R351" i="1" s="1"/>
  <c r="S351" i="1" s="1"/>
  <c r="E351" i="1"/>
  <c r="H350" i="1"/>
  <c r="R350" i="1" s="1"/>
  <c r="S350" i="1" s="1"/>
  <c r="F350" i="1"/>
  <c r="Q350" i="1" s="1"/>
  <c r="H349" i="1"/>
  <c r="E349" i="1"/>
  <c r="H348" i="1"/>
  <c r="E348" i="1"/>
  <c r="O347" i="1"/>
  <c r="H347" i="1"/>
  <c r="F347" i="1"/>
  <c r="Q347" i="1" s="1"/>
  <c r="H346" i="1"/>
  <c r="Q346" i="1" s="1"/>
  <c r="E346" i="1"/>
  <c r="H345" i="1"/>
  <c r="R345" i="1" s="1"/>
  <c r="S345" i="1" s="1"/>
  <c r="F345" i="1"/>
  <c r="O344" i="1"/>
  <c r="H344" i="1"/>
  <c r="F344" i="1"/>
  <c r="H343" i="1"/>
  <c r="R343" i="1" s="1"/>
  <c r="S343" i="1" s="1"/>
  <c r="F343" i="1"/>
  <c r="H342" i="1"/>
  <c r="F342" i="1"/>
  <c r="O341" i="1"/>
  <c r="O340" i="1" s="1"/>
  <c r="H341" i="1"/>
  <c r="F341" i="1"/>
  <c r="P340" i="1"/>
  <c r="N340" i="1"/>
  <c r="M340" i="1"/>
  <c r="L340" i="1"/>
  <c r="K340" i="1"/>
  <c r="J340" i="1"/>
  <c r="J339" i="1" s="1"/>
  <c r="I340" i="1"/>
  <c r="G340" i="1"/>
  <c r="D340" i="1"/>
  <c r="D339" i="1" s="1"/>
  <c r="N338" i="1"/>
  <c r="H338" i="1" s="1"/>
  <c r="R338" i="1" s="1"/>
  <c r="S338" i="1" s="1"/>
  <c r="F338" i="1"/>
  <c r="N337" i="1"/>
  <c r="H337" i="1" s="1"/>
  <c r="R337" i="1" s="1"/>
  <c r="S337" i="1" s="1"/>
  <c r="F337" i="1"/>
  <c r="N336" i="1"/>
  <c r="H336" i="1" s="1"/>
  <c r="R336" i="1" s="1"/>
  <c r="S336" i="1" s="1"/>
  <c r="F336" i="1"/>
  <c r="N335" i="1"/>
  <c r="H335" i="1" s="1"/>
  <c r="R335" i="1" s="1"/>
  <c r="S335" i="1" s="1"/>
  <c r="F335" i="1"/>
  <c r="N334" i="1"/>
  <c r="F334" i="1"/>
  <c r="O333" i="1"/>
  <c r="O332" i="1" s="1"/>
  <c r="N333" i="1"/>
  <c r="H333" i="1"/>
  <c r="F333" i="1"/>
  <c r="P332" i="1"/>
  <c r="M332" i="1"/>
  <c r="M326" i="1" s="1"/>
  <c r="L332" i="1"/>
  <c r="K332" i="1"/>
  <c r="J332" i="1"/>
  <c r="I332" i="1"/>
  <c r="I326" i="1" s="1"/>
  <c r="G332" i="1"/>
  <c r="E332" i="1"/>
  <c r="D332" i="1"/>
  <c r="H329" i="1"/>
  <c r="E329" i="1"/>
  <c r="E327" i="1" s="1"/>
  <c r="O328" i="1"/>
  <c r="H328" i="1"/>
  <c r="F328" i="1"/>
  <c r="P327" i="1"/>
  <c r="P326" i="1" s="1"/>
  <c r="N327" i="1"/>
  <c r="M327" i="1"/>
  <c r="L327" i="1"/>
  <c r="L326" i="1" s="1"/>
  <c r="K327" i="1"/>
  <c r="J327" i="1"/>
  <c r="J326" i="1" s="1"/>
  <c r="I327" i="1"/>
  <c r="H327" i="1"/>
  <c r="G327" i="1"/>
  <c r="D327" i="1"/>
  <c r="D326" i="1" s="1"/>
  <c r="O324" i="1"/>
  <c r="N324" i="1"/>
  <c r="H324" i="1"/>
  <c r="F324" i="1"/>
  <c r="Q323" i="1"/>
  <c r="O323" i="1"/>
  <c r="N323" i="1"/>
  <c r="H323" i="1" s="1"/>
  <c r="F323" i="1"/>
  <c r="N322" i="1"/>
  <c r="H322" i="1" s="1"/>
  <c r="E322" i="1"/>
  <c r="N321" i="1"/>
  <c r="H321" i="1" s="1"/>
  <c r="E321" i="1"/>
  <c r="N320" i="1"/>
  <c r="H320" i="1" s="1"/>
  <c r="E320" i="1"/>
  <c r="N319" i="1"/>
  <c r="H319" i="1" s="1"/>
  <c r="Q319" i="1" s="1"/>
  <c r="E319" i="1"/>
  <c r="N318" i="1"/>
  <c r="H318" i="1" s="1"/>
  <c r="E318" i="1"/>
  <c r="N317" i="1"/>
  <c r="H317" i="1" s="1"/>
  <c r="E317" i="1"/>
  <c r="N316" i="1"/>
  <c r="E316" i="1"/>
  <c r="O315" i="1"/>
  <c r="N315" i="1"/>
  <c r="H315" i="1"/>
  <c r="F315" i="1"/>
  <c r="O314" i="1"/>
  <c r="H314" i="1"/>
  <c r="F314" i="1"/>
  <c r="Q314" i="1" s="1"/>
  <c r="O313" i="1"/>
  <c r="H313" i="1"/>
  <c r="F313" i="1"/>
  <c r="O312" i="1"/>
  <c r="N312" i="1"/>
  <c r="H312" i="1" s="1"/>
  <c r="F312" i="1"/>
  <c r="Q312" i="1" s="1"/>
  <c r="O311" i="1"/>
  <c r="H311" i="1"/>
  <c r="F311" i="1"/>
  <c r="O310" i="1"/>
  <c r="H310" i="1"/>
  <c r="R310" i="1" s="1"/>
  <c r="S310" i="1" s="1"/>
  <c r="F310" i="1"/>
  <c r="O309" i="1"/>
  <c r="R309" i="1" s="1"/>
  <c r="S309" i="1" s="1"/>
  <c r="H309" i="1"/>
  <c r="F309" i="1"/>
  <c r="Q309" i="1" s="1"/>
  <c r="O308" i="1"/>
  <c r="H308" i="1"/>
  <c r="F308" i="1"/>
  <c r="O307" i="1"/>
  <c r="H307" i="1"/>
  <c r="F307" i="1"/>
  <c r="O306" i="1"/>
  <c r="H306" i="1"/>
  <c r="R306" i="1" s="1"/>
  <c r="F306" i="1"/>
  <c r="P305" i="1"/>
  <c r="M305" i="1"/>
  <c r="L305" i="1"/>
  <c r="K305" i="1"/>
  <c r="J305" i="1"/>
  <c r="I305" i="1"/>
  <c r="G305" i="1"/>
  <c r="D305" i="1"/>
  <c r="N302" i="1"/>
  <c r="H302" i="1" s="1"/>
  <c r="H301" i="1"/>
  <c r="R301" i="1" s="1"/>
  <c r="S301" i="1" s="1"/>
  <c r="F301" i="1"/>
  <c r="P300" i="1"/>
  <c r="O300" i="1"/>
  <c r="N300" i="1"/>
  <c r="M300" i="1"/>
  <c r="L300" i="1"/>
  <c r="K300" i="1"/>
  <c r="J300" i="1"/>
  <c r="I300" i="1"/>
  <c r="G300" i="1"/>
  <c r="F300" i="1"/>
  <c r="E300" i="1"/>
  <c r="D300" i="1"/>
  <c r="P298" i="1"/>
  <c r="P291" i="1" s="1"/>
  <c r="K298" i="1"/>
  <c r="D298" i="1"/>
  <c r="D291" i="1" s="1"/>
  <c r="K291" i="1"/>
  <c r="H289" i="1"/>
  <c r="F289" i="1"/>
  <c r="H288" i="1"/>
  <c r="R288" i="1" s="1"/>
  <c r="S288" i="1" s="1"/>
  <c r="F288" i="1"/>
  <c r="H287" i="1"/>
  <c r="Q287" i="1" s="1"/>
  <c r="F287" i="1"/>
  <c r="H286" i="1"/>
  <c r="R286" i="1" s="1"/>
  <c r="S286" i="1" s="1"/>
  <c r="F286" i="1"/>
  <c r="Q286" i="1" s="1"/>
  <c r="H285" i="1"/>
  <c r="R285" i="1" s="1"/>
  <c r="S285" i="1" s="1"/>
  <c r="F285" i="1"/>
  <c r="Q285" i="1" s="1"/>
  <c r="H284" i="1"/>
  <c r="R284" i="1" s="1"/>
  <c r="S284" i="1" s="1"/>
  <c r="F284" i="1"/>
  <c r="Q284" i="1" s="1"/>
  <c r="H283" i="1"/>
  <c r="F283" i="1"/>
  <c r="H282" i="1"/>
  <c r="R282" i="1" s="1"/>
  <c r="S282" i="1" s="1"/>
  <c r="F282" i="1"/>
  <c r="H281" i="1"/>
  <c r="R281" i="1" s="1"/>
  <c r="S281" i="1" s="1"/>
  <c r="F281" i="1"/>
  <c r="H280" i="1"/>
  <c r="R280" i="1" s="1"/>
  <c r="S280" i="1" s="1"/>
  <c r="F280" i="1"/>
  <c r="R279" i="1"/>
  <c r="S279" i="1" s="1"/>
  <c r="H279" i="1"/>
  <c r="F279" i="1"/>
  <c r="H278" i="1"/>
  <c r="R278" i="1" s="1"/>
  <c r="S278" i="1" s="1"/>
  <c r="F278" i="1"/>
  <c r="H277" i="1"/>
  <c r="R277" i="1" s="1"/>
  <c r="S277" i="1" s="1"/>
  <c r="F277" i="1"/>
  <c r="H276" i="1"/>
  <c r="R276" i="1" s="1"/>
  <c r="S276" i="1" s="1"/>
  <c r="F276" i="1"/>
  <c r="H275" i="1"/>
  <c r="R275" i="1" s="1"/>
  <c r="S275" i="1" s="1"/>
  <c r="F275" i="1"/>
  <c r="R274" i="1"/>
  <c r="S274" i="1" s="1"/>
  <c r="H274" i="1"/>
  <c r="F274" i="1"/>
  <c r="P273" i="1"/>
  <c r="O273" i="1"/>
  <c r="N273" i="1"/>
  <c r="M273" i="1"/>
  <c r="L273" i="1"/>
  <c r="K273" i="1"/>
  <c r="J273" i="1"/>
  <c r="I273" i="1"/>
  <c r="G273" i="1"/>
  <c r="E273" i="1"/>
  <c r="D273" i="1"/>
  <c r="O271" i="1"/>
  <c r="O270" i="1" s="1"/>
  <c r="O266" i="1" s="1"/>
  <c r="H271" i="1"/>
  <c r="F271" i="1"/>
  <c r="P270" i="1"/>
  <c r="P266" i="1" s="1"/>
  <c r="N270" i="1"/>
  <c r="N266" i="1" s="1"/>
  <c r="M270" i="1"/>
  <c r="L270" i="1"/>
  <c r="K270" i="1"/>
  <c r="J270" i="1"/>
  <c r="J266" i="1" s="1"/>
  <c r="I270" i="1"/>
  <c r="G270" i="1"/>
  <c r="G266" i="1" s="1"/>
  <c r="E270" i="1"/>
  <c r="D270" i="1"/>
  <c r="D266" i="1" s="1"/>
  <c r="M266" i="1"/>
  <c r="L266" i="1"/>
  <c r="K266" i="1"/>
  <c r="I266" i="1"/>
  <c r="E266" i="1"/>
  <c r="R260" i="1"/>
  <c r="R259" i="1" s="1"/>
  <c r="Q260" i="1"/>
  <c r="Q259" i="1" s="1"/>
  <c r="P260" i="1"/>
  <c r="P259" i="1" s="1"/>
  <c r="O260" i="1"/>
  <c r="O259" i="1" s="1"/>
  <c r="N260" i="1"/>
  <c r="N259" i="1" s="1"/>
  <c r="M260" i="1"/>
  <c r="M259" i="1" s="1"/>
  <c r="L260" i="1"/>
  <c r="L259" i="1" s="1"/>
  <c r="K260" i="1"/>
  <c r="K259" i="1" s="1"/>
  <c r="J260" i="1"/>
  <c r="J259" i="1" s="1"/>
  <c r="I260" i="1"/>
  <c r="I259" i="1" s="1"/>
  <c r="H260" i="1"/>
  <c r="H259" i="1" s="1"/>
  <c r="G260" i="1"/>
  <c r="G259" i="1" s="1"/>
  <c r="F260" i="1"/>
  <c r="F259" i="1" s="1"/>
  <c r="E260" i="1"/>
  <c r="E259" i="1" s="1"/>
  <c r="D260" i="1"/>
  <c r="D259" i="1" s="1"/>
  <c r="H258" i="1"/>
  <c r="Q258" i="1" s="1"/>
  <c r="E258" i="1"/>
  <c r="T257" i="1"/>
  <c r="H257" i="1"/>
  <c r="Q257" i="1" s="1"/>
  <c r="E257" i="1"/>
  <c r="S256" i="1"/>
  <c r="H256" i="1"/>
  <c r="R256" i="1" s="1"/>
  <c r="E256" i="1"/>
  <c r="H255" i="1"/>
  <c r="R255" i="1" s="1"/>
  <c r="S255" i="1" s="1"/>
  <c r="F255" i="1"/>
  <c r="H254" i="1"/>
  <c r="R254" i="1" s="1"/>
  <c r="S254" i="1" s="1"/>
  <c r="F254" i="1"/>
  <c r="O253" i="1"/>
  <c r="R253" i="1" s="1"/>
  <c r="S253" i="1" s="1"/>
  <c r="H253" i="1"/>
  <c r="F253" i="1"/>
  <c r="Q253" i="1" s="1"/>
  <c r="H252" i="1"/>
  <c r="R252" i="1" s="1"/>
  <c r="S252" i="1" s="1"/>
  <c r="F252" i="1"/>
  <c r="H251" i="1"/>
  <c r="F251" i="1"/>
  <c r="O250" i="1"/>
  <c r="H250" i="1"/>
  <c r="F250" i="1"/>
  <c r="O249" i="1"/>
  <c r="O247" i="1" s="1"/>
  <c r="H249" i="1"/>
  <c r="F249" i="1"/>
  <c r="Q249" i="1" s="1"/>
  <c r="O248" i="1"/>
  <c r="H248" i="1"/>
  <c r="R248" i="1" s="1"/>
  <c r="F248" i="1"/>
  <c r="P247" i="1"/>
  <c r="N247" i="1"/>
  <c r="M247" i="1"/>
  <c r="L247" i="1"/>
  <c r="K247" i="1"/>
  <c r="J247" i="1"/>
  <c r="I247" i="1"/>
  <c r="G247" i="1"/>
  <c r="D247" i="1"/>
  <c r="O244" i="1"/>
  <c r="R244" i="1" s="1"/>
  <c r="S244" i="1" s="1"/>
  <c r="H244" i="1"/>
  <c r="F244" i="1"/>
  <c r="Q244" i="1" s="1"/>
  <c r="H243" i="1"/>
  <c r="F243" i="1"/>
  <c r="O242" i="1"/>
  <c r="H242" i="1"/>
  <c r="F242" i="1"/>
  <c r="O241" i="1"/>
  <c r="H241" i="1"/>
  <c r="F241" i="1"/>
  <c r="P240" i="1"/>
  <c r="N240" i="1"/>
  <c r="N239" i="1" s="1"/>
  <c r="M240" i="1"/>
  <c r="L240" i="1"/>
  <c r="K240" i="1"/>
  <c r="J240" i="1"/>
  <c r="J239" i="1" s="1"/>
  <c r="I240" i="1"/>
  <c r="I239" i="1" s="1"/>
  <c r="G240" i="1"/>
  <c r="E240" i="1"/>
  <c r="D240" i="1"/>
  <c r="M239" i="1"/>
  <c r="H238" i="1"/>
  <c r="F238" i="1"/>
  <c r="R237" i="1"/>
  <c r="S237" i="1" s="1"/>
  <c r="H237" i="1"/>
  <c r="F237" i="1"/>
  <c r="Q237" i="1" s="1"/>
  <c r="O236" i="1"/>
  <c r="H236" i="1"/>
  <c r="F236" i="1"/>
  <c r="Q235" i="1"/>
  <c r="H235" i="1"/>
  <c r="R235" i="1" s="1"/>
  <c r="S235" i="1" s="1"/>
  <c r="E235" i="1"/>
  <c r="E230" i="1" s="1"/>
  <c r="H234" i="1"/>
  <c r="R234" i="1" s="1"/>
  <c r="S234" i="1" s="1"/>
  <c r="F234" i="1"/>
  <c r="Q234" i="1" s="1"/>
  <c r="O233" i="1"/>
  <c r="H233" i="1"/>
  <c r="F233" i="1"/>
  <c r="R232" i="1"/>
  <c r="S232" i="1" s="1"/>
  <c r="H232" i="1"/>
  <c r="F232" i="1"/>
  <c r="Q232" i="1" s="1"/>
  <c r="H231" i="1"/>
  <c r="R231" i="1" s="1"/>
  <c r="F231" i="1"/>
  <c r="P230" i="1"/>
  <c r="N230" i="1"/>
  <c r="M230" i="1"/>
  <c r="L230" i="1"/>
  <c r="K230" i="1"/>
  <c r="J230" i="1"/>
  <c r="I230" i="1"/>
  <c r="G230" i="1"/>
  <c r="D230" i="1"/>
  <c r="H229" i="1"/>
  <c r="F229" i="1"/>
  <c r="P228" i="1"/>
  <c r="O228" i="1"/>
  <c r="N228" i="1"/>
  <c r="M228" i="1"/>
  <c r="L228" i="1"/>
  <c r="K228" i="1"/>
  <c r="J228" i="1"/>
  <c r="I228" i="1"/>
  <c r="G228" i="1"/>
  <c r="E228" i="1"/>
  <c r="D228" i="1"/>
  <c r="R226" i="1"/>
  <c r="H226" i="1"/>
  <c r="H225" i="1" s="1"/>
  <c r="F226" i="1"/>
  <c r="F225" i="1" s="1"/>
  <c r="P225" i="1"/>
  <c r="O225" i="1"/>
  <c r="N225" i="1"/>
  <c r="M225" i="1"/>
  <c r="M224" i="1" s="1"/>
  <c r="L225" i="1"/>
  <c r="K225" i="1"/>
  <c r="K224" i="1" s="1"/>
  <c r="J225" i="1"/>
  <c r="I225" i="1"/>
  <c r="G225" i="1"/>
  <c r="E225" i="1"/>
  <c r="D225" i="1"/>
  <c r="G224" i="1"/>
  <c r="O222" i="1"/>
  <c r="H222" i="1"/>
  <c r="R222" i="1" s="1"/>
  <c r="S222" i="1" s="1"/>
  <c r="F222" i="1"/>
  <c r="O221" i="1"/>
  <c r="H221" i="1"/>
  <c r="F221" i="1"/>
  <c r="M220" i="1"/>
  <c r="H220" i="1"/>
  <c r="R220" i="1" s="1"/>
  <c r="S220" i="1" s="1"/>
  <c r="F220" i="1"/>
  <c r="H219" i="1"/>
  <c r="R219" i="1" s="1"/>
  <c r="S219" i="1" s="1"/>
  <c r="F219" i="1"/>
  <c r="P218" i="1"/>
  <c r="N218" i="1"/>
  <c r="N213" i="1" s="1"/>
  <c r="M218" i="1"/>
  <c r="M213" i="1" s="1"/>
  <c r="L218" i="1"/>
  <c r="K218" i="1"/>
  <c r="J218" i="1"/>
  <c r="J213" i="1" s="1"/>
  <c r="I218" i="1"/>
  <c r="I213" i="1" s="1"/>
  <c r="G218" i="1"/>
  <c r="E218" i="1"/>
  <c r="E213" i="1" s="1"/>
  <c r="D218" i="1"/>
  <c r="D213" i="1" s="1"/>
  <c r="P213" i="1"/>
  <c r="L213" i="1"/>
  <c r="K213" i="1"/>
  <c r="G213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R207" i="1"/>
  <c r="Q207" i="1"/>
  <c r="P207" i="1"/>
  <c r="O207" i="1"/>
  <c r="N207" i="1"/>
  <c r="M207" i="1"/>
  <c r="L207" i="1"/>
  <c r="K207" i="1"/>
  <c r="J207" i="1"/>
  <c r="I207" i="1"/>
  <c r="I206" i="1" s="1"/>
  <c r="H207" i="1"/>
  <c r="G207" i="1"/>
  <c r="F207" i="1"/>
  <c r="E207" i="1"/>
  <c r="D207" i="1"/>
  <c r="M206" i="1"/>
  <c r="H204" i="1"/>
  <c r="R204" i="1" s="1"/>
  <c r="S204" i="1" s="1"/>
  <c r="F204" i="1"/>
  <c r="Q204" i="1" s="1"/>
  <c r="H203" i="1"/>
  <c r="R203" i="1" s="1"/>
  <c r="S203" i="1" s="1"/>
  <c r="F203" i="1"/>
  <c r="H202" i="1"/>
  <c r="E202" i="1"/>
  <c r="P201" i="1"/>
  <c r="F201" i="1"/>
  <c r="H200" i="1"/>
  <c r="Q200" i="1" s="1"/>
  <c r="L199" i="1"/>
  <c r="H199" i="1"/>
  <c r="R199" i="1" s="1"/>
  <c r="S199" i="1" s="1"/>
  <c r="F199" i="1"/>
  <c r="H198" i="1"/>
  <c r="R198" i="1" s="1"/>
  <c r="S198" i="1" s="1"/>
  <c r="F198" i="1"/>
  <c r="H197" i="1"/>
  <c r="R197" i="1" s="1"/>
  <c r="S197" i="1" s="1"/>
  <c r="F197" i="1"/>
  <c r="R196" i="1"/>
  <c r="S196" i="1" s="1"/>
  <c r="H196" i="1"/>
  <c r="F196" i="1"/>
  <c r="Q196" i="1" s="1"/>
  <c r="J195" i="1"/>
  <c r="H195" i="1"/>
  <c r="F195" i="1"/>
  <c r="J194" i="1"/>
  <c r="H194" i="1"/>
  <c r="R194" i="1" s="1"/>
  <c r="S194" i="1" s="1"/>
  <c r="F194" i="1"/>
  <c r="L193" i="1"/>
  <c r="H193" i="1" s="1"/>
  <c r="F193" i="1"/>
  <c r="H192" i="1"/>
  <c r="F192" i="1"/>
  <c r="R191" i="1"/>
  <c r="S191" i="1" s="1"/>
  <c r="H191" i="1"/>
  <c r="F191" i="1"/>
  <c r="Q191" i="1" s="1"/>
  <c r="H190" i="1"/>
  <c r="R190" i="1" s="1"/>
  <c r="S190" i="1" s="1"/>
  <c r="F190" i="1"/>
  <c r="H189" i="1"/>
  <c r="R189" i="1" s="1"/>
  <c r="S189" i="1" s="1"/>
  <c r="F189" i="1"/>
  <c r="Q189" i="1" s="1"/>
  <c r="H188" i="1"/>
  <c r="R188" i="1" s="1"/>
  <c r="S188" i="1" s="1"/>
  <c r="F188" i="1"/>
  <c r="Q188" i="1" s="1"/>
  <c r="H187" i="1"/>
  <c r="Q187" i="1" s="1"/>
  <c r="E187" i="1"/>
  <c r="H186" i="1"/>
  <c r="H185" i="1"/>
  <c r="E185" i="1"/>
  <c r="L184" i="1"/>
  <c r="H183" i="1"/>
  <c r="R183" i="1" s="1"/>
  <c r="S183" i="1" s="1"/>
  <c r="F183" i="1"/>
  <c r="R182" i="1"/>
  <c r="S182" i="1" s="1"/>
  <c r="H182" i="1"/>
  <c r="F182" i="1"/>
  <c r="Q182" i="1" s="1"/>
  <c r="H181" i="1"/>
  <c r="R181" i="1" s="1"/>
  <c r="S181" i="1" s="1"/>
  <c r="F181" i="1"/>
  <c r="H180" i="1"/>
  <c r="R180" i="1" s="1"/>
  <c r="S180" i="1" s="1"/>
  <c r="F180" i="1"/>
  <c r="H179" i="1"/>
  <c r="F179" i="1"/>
  <c r="H178" i="1"/>
  <c r="H177" i="1"/>
  <c r="R177" i="1" s="1"/>
  <c r="S177" i="1" s="1"/>
  <c r="F177" i="1"/>
  <c r="H176" i="1"/>
  <c r="R176" i="1" s="1"/>
  <c r="S176" i="1" s="1"/>
  <c r="F176" i="1"/>
  <c r="R175" i="1"/>
  <c r="S175" i="1" s="1"/>
  <c r="H175" i="1"/>
  <c r="F175" i="1"/>
  <c r="Q175" i="1" s="1"/>
  <c r="H174" i="1"/>
  <c r="R174" i="1" s="1"/>
  <c r="S174" i="1" s="1"/>
  <c r="F174" i="1"/>
  <c r="H173" i="1"/>
  <c r="R173" i="1" s="1"/>
  <c r="S173" i="1" s="1"/>
  <c r="F173" i="1"/>
  <c r="H172" i="1"/>
  <c r="R172" i="1" s="1"/>
  <c r="S172" i="1" s="1"/>
  <c r="F172" i="1"/>
  <c r="R171" i="1"/>
  <c r="S171" i="1" s="1"/>
  <c r="H171" i="1"/>
  <c r="F171" i="1"/>
  <c r="Q171" i="1" s="1"/>
  <c r="H170" i="1"/>
  <c r="R170" i="1" s="1"/>
  <c r="S170" i="1" s="1"/>
  <c r="F170" i="1"/>
  <c r="H169" i="1"/>
  <c r="R169" i="1" s="1"/>
  <c r="S169" i="1" s="1"/>
  <c r="F169" i="1"/>
  <c r="H168" i="1"/>
  <c r="R168" i="1" s="1"/>
  <c r="S168" i="1" s="1"/>
  <c r="F168" i="1"/>
  <c r="R167" i="1"/>
  <c r="S167" i="1" s="1"/>
  <c r="H167" i="1"/>
  <c r="F167" i="1"/>
  <c r="Q167" i="1" s="1"/>
  <c r="H166" i="1"/>
  <c r="R166" i="1" s="1"/>
  <c r="S166" i="1" s="1"/>
  <c r="F166" i="1"/>
  <c r="H165" i="1"/>
  <c r="R165" i="1" s="1"/>
  <c r="S165" i="1" s="1"/>
  <c r="F165" i="1"/>
  <c r="H164" i="1"/>
  <c r="R164" i="1" s="1"/>
  <c r="S164" i="1" s="1"/>
  <c r="F164" i="1"/>
  <c r="R163" i="1"/>
  <c r="S163" i="1" s="1"/>
  <c r="H163" i="1"/>
  <c r="F163" i="1"/>
  <c r="Q163" i="1" s="1"/>
  <c r="H162" i="1"/>
  <c r="R162" i="1" s="1"/>
  <c r="S162" i="1" s="1"/>
  <c r="F162" i="1"/>
  <c r="H161" i="1"/>
  <c r="R161" i="1" s="1"/>
  <c r="S161" i="1" s="1"/>
  <c r="F161" i="1"/>
  <c r="H160" i="1"/>
  <c r="R160" i="1" s="1"/>
  <c r="S160" i="1" s="1"/>
  <c r="F160" i="1"/>
  <c r="H159" i="1"/>
  <c r="O158" i="1"/>
  <c r="H158" i="1"/>
  <c r="R158" i="1" s="1"/>
  <c r="S158" i="1" s="1"/>
  <c r="F158" i="1"/>
  <c r="H157" i="1"/>
  <c r="E157" i="1"/>
  <c r="O156" i="1"/>
  <c r="N156" i="1"/>
  <c r="M156" i="1"/>
  <c r="K156" i="1"/>
  <c r="J156" i="1"/>
  <c r="I156" i="1"/>
  <c r="G156" i="1"/>
  <c r="D156" i="1"/>
  <c r="O154" i="1"/>
  <c r="R154" i="1" s="1"/>
  <c r="S154" i="1" s="1"/>
  <c r="H154" i="1"/>
  <c r="F154" i="1"/>
  <c r="Q154" i="1" s="1"/>
  <c r="O153" i="1"/>
  <c r="H153" i="1"/>
  <c r="F153" i="1"/>
  <c r="O152" i="1"/>
  <c r="R152" i="1" s="1"/>
  <c r="S152" i="1" s="1"/>
  <c r="H152" i="1"/>
  <c r="F152" i="1"/>
  <c r="Q152" i="1" s="1"/>
  <c r="H151" i="1"/>
  <c r="R151" i="1" s="1"/>
  <c r="S151" i="1" s="1"/>
  <c r="F151" i="1"/>
  <c r="O150" i="1"/>
  <c r="H150" i="1"/>
  <c r="Q150" i="1" s="1"/>
  <c r="F150" i="1"/>
  <c r="R149" i="1"/>
  <c r="H149" i="1"/>
  <c r="F149" i="1"/>
  <c r="P148" i="1"/>
  <c r="N148" i="1"/>
  <c r="M148" i="1"/>
  <c r="L148" i="1"/>
  <c r="K148" i="1"/>
  <c r="J148" i="1"/>
  <c r="I148" i="1"/>
  <c r="H148" i="1"/>
  <c r="G148" i="1"/>
  <c r="E148" i="1"/>
  <c r="D148" i="1"/>
  <c r="P147" i="1"/>
  <c r="O147" i="1"/>
  <c r="J147" i="1"/>
  <c r="F147" i="1"/>
  <c r="O146" i="1"/>
  <c r="H146" i="1"/>
  <c r="F146" i="1"/>
  <c r="N145" i="1"/>
  <c r="M145" i="1"/>
  <c r="M141" i="1" s="1"/>
  <c r="M24" i="1" s="1"/>
  <c r="L145" i="1"/>
  <c r="K145" i="1"/>
  <c r="J145" i="1"/>
  <c r="I145" i="1"/>
  <c r="I141" i="1" s="1"/>
  <c r="I24" i="1" s="1"/>
  <c r="G145" i="1"/>
  <c r="F145" i="1"/>
  <c r="E145" i="1"/>
  <c r="D145" i="1"/>
  <c r="D141" i="1" s="1"/>
  <c r="O144" i="1"/>
  <c r="H144" i="1"/>
  <c r="F144" i="1"/>
  <c r="F143" i="1" s="1"/>
  <c r="P143" i="1"/>
  <c r="O143" i="1"/>
  <c r="N143" i="1"/>
  <c r="M143" i="1"/>
  <c r="L143" i="1"/>
  <c r="K143" i="1"/>
  <c r="J143" i="1"/>
  <c r="I143" i="1"/>
  <c r="G143" i="1"/>
  <c r="G141" i="1" s="1"/>
  <c r="E143" i="1"/>
  <c r="D143" i="1"/>
  <c r="P137" i="1"/>
  <c r="P136" i="1" s="1"/>
  <c r="P134" i="1" s="1"/>
  <c r="P133" i="1" s="1"/>
  <c r="E137" i="1"/>
  <c r="E136" i="1" s="1"/>
  <c r="E134" i="1" s="1"/>
  <c r="E133" i="1" s="1"/>
  <c r="E23" i="1" s="1"/>
  <c r="O136" i="1"/>
  <c r="O134" i="1" s="1"/>
  <c r="O133" i="1" s="1"/>
  <c r="N136" i="1"/>
  <c r="N134" i="1" s="1"/>
  <c r="N133" i="1" s="1"/>
  <c r="M136" i="1"/>
  <c r="M134" i="1" s="1"/>
  <c r="M133" i="1" s="1"/>
  <c r="M23" i="1" s="1"/>
  <c r="L136" i="1"/>
  <c r="K136" i="1"/>
  <c r="J136" i="1"/>
  <c r="J134" i="1" s="1"/>
  <c r="J133" i="1" s="1"/>
  <c r="I136" i="1"/>
  <c r="I134" i="1" s="1"/>
  <c r="I133" i="1" s="1"/>
  <c r="I23" i="1" s="1"/>
  <c r="G136" i="1"/>
  <c r="G134" i="1" s="1"/>
  <c r="G133" i="1" s="1"/>
  <c r="F136" i="1"/>
  <c r="F134" i="1" s="1"/>
  <c r="F133" i="1" s="1"/>
  <c r="D136" i="1"/>
  <c r="L134" i="1"/>
  <c r="K134" i="1"/>
  <c r="K133" i="1" s="1"/>
  <c r="D134" i="1"/>
  <c r="D133" i="1" s="1"/>
  <c r="L133" i="1"/>
  <c r="R132" i="1"/>
  <c r="S132" i="1" s="1"/>
  <c r="P132" i="1"/>
  <c r="J132" i="1"/>
  <c r="H132" i="1"/>
  <c r="Q132" i="1" s="1"/>
  <c r="E132" i="1"/>
  <c r="H131" i="1"/>
  <c r="E131" i="1"/>
  <c r="H130" i="1"/>
  <c r="F130" i="1"/>
  <c r="P129" i="1"/>
  <c r="H129" i="1"/>
  <c r="R129" i="1" s="1"/>
  <c r="S129" i="1" s="1"/>
  <c r="F129" i="1"/>
  <c r="M128" i="1"/>
  <c r="R128" i="1" s="1"/>
  <c r="S128" i="1" s="1"/>
  <c r="H128" i="1"/>
  <c r="F128" i="1"/>
  <c r="Q128" i="1" s="1"/>
  <c r="H126" i="1"/>
  <c r="R126" i="1" s="1"/>
  <c r="S126" i="1" s="1"/>
  <c r="F126" i="1"/>
  <c r="O125" i="1"/>
  <c r="H125" i="1"/>
  <c r="F125" i="1"/>
  <c r="O124" i="1"/>
  <c r="H124" i="1"/>
  <c r="R124" i="1" s="1"/>
  <c r="S124" i="1" s="1"/>
  <c r="F124" i="1"/>
  <c r="H123" i="1"/>
  <c r="R123" i="1" s="1"/>
  <c r="S123" i="1" s="1"/>
  <c r="F123" i="1"/>
  <c r="H122" i="1"/>
  <c r="R122" i="1" s="1"/>
  <c r="S122" i="1" s="1"/>
  <c r="F122" i="1"/>
  <c r="Q122" i="1" s="1"/>
  <c r="O121" i="1"/>
  <c r="H121" i="1"/>
  <c r="F121" i="1"/>
  <c r="O120" i="1"/>
  <c r="H120" i="1"/>
  <c r="F120" i="1"/>
  <c r="O119" i="1"/>
  <c r="H119" i="1"/>
  <c r="R119" i="1" s="1"/>
  <c r="S119" i="1" s="1"/>
  <c r="F119" i="1"/>
  <c r="H118" i="1"/>
  <c r="R118" i="1" s="1"/>
  <c r="S118" i="1" s="1"/>
  <c r="F118" i="1"/>
  <c r="O117" i="1"/>
  <c r="R117" i="1" s="1"/>
  <c r="S117" i="1" s="1"/>
  <c r="H117" i="1"/>
  <c r="F117" i="1"/>
  <c r="Q117" i="1" s="1"/>
  <c r="O116" i="1"/>
  <c r="H116" i="1"/>
  <c r="R116" i="1" s="1"/>
  <c r="S116" i="1" s="1"/>
  <c r="F116" i="1"/>
  <c r="O115" i="1"/>
  <c r="H115" i="1"/>
  <c r="F115" i="1"/>
  <c r="Q115" i="1" s="1"/>
  <c r="H114" i="1"/>
  <c r="Q114" i="1" s="1"/>
  <c r="E114" i="1"/>
  <c r="H113" i="1"/>
  <c r="E113" i="1"/>
  <c r="H112" i="1"/>
  <c r="E112" i="1"/>
  <c r="R111" i="1"/>
  <c r="S111" i="1" s="1"/>
  <c r="H111" i="1"/>
  <c r="Q111" i="1" s="1"/>
  <c r="R110" i="1"/>
  <c r="S110" i="1" s="1"/>
  <c r="H110" i="1"/>
  <c r="F110" i="1"/>
  <c r="Q110" i="1" s="1"/>
  <c r="H109" i="1"/>
  <c r="R109" i="1" s="1"/>
  <c r="S109" i="1" s="1"/>
  <c r="F109" i="1"/>
  <c r="H108" i="1"/>
  <c r="R108" i="1" s="1"/>
  <c r="S108" i="1" s="1"/>
  <c r="F108" i="1"/>
  <c r="P107" i="1"/>
  <c r="N107" i="1"/>
  <c r="M107" i="1"/>
  <c r="L107" i="1"/>
  <c r="K107" i="1"/>
  <c r="J107" i="1"/>
  <c r="I107" i="1"/>
  <c r="G107" i="1"/>
  <c r="D107" i="1"/>
  <c r="P106" i="1"/>
  <c r="H106" i="1" s="1"/>
  <c r="M106" i="1"/>
  <c r="M89" i="1" s="1"/>
  <c r="J106" i="1"/>
  <c r="F106" i="1"/>
  <c r="P105" i="1"/>
  <c r="H105" i="1" s="1"/>
  <c r="O105" i="1"/>
  <c r="J105" i="1"/>
  <c r="F105" i="1"/>
  <c r="P104" i="1"/>
  <c r="H104" i="1" s="1"/>
  <c r="O104" i="1"/>
  <c r="J104" i="1"/>
  <c r="F104" i="1"/>
  <c r="P103" i="1"/>
  <c r="H103" i="1" s="1"/>
  <c r="O103" i="1"/>
  <c r="J103" i="1"/>
  <c r="F103" i="1"/>
  <c r="P102" i="1"/>
  <c r="H102" i="1" s="1"/>
  <c r="O102" i="1"/>
  <c r="F102" i="1"/>
  <c r="P101" i="1"/>
  <c r="O101" i="1"/>
  <c r="J101" i="1"/>
  <c r="F101" i="1"/>
  <c r="J100" i="1"/>
  <c r="H100" i="1"/>
  <c r="R100" i="1" s="1"/>
  <c r="S100" i="1" s="1"/>
  <c r="F100" i="1"/>
  <c r="P99" i="1"/>
  <c r="O99" i="1"/>
  <c r="R99" i="1" s="1"/>
  <c r="S99" i="1" s="1"/>
  <c r="J99" i="1"/>
  <c r="H99" i="1" s="1"/>
  <c r="F99" i="1"/>
  <c r="P98" i="1"/>
  <c r="O98" i="1"/>
  <c r="J98" i="1"/>
  <c r="H98" i="1"/>
  <c r="F98" i="1"/>
  <c r="J97" i="1"/>
  <c r="H97" i="1" s="1"/>
  <c r="F97" i="1"/>
  <c r="J96" i="1"/>
  <c r="H96" i="1"/>
  <c r="R96" i="1" s="1"/>
  <c r="S96" i="1" s="1"/>
  <c r="F96" i="1"/>
  <c r="J95" i="1"/>
  <c r="H95" i="1" s="1"/>
  <c r="F95" i="1"/>
  <c r="P94" i="1"/>
  <c r="O94" i="1"/>
  <c r="L94" i="1"/>
  <c r="J94" i="1"/>
  <c r="H94" i="1"/>
  <c r="F94" i="1"/>
  <c r="Q94" i="1" s="1"/>
  <c r="P93" i="1"/>
  <c r="H93" i="1" s="1"/>
  <c r="O93" i="1"/>
  <c r="J93" i="1"/>
  <c r="F93" i="1"/>
  <c r="P92" i="1"/>
  <c r="H92" i="1" s="1"/>
  <c r="O92" i="1"/>
  <c r="J92" i="1"/>
  <c r="F92" i="1"/>
  <c r="P91" i="1"/>
  <c r="O91" i="1"/>
  <c r="J91" i="1"/>
  <c r="F91" i="1"/>
  <c r="J90" i="1"/>
  <c r="F90" i="1"/>
  <c r="F89" i="1" s="1"/>
  <c r="N89" i="1"/>
  <c r="L89" i="1"/>
  <c r="K89" i="1"/>
  <c r="I89" i="1"/>
  <c r="G89" i="1"/>
  <c r="E89" i="1"/>
  <c r="D89" i="1"/>
  <c r="O87" i="1"/>
  <c r="H87" i="1"/>
  <c r="F87" i="1"/>
  <c r="H86" i="1"/>
  <c r="R86" i="1" s="1"/>
  <c r="S86" i="1" s="1"/>
  <c r="H85" i="1"/>
  <c r="R85" i="1" s="1"/>
  <c r="S85" i="1" s="1"/>
  <c r="F85" i="1"/>
  <c r="H84" i="1"/>
  <c r="R84" i="1" s="1"/>
  <c r="S84" i="1" s="1"/>
  <c r="F84" i="1"/>
  <c r="O83" i="1"/>
  <c r="H83" i="1"/>
  <c r="F83" i="1"/>
  <c r="O82" i="1"/>
  <c r="R82" i="1" s="1"/>
  <c r="S82" i="1" s="1"/>
  <c r="H82" i="1"/>
  <c r="F82" i="1"/>
  <c r="O81" i="1"/>
  <c r="H81" i="1"/>
  <c r="F81" i="1"/>
  <c r="H80" i="1"/>
  <c r="E80" i="1"/>
  <c r="O79" i="1"/>
  <c r="H79" i="1"/>
  <c r="F79" i="1"/>
  <c r="Q78" i="1"/>
  <c r="O78" i="1"/>
  <c r="H78" i="1"/>
  <c r="E78" i="1"/>
  <c r="O77" i="1"/>
  <c r="H77" i="1"/>
  <c r="F77" i="1"/>
  <c r="O76" i="1"/>
  <c r="H76" i="1"/>
  <c r="F76" i="1"/>
  <c r="H75" i="1"/>
  <c r="E75" i="1"/>
  <c r="P74" i="1"/>
  <c r="N74" i="1"/>
  <c r="M74" i="1"/>
  <c r="L74" i="1"/>
  <c r="K74" i="1"/>
  <c r="J74" i="1"/>
  <c r="I74" i="1"/>
  <c r="G74" i="1"/>
  <c r="G73" i="1" s="1"/>
  <c r="D74" i="1"/>
  <c r="D73" i="1" s="1"/>
  <c r="I73" i="1"/>
  <c r="H72" i="1"/>
  <c r="F72" i="1"/>
  <c r="H71" i="1"/>
  <c r="R71" i="1" s="1"/>
  <c r="S71" i="1" s="1"/>
  <c r="F71" i="1"/>
  <c r="P70" i="1"/>
  <c r="O70" i="1"/>
  <c r="J70" i="1"/>
  <c r="F70" i="1"/>
  <c r="R69" i="1"/>
  <c r="S69" i="1" s="1"/>
  <c r="H69" i="1"/>
  <c r="Q69" i="1" s="1"/>
  <c r="E69" i="1"/>
  <c r="O68" i="1"/>
  <c r="H68" i="1"/>
  <c r="F68" i="1"/>
  <c r="O67" i="1"/>
  <c r="H67" i="1"/>
  <c r="F67" i="1"/>
  <c r="O66" i="1"/>
  <c r="H66" i="1"/>
  <c r="F66" i="1"/>
  <c r="O65" i="1"/>
  <c r="H65" i="1"/>
  <c r="F65" i="1"/>
  <c r="Q65" i="1" s="1"/>
  <c r="H64" i="1"/>
  <c r="R64" i="1" s="1"/>
  <c r="E64" i="1"/>
  <c r="E63" i="1" s="1"/>
  <c r="P63" i="1"/>
  <c r="N63" i="1"/>
  <c r="M63" i="1"/>
  <c r="L63" i="1"/>
  <c r="K63" i="1"/>
  <c r="I63" i="1"/>
  <c r="G63" i="1"/>
  <c r="D63" i="1"/>
  <c r="P62" i="1"/>
  <c r="P61" i="1" s="1"/>
  <c r="O62" i="1"/>
  <c r="L62" i="1"/>
  <c r="L61" i="1" s="1"/>
  <c r="J62" i="1"/>
  <c r="H62" i="1"/>
  <c r="F62" i="1"/>
  <c r="O61" i="1"/>
  <c r="N61" i="1"/>
  <c r="M61" i="1"/>
  <c r="K61" i="1"/>
  <c r="J61" i="1"/>
  <c r="I61" i="1"/>
  <c r="G61" i="1"/>
  <c r="F61" i="1"/>
  <c r="E61" i="1"/>
  <c r="D61" i="1"/>
  <c r="H60" i="1"/>
  <c r="O59" i="1"/>
  <c r="O57" i="1" s="1"/>
  <c r="H59" i="1"/>
  <c r="R59" i="1" s="1"/>
  <c r="S59" i="1" s="1"/>
  <c r="F59" i="1"/>
  <c r="H58" i="1"/>
  <c r="P57" i="1"/>
  <c r="N57" i="1"/>
  <c r="M57" i="1"/>
  <c r="L57" i="1"/>
  <c r="K57" i="1"/>
  <c r="J57" i="1"/>
  <c r="I57" i="1"/>
  <c r="G57" i="1"/>
  <c r="E57" i="1"/>
  <c r="D57" i="1"/>
  <c r="H56" i="1"/>
  <c r="E56" i="1"/>
  <c r="H55" i="1"/>
  <c r="R55" i="1" s="1"/>
  <c r="S55" i="1" s="1"/>
  <c r="E55" i="1"/>
  <c r="K54" i="1"/>
  <c r="K53" i="1" s="1"/>
  <c r="H54" i="1"/>
  <c r="H53" i="1" s="1"/>
  <c r="F54" i="1"/>
  <c r="P53" i="1"/>
  <c r="O53" i="1"/>
  <c r="N53" i="1"/>
  <c r="N52" i="1" s="1"/>
  <c r="M53" i="1"/>
  <c r="L53" i="1"/>
  <c r="J53" i="1"/>
  <c r="I53" i="1"/>
  <c r="G53" i="1"/>
  <c r="D53" i="1"/>
  <c r="L50" i="1"/>
  <c r="J50" i="1"/>
  <c r="H50" i="1" s="1"/>
  <c r="P49" i="1"/>
  <c r="H49" i="1"/>
  <c r="E49" i="1"/>
  <c r="P48" i="1"/>
  <c r="H48" i="1" s="1"/>
  <c r="J47" i="1"/>
  <c r="H47" i="1"/>
  <c r="F47" i="1"/>
  <c r="P46" i="1"/>
  <c r="O46" i="1"/>
  <c r="O43" i="1" s="1"/>
  <c r="L46" i="1"/>
  <c r="J46" i="1"/>
  <c r="H46" i="1" s="1"/>
  <c r="F46" i="1"/>
  <c r="P45" i="1"/>
  <c r="O45" i="1"/>
  <c r="J45" i="1"/>
  <c r="F45" i="1"/>
  <c r="P44" i="1"/>
  <c r="P43" i="1" s="1"/>
  <c r="O44" i="1"/>
  <c r="L44" i="1"/>
  <c r="J44" i="1"/>
  <c r="F44" i="1"/>
  <c r="N43" i="1"/>
  <c r="M43" i="1"/>
  <c r="K43" i="1"/>
  <c r="I43" i="1"/>
  <c r="G43" i="1"/>
  <c r="E43" i="1"/>
  <c r="D43" i="1"/>
  <c r="S42" i="1"/>
  <c r="H42" i="1"/>
  <c r="R42" i="1" s="1"/>
  <c r="R41" i="1" s="1"/>
  <c r="E42" i="1"/>
  <c r="E41" i="1" s="1"/>
  <c r="P41" i="1"/>
  <c r="O41" i="1"/>
  <c r="N41" i="1"/>
  <c r="M41" i="1"/>
  <c r="L41" i="1"/>
  <c r="K41" i="1"/>
  <c r="J41" i="1"/>
  <c r="I41" i="1"/>
  <c r="H41" i="1"/>
  <c r="G41" i="1"/>
  <c r="F41" i="1"/>
  <c r="D41" i="1"/>
  <c r="O40" i="1"/>
  <c r="L40" i="1"/>
  <c r="J40" i="1"/>
  <c r="F40" i="1"/>
  <c r="O39" i="1"/>
  <c r="J39" i="1"/>
  <c r="H39" i="1" s="1"/>
  <c r="F39" i="1"/>
  <c r="P38" i="1"/>
  <c r="O38" i="1"/>
  <c r="N38" i="1"/>
  <c r="M38" i="1"/>
  <c r="K38" i="1"/>
  <c r="J38" i="1"/>
  <c r="I38" i="1"/>
  <c r="G38" i="1"/>
  <c r="E38" i="1"/>
  <c r="D38" i="1"/>
  <c r="N35" i="1"/>
  <c r="N28" i="1" s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O26" i="1"/>
  <c r="M26" i="1"/>
  <c r="K26" i="1"/>
  <c r="J26" i="1"/>
  <c r="I26" i="1"/>
  <c r="G26" i="1"/>
  <c r="D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D24" i="1"/>
  <c r="P23" i="1"/>
  <c r="L23" i="1"/>
  <c r="D23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C18" i="1" s="1"/>
  <c r="D18" i="1" s="1"/>
  <c r="E18" i="1" s="1"/>
  <c r="F18" i="1" s="1"/>
  <c r="G18" i="1" s="1"/>
  <c r="P35" i="1" l="1"/>
  <c r="I35" i="1"/>
  <c r="I28" i="1" s="1"/>
  <c r="E35" i="1"/>
  <c r="L52" i="1"/>
  <c r="F63" i="1"/>
  <c r="P206" i="1"/>
  <c r="J298" i="1"/>
  <c r="J291" i="1" s="1"/>
  <c r="R315" i="1"/>
  <c r="S315" i="1" s="1"/>
  <c r="R333" i="1"/>
  <c r="H355" i="1"/>
  <c r="O417" i="1"/>
  <c r="O413" i="1" s="1"/>
  <c r="R482" i="1"/>
  <c r="S482" i="1" s="1"/>
  <c r="J527" i="1"/>
  <c r="P527" i="1"/>
  <c r="D35" i="1"/>
  <c r="D28" i="1" s="1"/>
  <c r="Q67" i="1"/>
  <c r="Q71" i="1"/>
  <c r="R76" i="1"/>
  <c r="S76" i="1" s="1"/>
  <c r="R81" i="1"/>
  <c r="S81" i="1" s="1"/>
  <c r="Q84" i="1"/>
  <c r="N73" i="1"/>
  <c r="R114" i="1"/>
  <c r="S114" i="1" s="1"/>
  <c r="Q160" i="1"/>
  <c r="Q162" i="1"/>
  <c r="Q168" i="1"/>
  <c r="Q170" i="1"/>
  <c r="Q176" i="1"/>
  <c r="E156" i="1"/>
  <c r="E26" i="1" s="1"/>
  <c r="Q219" i="1"/>
  <c r="J224" i="1"/>
  <c r="D239" i="1"/>
  <c r="K239" i="1"/>
  <c r="Q250" i="1"/>
  <c r="Q255" i="1"/>
  <c r="Q256" i="1"/>
  <c r="Q275" i="1"/>
  <c r="Q288" i="1"/>
  <c r="Q301" i="1"/>
  <c r="R308" i="1"/>
  <c r="S308" i="1" s="1"/>
  <c r="Q310" i="1"/>
  <c r="Q315" i="1"/>
  <c r="Q337" i="1"/>
  <c r="R346" i="1"/>
  <c r="S346" i="1" s="1"/>
  <c r="R353" i="1"/>
  <c r="S353" i="1" s="1"/>
  <c r="Q362" i="1"/>
  <c r="Q363" i="1"/>
  <c r="Q371" i="1"/>
  <c r="R373" i="1"/>
  <c r="S373" i="1" s="1"/>
  <c r="R382" i="1"/>
  <c r="S382" i="1" s="1"/>
  <c r="Q384" i="1"/>
  <c r="Q389" i="1"/>
  <c r="R394" i="1"/>
  <c r="S394" i="1" s="1"/>
  <c r="Q427" i="1"/>
  <c r="Q443" i="1"/>
  <c r="Q444" i="1"/>
  <c r="Q466" i="1"/>
  <c r="Q467" i="1"/>
  <c r="Q475" i="1"/>
  <c r="Q477" i="1"/>
  <c r="G493" i="1"/>
  <c r="D510" i="1"/>
  <c r="Q524" i="1"/>
  <c r="O523" i="1"/>
  <c r="D527" i="1"/>
  <c r="Q542" i="1"/>
  <c r="Q560" i="1"/>
  <c r="Q559" i="1" s="1"/>
  <c r="Q555" i="1" s="1"/>
  <c r="R564" i="1"/>
  <c r="S564" i="1" s="1"/>
  <c r="Q570" i="1"/>
  <c r="Q573" i="1"/>
  <c r="L582" i="1"/>
  <c r="L581" i="1" s="1"/>
  <c r="O608" i="1"/>
  <c r="O604" i="1" s="1"/>
  <c r="L141" i="1"/>
  <c r="L24" i="1" s="1"/>
  <c r="M205" i="1"/>
  <c r="D290" i="1"/>
  <c r="G298" i="1"/>
  <c r="G291" i="1" s="1"/>
  <c r="L298" i="1"/>
  <c r="L291" i="1" s="1"/>
  <c r="L527" i="1"/>
  <c r="Q565" i="1"/>
  <c r="O582" i="1"/>
  <c r="O581" i="1" s="1"/>
  <c r="R609" i="1"/>
  <c r="S609" i="1" s="1"/>
  <c r="Q626" i="1"/>
  <c r="F38" i="1"/>
  <c r="R65" i="1"/>
  <c r="S65" i="1" s="1"/>
  <c r="M73" i="1"/>
  <c r="Q81" i="1"/>
  <c r="Q109" i="1"/>
  <c r="Q119" i="1"/>
  <c r="Q126" i="1"/>
  <c r="Q164" i="1"/>
  <c r="Q166" i="1"/>
  <c r="Q172" i="1"/>
  <c r="Q174" i="1"/>
  <c r="Q183" i="1"/>
  <c r="R187" i="1"/>
  <c r="S187" i="1" s="1"/>
  <c r="Q197" i="1"/>
  <c r="Q199" i="1"/>
  <c r="Q203" i="1"/>
  <c r="Q222" i="1"/>
  <c r="L224" i="1"/>
  <c r="P224" i="1"/>
  <c r="R249" i="1"/>
  <c r="S249" i="1" s="1"/>
  <c r="R250" i="1"/>
  <c r="S250" i="1" s="1"/>
  <c r="Q254" i="1"/>
  <c r="E247" i="1"/>
  <c r="E239" i="1" s="1"/>
  <c r="Q276" i="1"/>
  <c r="Q281" i="1"/>
  <c r="Q308" i="1"/>
  <c r="E326" i="1"/>
  <c r="Q343" i="1"/>
  <c r="Q358" i="1"/>
  <c r="Q375" i="1"/>
  <c r="Q383" i="1"/>
  <c r="Q393" i="1"/>
  <c r="R418" i="1"/>
  <c r="F421" i="1"/>
  <c r="Q448" i="1"/>
  <c r="Q476" i="1"/>
  <c r="F582" i="1"/>
  <c r="J582" i="1"/>
  <c r="N582" i="1"/>
  <c r="N581" i="1" s="1"/>
  <c r="G582" i="1"/>
  <c r="Q611" i="1"/>
  <c r="P28" i="1"/>
  <c r="P20" i="1" s="1"/>
  <c r="R238" i="1"/>
  <c r="S238" i="1" s="1"/>
  <c r="Q238" i="1"/>
  <c r="E28" i="1"/>
  <c r="G35" i="1"/>
  <c r="G28" i="1" s="1"/>
  <c r="D52" i="1"/>
  <c r="D27" i="1" s="1"/>
  <c r="K52" i="1"/>
  <c r="Q55" i="1"/>
  <c r="H57" i="1"/>
  <c r="O63" i="1"/>
  <c r="O52" i="1" s="1"/>
  <c r="Q76" i="1"/>
  <c r="Q80" i="1"/>
  <c r="R80" i="1"/>
  <c r="S80" i="1" s="1"/>
  <c r="O89" i="1"/>
  <c r="R98" i="1"/>
  <c r="S98" i="1" s="1"/>
  <c r="E107" i="1"/>
  <c r="R131" i="1"/>
  <c r="S131" i="1" s="1"/>
  <c r="Q131" i="1"/>
  <c r="R179" i="1"/>
  <c r="S179" i="1" s="1"/>
  <c r="Q179" i="1"/>
  <c r="N224" i="1"/>
  <c r="R192" i="1"/>
  <c r="S192" i="1" s="1"/>
  <c r="Q192" i="1"/>
  <c r="Q42" i="1"/>
  <c r="Q41" i="1" s="1"/>
  <c r="R46" i="1"/>
  <c r="S46" i="1" s="1"/>
  <c r="P52" i="1"/>
  <c r="R54" i="1"/>
  <c r="G52" i="1"/>
  <c r="M52" i="1"/>
  <c r="Q64" i="1"/>
  <c r="R112" i="1"/>
  <c r="S112" i="1" s="1"/>
  <c r="Q112" i="1"/>
  <c r="R144" i="1"/>
  <c r="Q144" i="1"/>
  <c r="Q143" i="1" s="1"/>
  <c r="H143" i="1"/>
  <c r="R236" i="1"/>
  <c r="S236" i="1" s="1"/>
  <c r="Q236" i="1"/>
  <c r="R75" i="1"/>
  <c r="S75" i="1" s="1"/>
  <c r="Q75" i="1"/>
  <c r="H74" i="1"/>
  <c r="R121" i="1"/>
  <c r="S121" i="1" s="1"/>
  <c r="Q121" i="1"/>
  <c r="Q241" i="1"/>
  <c r="F240" i="1"/>
  <c r="Q283" i="1"/>
  <c r="R283" i="1"/>
  <c r="S283" i="1" s="1"/>
  <c r="M35" i="1"/>
  <c r="M28" i="1" s="1"/>
  <c r="E53" i="1"/>
  <c r="I52" i="1"/>
  <c r="R67" i="1"/>
  <c r="S67" i="1" s="1"/>
  <c r="R87" i="1"/>
  <c r="S87" i="1" s="1"/>
  <c r="R130" i="1"/>
  <c r="S130" i="1" s="1"/>
  <c r="Q130" i="1"/>
  <c r="F23" i="1"/>
  <c r="R229" i="1"/>
  <c r="S229" i="1" s="1"/>
  <c r="H228" i="1"/>
  <c r="Q243" i="1"/>
  <c r="R243" i="1"/>
  <c r="S243" i="1" s="1"/>
  <c r="J290" i="1"/>
  <c r="Q328" i="1"/>
  <c r="F327" i="1"/>
  <c r="R329" i="1"/>
  <c r="S329" i="1" s="1"/>
  <c r="Q329" i="1"/>
  <c r="L73" i="1"/>
  <c r="E74" i="1"/>
  <c r="E73" i="1" s="1"/>
  <c r="R78" i="1"/>
  <c r="S78" i="1" s="1"/>
  <c r="Q83" i="1"/>
  <c r="K73" i="1"/>
  <c r="R102" i="1"/>
  <c r="S102" i="1" s="1"/>
  <c r="R103" i="1"/>
  <c r="S103" i="1" s="1"/>
  <c r="R104" i="1"/>
  <c r="S104" i="1" s="1"/>
  <c r="R105" i="1"/>
  <c r="S105" i="1" s="1"/>
  <c r="R106" i="1"/>
  <c r="S106" i="1" s="1"/>
  <c r="Q116" i="1"/>
  <c r="Q124" i="1"/>
  <c r="J23" i="1"/>
  <c r="N23" i="1"/>
  <c r="G24" i="1"/>
  <c r="K141" i="1"/>
  <c r="K24" i="1" s="1"/>
  <c r="E141" i="1"/>
  <c r="E24" i="1" s="1"/>
  <c r="J141" i="1"/>
  <c r="J24" i="1" s="1"/>
  <c r="N141" i="1"/>
  <c r="N24" i="1" s="1"/>
  <c r="R150" i="1"/>
  <c r="S150" i="1" s="1"/>
  <c r="Q181" i="1"/>
  <c r="Q194" i="1"/>
  <c r="E206" i="1"/>
  <c r="Q220" i="1"/>
  <c r="G23" i="1"/>
  <c r="K23" i="1"/>
  <c r="O23" i="1"/>
  <c r="Q280" i="1"/>
  <c r="I298" i="1"/>
  <c r="I291" i="1" s="1"/>
  <c r="M298" i="1"/>
  <c r="M291" i="1" s="1"/>
  <c r="M290" i="1" s="1"/>
  <c r="R307" i="1"/>
  <c r="S307" i="1" s="1"/>
  <c r="Q311" i="1"/>
  <c r="R312" i="1"/>
  <c r="S312" i="1" s="1"/>
  <c r="R349" i="1"/>
  <c r="S349" i="1" s="1"/>
  <c r="Q349" i="1"/>
  <c r="E224" i="1"/>
  <c r="O240" i="1"/>
  <c r="O239" i="1" s="1"/>
  <c r="O205" i="1" s="1"/>
  <c r="Q321" i="1"/>
  <c r="R321" i="1"/>
  <c r="S321" i="1" s="1"/>
  <c r="L339" i="1"/>
  <c r="Q341" i="1"/>
  <c r="F340" i="1"/>
  <c r="R83" i="1"/>
  <c r="S83" i="1" s="1"/>
  <c r="Q85" i="1"/>
  <c r="R92" i="1"/>
  <c r="S92" i="1" s="1"/>
  <c r="R93" i="1"/>
  <c r="S93" i="1" s="1"/>
  <c r="Q99" i="1"/>
  <c r="Q151" i="1"/>
  <c r="R200" i="1"/>
  <c r="S200" i="1" s="1"/>
  <c r="J206" i="1"/>
  <c r="J205" i="1" s="1"/>
  <c r="N206" i="1"/>
  <c r="N205" i="1" s="1"/>
  <c r="G206" i="1"/>
  <c r="G205" i="1" s="1"/>
  <c r="K206" i="1"/>
  <c r="K205" i="1" s="1"/>
  <c r="O218" i="1"/>
  <c r="O213" i="1" s="1"/>
  <c r="O206" i="1" s="1"/>
  <c r="I224" i="1"/>
  <c r="I205" i="1" s="1"/>
  <c r="O230" i="1"/>
  <c r="O224" i="1" s="1"/>
  <c r="G239" i="1"/>
  <c r="L239" i="1"/>
  <c r="P239" i="1"/>
  <c r="R257" i="1"/>
  <c r="S257" i="1" s="1"/>
  <c r="R258" i="1"/>
  <c r="S258" i="1" s="1"/>
  <c r="R271" i="1"/>
  <c r="R270" i="1" s="1"/>
  <c r="Q277" i="1"/>
  <c r="Q278" i="1"/>
  <c r="Q279" i="1"/>
  <c r="Q282" i="1"/>
  <c r="Q307" i="1"/>
  <c r="R311" i="1"/>
  <c r="S311" i="1" s="1"/>
  <c r="R314" i="1"/>
  <c r="S314" i="1" s="1"/>
  <c r="K326" i="1"/>
  <c r="O510" i="1"/>
  <c r="Q354" i="1"/>
  <c r="G339" i="1"/>
  <c r="K339" i="1"/>
  <c r="S356" i="1"/>
  <c r="P339" i="1"/>
  <c r="P290" i="1" s="1"/>
  <c r="O357" i="1"/>
  <c r="Q377" i="1"/>
  <c r="Q381" i="1"/>
  <c r="Q382" i="1"/>
  <c r="Q387" i="1"/>
  <c r="R392" i="1"/>
  <c r="S392" i="1" s="1"/>
  <c r="R401" i="1"/>
  <c r="S401" i="1" s="1"/>
  <c r="R419" i="1"/>
  <c r="S419" i="1" s="1"/>
  <c r="Q423" i="1"/>
  <c r="Q435" i="1"/>
  <c r="Q446" i="1"/>
  <c r="Q450" i="1"/>
  <c r="Q462" i="1"/>
  <c r="Q468" i="1"/>
  <c r="Q485" i="1"/>
  <c r="Q487" i="1"/>
  <c r="L493" i="1"/>
  <c r="J493" i="1"/>
  <c r="J492" i="1" s="1"/>
  <c r="N493" i="1"/>
  <c r="F505" i="1"/>
  <c r="F500" i="1" s="1"/>
  <c r="F493" i="1" s="1"/>
  <c r="Q512" i="1"/>
  <c r="M510" i="1"/>
  <c r="Q515" i="1"/>
  <c r="L510" i="1"/>
  <c r="L21" i="1" s="1"/>
  <c r="P510" i="1"/>
  <c r="Q520" i="1"/>
  <c r="Q519" i="1" s="1"/>
  <c r="R530" i="1"/>
  <c r="S530" i="1" s="1"/>
  <c r="R540" i="1"/>
  <c r="S540" i="1" s="1"/>
  <c r="Q544" i="1"/>
  <c r="Q545" i="1"/>
  <c r="Q566" i="1"/>
  <c r="R573" i="1"/>
  <c r="S573" i="1" s="1"/>
  <c r="P581" i="1"/>
  <c r="R611" i="1"/>
  <c r="S611" i="1" s="1"/>
  <c r="H625" i="1"/>
  <c r="D492" i="1"/>
  <c r="K582" i="1"/>
  <c r="S602" i="1"/>
  <c r="R323" i="1"/>
  <c r="S323" i="1" s="1"/>
  <c r="R324" i="1"/>
  <c r="S324" i="1" s="1"/>
  <c r="G326" i="1"/>
  <c r="F332" i="1"/>
  <c r="Q336" i="1"/>
  <c r="Q352" i="1"/>
  <c r="I339" i="1"/>
  <c r="M339" i="1"/>
  <c r="Q361" i="1"/>
  <c r="R363" i="1"/>
  <c r="S363" i="1" s="1"/>
  <c r="Q365" i="1"/>
  <c r="R371" i="1"/>
  <c r="S371" i="1" s="1"/>
  <c r="R374" i="1"/>
  <c r="S374" i="1" s="1"/>
  <c r="R376" i="1"/>
  <c r="S376" i="1" s="1"/>
  <c r="Q386" i="1"/>
  <c r="Q394" i="1"/>
  <c r="R396" i="1"/>
  <c r="S396" i="1" s="1"/>
  <c r="Q425" i="1"/>
  <c r="Q429" i="1"/>
  <c r="Q436" i="1"/>
  <c r="R439" i="1"/>
  <c r="S439" i="1" s="1"/>
  <c r="Q447" i="1"/>
  <c r="Q461" i="1"/>
  <c r="Q469" i="1"/>
  <c r="Q473" i="1"/>
  <c r="Q484" i="1"/>
  <c r="Q489" i="1"/>
  <c r="K493" i="1"/>
  <c r="K492" i="1" s="1"/>
  <c r="Q513" i="1"/>
  <c r="R514" i="1"/>
  <c r="S514" i="1" s="1"/>
  <c r="Q516" i="1"/>
  <c r="Q517" i="1"/>
  <c r="R520" i="1"/>
  <c r="G510" i="1"/>
  <c r="G492" i="1" s="1"/>
  <c r="Q525" i="1"/>
  <c r="I527" i="1"/>
  <c r="M527" i="1"/>
  <c r="R560" i="1"/>
  <c r="S560" i="1" s="1"/>
  <c r="H582" i="1"/>
  <c r="S603" i="1"/>
  <c r="F608" i="1"/>
  <c r="F604" i="1" s="1"/>
  <c r="R361" i="1"/>
  <c r="S361" i="1" s="1"/>
  <c r="Q369" i="1"/>
  <c r="O378" i="1"/>
  <c r="Q459" i="1"/>
  <c r="Q464" i="1"/>
  <c r="P492" i="1"/>
  <c r="E493" i="1"/>
  <c r="I493" i="1"/>
  <c r="M493" i="1"/>
  <c r="O493" i="1"/>
  <c r="E527" i="1"/>
  <c r="O533" i="1"/>
  <c r="O527" i="1" s="1"/>
  <c r="E582" i="1"/>
  <c r="M582" i="1"/>
  <c r="D581" i="1"/>
  <c r="Q609" i="1"/>
  <c r="Q158" i="1"/>
  <c r="F156" i="1"/>
  <c r="H441" i="1"/>
  <c r="N421" i="1"/>
  <c r="N26" i="1" s="1"/>
  <c r="F533" i="1"/>
  <c r="Q546" i="1"/>
  <c r="H45" i="1"/>
  <c r="R45" i="1" s="1"/>
  <c r="S45" i="1" s="1"/>
  <c r="J43" i="1"/>
  <c r="J35" i="1" s="1"/>
  <c r="J28" i="1" s="1"/>
  <c r="R49" i="1"/>
  <c r="S49" i="1" s="1"/>
  <c r="Q49" i="1"/>
  <c r="Q54" i="1"/>
  <c r="F53" i="1"/>
  <c r="E52" i="1"/>
  <c r="H61" i="1"/>
  <c r="R62" i="1"/>
  <c r="Q62" i="1"/>
  <c r="Q61" i="1" s="1"/>
  <c r="R66" i="1"/>
  <c r="S66" i="1" s="1"/>
  <c r="Q66" i="1"/>
  <c r="R68" i="1"/>
  <c r="S68" i="1" s="1"/>
  <c r="Q68" i="1"/>
  <c r="H90" i="1"/>
  <c r="J89" i="1"/>
  <c r="J73" i="1" s="1"/>
  <c r="J22" i="1" s="1"/>
  <c r="R95" i="1"/>
  <c r="S95" i="1" s="1"/>
  <c r="Q95" i="1"/>
  <c r="Q103" i="1"/>
  <c r="Q104" i="1"/>
  <c r="Q105" i="1"/>
  <c r="Q106" i="1"/>
  <c r="R125" i="1"/>
  <c r="S125" i="1" s="1"/>
  <c r="Q125" i="1"/>
  <c r="R193" i="1"/>
  <c r="S193" i="1" s="1"/>
  <c r="Q193" i="1"/>
  <c r="R202" i="1"/>
  <c r="S202" i="1" s="1"/>
  <c r="Q202" i="1"/>
  <c r="R47" i="1"/>
  <c r="S47" i="1" s="1"/>
  <c r="Q47" i="1"/>
  <c r="Q98" i="1"/>
  <c r="R113" i="1"/>
  <c r="S113" i="1" s="1"/>
  <c r="Q113" i="1"/>
  <c r="H107" i="1"/>
  <c r="Q317" i="1"/>
  <c r="R317" i="1"/>
  <c r="S317" i="1" s="1"/>
  <c r="Q628" i="1"/>
  <c r="F625" i="1"/>
  <c r="H40" i="1"/>
  <c r="L38" i="1"/>
  <c r="G27" i="1"/>
  <c r="K35" i="1"/>
  <c r="K28" i="1" s="1"/>
  <c r="O35" i="1"/>
  <c r="O28" i="1" s="1"/>
  <c r="Q46" i="1"/>
  <c r="R72" i="1"/>
  <c r="S72" i="1" s="1"/>
  <c r="Q72" i="1"/>
  <c r="R77" i="1"/>
  <c r="S77" i="1" s="1"/>
  <c r="Q77" i="1"/>
  <c r="R79" i="1"/>
  <c r="S79" i="1" s="1"/>
  <c r="Q79" i="1"/>
  <c r="Q92" i="1"/>
  <c r="Q93" i="1"/>
  <c r="R97" i="1"/>
  <c r="S97" i="1" s="1"/>
  <c r="Q97" i="1"/>
  <c r="Q102" i="1"/>
  <c r="O107" i="1"/>
  <c r="R115" i="1"/>
  <c r="S115" i="1" s="1"/>
  <c r="O145" i="1"/>
  <c r="Q149" i="1"/>
  <c r="F148" i="1"/>
  <c r="F141" i="1" s="1"/>
  <c r="R39" i="1"/>
  <c r="H44" i="1"/>
  <c r="L43" i="1"/>
  <c r="R53" i="1"/>
  <c r="S54" i="1"/>
  <c r="Q59" i="1"/>
  <c r="F57" i="1"/>
  <c r="H70" i="1"/>
  <c r="Q70" i="1" s="1"/>
  <c r="J63" i="1"/>
  <c r="J52" i="1" s="1"/>
  <c r="J21" i="1" s="1"/>
  <c r="R120" i="1"/>
  <c r="S120" i="1" s="1"/>
  <c r="Q120" i="1"/>
  <c r="R186" i="1"/>
  <c r="S186" i="1" s="1"/>
  <c r="Q186" i="1"/>
  <c r="Q271" i="1"/>
  <c r="Q270" i="1" s="1"/>
  <c r="Q266" i="1" s="1"/>
  <c r="F270" i="1"/>
  <c r="F266" i="1" s="1"/>
  <c r="N27" i="1"/>
  <c r="Q39" i="1"/>
  <c r="R56" i="1"/>
  <c r="S56" i="1" s="1"/>
  <c r="Q56" i="1"/>
  <c r="R58" i="1"/>
  <c r="Q58" i="1"/>
  <c r="S64" i="1"/>
  <c r="O74" i="1"/>
  <c r="Q82" i="1"/>
  <c r="F74" i="1"/>
  <c r="R221" i="1"/>
  <c r="Q221" i="1"/>
  <c r="Q218" i="1" s="1"/>
  <c r="Q213" i="1" s="1"/>
  <c r="Q206" i="1" s="1"/>
  <c r="R289" i="1"/>
  <c r="S289" i="1" s="1"/>
  <c r="H273" i="1"/>
  <c r="Q87" i="1"/>
  <c r="R94" i="1"/>
  <c r="S94" i="1" s="1"/>
  <c r="Q100" i="1"/>
  <c r="H137" i="1"/>
  <c r="R143" i="1"/>
  <c r="S143" i="1" s="1"/>
  <c r="S144" i="1"/>
  <c r="P145" i="1"/>
  <c r="P141" i="1" s="1"/>
  <c r="P24" i="1" s="1"/>
  <c r="H147" i="1"/>
  <c r="R147" i="1" s="1"/>
  <c r="S147" i="1" s="1"/>
  <c r="O148" i="1"/>
  <c r="R153" i="1"/>
  <c r="S153" i="1" s="1"/>
  <c r="Q153" i="1"/>
  <c r="Q161" i="1"/>
  <c r="Q169" i="1"/>
  <c r="Q177" i="1"/>
  <c r="Q190" i="1"/>
  <c r="H201" i="1"/>
  <c r="P156" i="1"/>
  <c r="P26" i="1" s="1"/>
  <c r="D206" i="1"/>
  <c r="L206" i="1"/>
  <c r="L205" i="1" s="1"/>
  <c r="F218" i="1"/>
  <c r="F213" i="1" s="1"/>
  <c r="F206" i="1" s="1"/>
  <c r="S231" i="1"/>
  <c r="S248" i="1"/>
  <c r="S270" i="1"/>
  <c r="R266" i="1"/>
  <c r="S266" i="1" s="1"/>
  <c r="P89" i="1"/>
  <c r="P73" i="1" s="1"/>
  <c r="H101" i="1"/>
  <c r="R101" i="1" s="1"/>
  <c r="S101" i="1" s="1"/>
  <c r="Q108" i="1"/>
  <c r="F107" i="1"/>
  <c r="R157" i="1"/>
  <c r="R185" i="1"/>
  <c r="S185" i="1" s="1"/>
  <c r="Q185" i="1"/>
  <c r="R195" i="1"/>
  <c r="S195" i="1" s="1"/>
  <c r="Q195" i="1"/>
  <c r="S226" i="1"/>
  <c r="R225" i="1"/>
  <c r="R242" i="1"/>
  <c r="S242" i="1" s="1"/>
  <c r="Q242" i="1"/>
  <c r="Q248" i="1"/>
  <c r="F247" i="1"/>
  <c r="F239" i="1" s="1"/>
  <c r="R320" i="1"/>
  <c r="S320" i="1" s="1"/>
  <c r="Q320" i="1"/>
  <c r="R328" i="1"/>
  <c r="O327" i="1"/>
  <c r="O326" i="1" s="1"/>
  <c r="Q348" i="1"/>
  <c r="R348" i="1"/>
  <c r="S348" i="1" s="1"/>
  <c r="R359" i="1"/>
  <c r="S359" i="1" s="1"/>
  <c r="H357" i="1"/>
  <c r="F43" i="1"/>
  <c r="F35" i="1" s="1"/>
  <c r="F28" i="1" s="1"/>
  <c r="Q86" i="1"/>
  <c r="H91" i="1"/>
  <c r="R91" i="1" s="1"/>
  <c r="S91" i="1" s="1"/>
  <c r="Q96" i="1"/>
  <c r="R107" i="1"/>
  <c r="Q118" i="1"/>
  <c r="Q123" i="1"/>
  <c r="Q129" i="1"/>
  <c r="R146" i="1"/>
  <c r="Q146" i="1"/>
  <c r="S149" i="1"/>
  <c r="Q157" i="1"/>
  <c r="Q165" i="1"/>
  <c r="Q173" i="1"/>
  <c r="Q180" i="1"/>
  <c r="H184" i="1"/>
  <c r="L156" i="1"/>
  <c r="L26" i="1" s="1"/>
  <c r="Q198" i="1"/>
  <c r="F228" i="1"/>
  <c r="Q229" i="1"/>
  <c r="Q228" i="1" s="1"/>
  <c r="R233" i="1"/>
  <c r="S233" i="1" s="1"/>
  <c r="H230" i="1"/>
  <c r="H224" i="1" s="1"/>
  <c r="Q233" i="1"/>
  <c r="R251" i="1"/>
  <c r="S251" i="1" s="1"/>
  <c r="Q251" i="1"/>
  <c r="H247" i="1"/>
  <c r="S271" i="1"/>
  <c r="F273" i="1"/>
  <c r="Q274" i="1"/>
  <c r="D224" i="1"/>
  <c r="R302" i="1"/>
  <c r="Q302" i="1"/>
  <c r="Q300" i="1" s="1"/>
  <c r="I290" i="1"/>
  <c r="O305" i="1"/>
  <c r="O298" i="1" s="1"/>
  <c r="O291" i="1" s="1"/>
  <c r="R313" i="1"/>
  <c r="S313" i="1" s="1"/>
  <c r="Q313" i="1"/>
  <c r="E305" i="1"/>
  <c r="E298" i="1" s="1"/>
  <c r="E291" i="1" s="1"/>
  <c r="R322" i="1"/>
  <c r="S322" i="1" s="1"/>
  <c r="Q322" i="1"/>
  <c r="S333" i="1"/>
  <c r="N332" i="1"/>
  <c r="N326" i="1" s="1"/>
  <c r="N21" i="1" s="1"/>
  <c r="R366" i="1"/>
  <c r="S366" i="1" s="1"/>
  <c r="Q366" i="1"/>
  <c r="R370" i="1"/>
  <c r="S370" i="1" s="1"/>
  <c r="Q370" i="1"/>
  <c r="Q418" i="1"/>
  <c r="Q417" i="1" s="1"/>
  <c r="Q413" i="1" s="1"/>
  <c r="Q231" i="1"/>
  <c r="F230" i="1"/>
  <c r="H270" i="1"/>
  <c r="H266" i="1" s="1"/>
  <c r="R287" i="1"/>
  <c r="S287" i="1" s="1"/>
  <c r="H300" i="1"/>
  <c r="S306" i="1"/>
  <c r="H316" i="1"/>
  <c r="N305" i="1"/>
  <c r="N298" i="1" s="1"/>
  <c r="N291" i="1" s="1"/>
  <c r="R319" i="1"/>
  <c r="S319" i="1" s="1"/>
  <c r="Q324" i="1"/>
  <c r="K290" i="1"/>
  <c r="Q338" i="1"/>
  <c r="H218" i="1"/>
  <c r="H213" i="1" s="1"/>
  <c r="H206" i="1" s="1"/>
  <c r="Q226" i="1"/>
  <c r="Q225" i="1" s="1"/>
  <c r="R228" i="1"/>
  <c r="S228" i="1" s="1"/>
  <c r="R241" i="1"/>
  <c r="H240" i="1"/>
  <c r="H239" i="1" s="1"/>
  <c r="Q252" i="1"/>
  <c r="Q289" i="1"/>
  <c r="Q306" i="1"/>
  <c r="F305" i="1"/>
  <c r="F298" i="1" s="1"/>
  <c r="F291" i="1" s="1"/>
  <c r="R318" i="1"/>
  <c r="S318" i="1" s="1"/>
  <c r="Q318" i="1"/>
  <c r="G290" i="1"/>
  <c r="Q335" i="1"/>
  <c r="H340" i="1"/>
  <c r="R342" i="1"/>
  <c r="S342" i="1" s="1"/>
  <c r="E340" i="1"/>
  <c r="E339" i="1" s="1"/>
  <c r="Q356" i="1"/>
  <c r="Q355" i="1" s="1"/>
  <c r="F355" i="1"/>
  <c r="R380" i="1"/>
  <c r="S380" i="1" s="1"/>
  <c r="H378" i="1"/>
  <c r="H332" i="1"/>
  <c r="H326" i="1" s="1"/>
  <c r="Q333" i="1"/>
  <c r="H334" i="1"/>
  <c r="R334" i="1" s="1"/>
  <c r="S334" i="1" s="1"/>
  <c r="R344" i="1"/>
  <c r="S344" i="1" s="1"/>
  <c r="Q345" i="1"/>
  <c r="R390" i="1"/>
  <c r="S390" i="1" s="1"/>
  <c r="Q390" i="1"/>
  <c r="R399" i="1"/>
  <c r="S399" i="1" s="1"/>
  <c r="Q399" i="1"/>
  <c r="S418" i="1"/>
  <c r="R422" i="1"/>
  <c r="H421" i="1"/>
  <c r="R424" i="1"/>
  <c r="S424" i="1" s="1"/>
  <c r="Q424" i="1"/>
  <c r="R428" i="1"/>
  <c r="S428" i="1" s="1"/>
  <c r="Q428" i="1"/>
  <c r="R431" i="1"/>
  <c r="S431" i="1" s="1"/>
  <c r="Q431" i="1"/>
  <c r="R434" i="1"/>
  <c r="S434" i="1" s="1"/>
  <c r="Q434" i="1"/>
  <c r="R449" i="1"/>
  <c r="S449" i="1" s="1"/>
  <c r="Q449" i="1"/>
  <c r="S512" i="1"/>
  <c r="Q514" i="1"/>
  <c r="F511" i="1"/>
  <c r="S524" i="1"/>
  <c r="F523" i="1"/>
  <c r="Q526" i="1"/>
  <c r="Q523" i="1" s="1"/>
  <c r="F357" i="1"/>
  <c r="S358" i="1"/>
  <c r="R368" i="1"/>
  <c r="S368" i="1" s="1"/>
  <c r="Q368" i="1"/>
  <c r="S379" i="1"/>
  <c r="R457" i="1"/>
  <c r="S457" i="1" s="1"/>
  <c r="Q457" i="1"/>
  <c r="R471" i="1"/>
  <c r="S471" i="1" s="1"/>
  <c r="Q471" i="1"/>
  <c r="R341" i="1"/>
  <c r="Q342" i="1"/>
  <c r="Q344" i="1"/>
  <c r="R347" i="1"/>
  <c r="S347" i="1" s="1"/>
  <c r="Q359" i="1"/>
  <c r="R372" i="1"/>
  <c r="S372" i="1" s="1"/>
  <c r="Q372" i="1"/>
  <c r="Q374" i="1"/>
  <c r="F378" i="1"/>
  <c r="R385" i="1"/>
  <c r="S385" i="1" s="1"/>
  <c r="Q385" i="1"/>
  <c r="R388" i="1"/>
  <c r="S388" i="1" s="1"/>
  <c r="Q388" i="1"/>
  <c r="R395" i="1"/>
  <c r="S395" i="1" s="1"/>
  <c r="Q395" i="1"/>
  <c r="Q398" i="1"/>
  <c r="R402" i="1"/>
  <c r="S402" i="1" s="1"/>
  <c r="Q402" i="1"/>
  <c r="Q430" i="1"/>
  <c r="Q433" i="1"/>
  <c r="R465" i="1"/>
  <c r="S465" i="1" s="1"/>
  <c r="Q465" i="1"/>
  <c r="R479" i="1"/>
  <c r="S479" i="1" s="1"/>
  <c r="Q479" i="1"/>
  <c r="Q380" i="1"/>
  <c r="Q422" i="1"/>
  <c r="Q438" i="1"/>
  <c r="R463" i="1"/>
  <c r="S463" i="1" s="1"/>
  <c r="Q463" i="1"/>
  <c r="R486" i="1"/>
  <c r="S486" i="1" s="1"/>
  <c r="Q486" i="1"/>
  <c r="Q507" i="1"/>
  <c r="R534" i="1"/>
  <c r="R575" i="1"/>
  <c r="S575" i="1" s="1"/>
  <c r="H562" i="1"/>
  <c r="R579" i="1"/>
  <c r="S579" i="1" s="1"/>
  <c r="Q579" i="1"/>
  <c r="N378" i="1"/>
  <c r="N339" i="1" s="1"/>
  <c r="Q379" i="1"/>
  <c r="Q440" i="1"/>
  <c r="Q442" i="1"/>
  <c r="Q451" i="1"/>
  <c r="Q453" i="1"/>
  <c r="Q458" i="1"/>
  <c r="Q472" i="1"/>
  <c r="Q480" i="1"/>
  <c r="Q490" i="1"/>
  <c r="Q506" i="1"/>
  <c r="Q508" i="1"/>
  <c r="F527" i="1"/>
  <c r="Q530" i="1"/>
  <c r="Q452" i="1"/>
  <c r="Q454" i="1"/>
  <c r="R488" i="1"/>
  <c r="S488" i="1" s="1"/>
  <c r="Q488" i="1"/>
  <c r="Q491" i="1"/>
  <c r="R506" i="1"/>
  <c r="H505" i="1"/>
  <c r="H500" i="1" s="1"/>
  <c r="H493" i="1" s="1"/>
  <c r="R518" i="1"/>
  <c r="S518" i="1" s="1"/>
  <c r="Q518" i="1"/>
  <c r="R526" i="1"/>
  <c r="S526" i="1" s="1"/>
  <c r="H523" i="1"/>
  <c r="H535" i="1"/>
  <c r="R535" i="1" s="1"/>
  <c r="S535" i="1" s="1"/>
  <c r="N533" i="1"/>
  <c r="N527" i="1" s="1"/>
  <c r="N492" i="1" s="1"/>
  <c r="R545" i="1"/>
  <c r="S545" i="1" s="1"/>
  <c r="R576" i="1"/>
  <c r="S576" i="1" s="1"/>
  <c r="Q576" i="1"/>
  <c r="R580" i="1"/>
  <c r="S580" i="1" s="1"/>
  <c r="Q580" i="1"/>
  <c r="K581" i="1"/>
  <c r="Q610" i="1"/>
  <c r="H511" i="1"/>
  <c r="R513" i="1"/>
  <c r="S513" i="1" s="1"/>
  <c r="S520" i="1"/>
  <c r="R519" i="1"/>
  <c r="S519" i="1" s="1"/>
  <c r="R525" i="1"/>
  <c r="S525" i="1" s="1"/>
  <c r="Q539" i="1"/>
  <c r="Q541" i="1"/>
  <c r="Q569" i="1"/>
  <c r="F562" i="1"/>
  <c r="R577" i="1"/>
  <c r="S577" i="1" s="1"/>
  <c r="Q577" i="1"/>
  <c r="G581" i="1"/>
  <c r="R600" i="1"/>
  <c r="Q600" i="1"/>
  <c r="Q599" i="1" s="1"/>
  <c r="R610" i="1"/>
  <c r="S610" i="1" s="1"/>
  <c r="H608" i="1"/>
  <c r="H604" i="1" s="1"/>
  <c r="H581" i="1" s="1"/>
  <c r="Q627" i="1"/>
  <c r="Q625" i="1" s="1"/>
  <c r="R522" i="1"/>
  <c r="H521" i="1"/>
  <c r="Q522" i="1"/>
  <c r="Q521" i="1" s="1"/>
  <c r="H528" i="1"/>
  <c r="R529" i="1"/>
  <c r="Q529" i="1"/>
  <c r="Q534" i="1"/>
  <c r="Q537" i="1"/>
  <c r="Q575" i="1"/>
  <c r="R578" i="1"/>
  <c r="S578" i="1" s="1"/>
  <c r="Q578" i="1"/>
  <c r="E581" i="1"/>
  <c r="I581" i="1"/>
  <c r="M581" i="1"/>
  <c r="J581" i="1"/>
  <c r="R595" i="1"/>
  <c r="Q595" i="1"/>
  <c r="Q594" i="1" s="1"/>
  <c r="Q589" i="1" s="1"/>
  <c r="Q582" i="1" s="1"/>
  <c r="Q603" i="1"/>
  <c r="Q602" i="1" s="1"/>
  <c r="F602" i="1"/>
  <c r="F597" i="1" s="1"/>
  <c r="F581" i="1" s="1"/>
  <c r="R626" i="1"/>
  <c r="Q340" i="1" l="1"/>
  <c r="R230" i="1"/>
  <c r="S230" i="1" s="1"/>
  <c r="O73" i="1"/>
  <c r="P205" i="1"/>
  <c r="L290" i="1"/>
  <c r="I20" i="1"/>
  <c r="D22" i="1"/>
  <c r="R74" i="1"/>
  <c r="S74" i="1" s="1"/>
  <c r="M22" i="1"/>
  <c r="G21" i="1"/>
  <c r="Q74" i="1"/>
  <c r="Q528" i="1"/>
  <c r="Q608" i="1"/>
  <c r="Q604" i="1" s="1"/>
  <c r="R559" i="1"/>
  <c r="R417" i="1"/>
  <c r="Q562" i="1"/>
  <c r="F339" i="1"/>
  <c r="H339" i="1"/>
  <c r="D21" i="1"/>
  <c r="E21" i="1"/>
  <c r="I22" i="1"/>
  <c r="O339" i="1"/>
  <c r="K21" i="1"/>
  <c r="M27" i="1"/>
  <c r="M20" i="1"/>
  <c r="Q107" i="1"/>
  <c r="Q505" i="1"/>
  <c r="Q500" i="1" s="1"/>
  <c r="Q493" i="1" s="1"/>
  <c r="H533" i="1"/>
  <c r="H527" i="1" s="1"/>
  <c r="H205" i="1"/>
  <c r="F224" i="1"/>
  <c r="F205" i="1" s="1"/>
  <c r="O21" i="1"/>
  <c r="O141" i="1"/>
  <c r="O24" i="1" s="1"/>
  <c r="Q148" i="1"/>
  <c r="G20" i="1"/>
  <c r="O492" i="1"/>
  <c r="K22" i="1"/>
  <c r="L22" i="1"/>
  <c r="Q327" i="1"/>
  <c r="O22" i="1"/>
  <c r="E492" i="1"/>
  <c r="F326" i="1"/>
  <c r="I21" i="1"/>
  <c r="I19" i="1" s="1"/>
  <c r="Q357" i="1"/>
  <c r="R357" i="1"/>
  <c r="S357" i="1" s="1"/>
  <c r="E22" i="1"/>
  <c r="Q240" i="1"/>
  <c r="Q63" i="1"/>
  <c r="M492" i="1"/>
  <c r="L492" i="1"/>
  <c r="G22" i="1"/>
  <c r="P21" i="1"/>
  <c r="Q511" i="1"/>
  <c r="Q510" i="1" s="1"/>
  <c r="N22" i="1"/>
  <c r="F510" i="1"/>
  <c r="F492" i="1" s="1"/>
  <c r="O290" i="1"/>
  <c r="S107" i="1"/>
  <c r="Q334" i="1"/>
  <c r="Q57" i="1"/>
  <c r="Q45" i="1"/>
  <c r="I492" i="1"/>
  <c r="E205" i="1"/>
  <c r="M21" i="1"/>
  <c r="I27" i="1"/>
  <c r="J20" i="1"/>
  <c r="J19" i="1" s="1"/>
  <c r="J27" i="1"/>
  <c r="F20" i="1"/>
  <c r="P22" i="1"/>
  <c r="P19" i="1" s="1"/>
  <c r="P27" i="1"/>
  <c r="F290" i="1"/>
  <c r="S600" i="1"/>
  <c r="R599" i="1"/>
  <c r="R597" i="1" s="1"/>
  <c r="S597" i="1" s="1"/>
  <c r="H43" i="1"/>
  <c r="R44" i="1"/>
  <c r="R40" i="1"/>
  <c r="S40" i="1" s="1"/>
  <c r="Q40" i="1"/>
  <c r="N290" i="1"/>
  <c r="S529" i="1"/>
  <c r="R528" i="1"/>
  <c r="R521" i="1"/>
  <c r="S521" i="1" s="1"/>
  <c r="S522" i="1"/>
  <c r="H510" i="1"/>
  <c r="S559" i="1"/>
  <c r="R555" i="1"/>
  <c r="S555" i="1" s="1"/>
  <c r="R523" i="1"/>
  <c r="S523" i="1" s="1"/>
  <c r="R378" i="1"/>
  <c r="S378" i="1" s="1"/>
  <c r="S241" i="1"/>
  <c r="R240" i="1"/>
  <c r="Q273" i="1"/>
  <c r="S225" i="1"/>
  <c r="R224" i="1"/>
  <c r="S224" i="1" s="1"/>
  <c r="R148" i="1"/>
  <c r="R247" i="1"/>
  <c r="S247" i="1" s="1"/>
  <c r="Q101" i="1"/>
  <c r="S221" i="1"/>
  <c r="R218" i="1"/>
  <c r="S58" i="1"/>
  <c r="R57" i="1"/>
  <c r="S57" i="1" s="1"/>
  <c r="H38" i="1"/>
  <c r="H35" i="1" s="1"/>
  <c r="H28" i="1" s="1"/>
  <c r="Q91" i="1"/>
  <c r="Q44" i="1"/>
  <c r="F52" i="1"/>
  <c r="F21" i="1" s="1"/>
  <c r="Q535" i="1"/>
  <c r="Q533" i="1" s="1"/>
  <c r="Q527" i="1" s="1"/>
  <c r="R184" i="1"/>
  <c r="S184" i="1" s="1"/>
  <c r="Q184" i="1"/>
  <c r="S146" i="1"/>
  <c r="R145" i="1"/>
  <c r="S145" i="1" s="1"/>
  <c r="Q38" i="1"/>
  <c r="S595" i="1"/>
  <c r="R594" i="1"/>
  <c r="R589" i="1" s="1"/>
  <c r="R582" i="1" s="1"/>
  <c r="R562" i="1"/>
  <c r="S562" i="1" s="1"/>
  <c r="S422" i="1"/>
  <c r="Q332" i="1"/>
  <c r="Q326" i="1" s="1"/>
  <c r="Q230" i="1"/>
  <c r="Q224" i="1" s="1"/>
  <c r="S302" i="1"/>
  <c r="R300" i="1"/>
  <c r="S328" i="1"/>
  <c r="R327" i="1"/>
  <c r="Q247" i="1"/>
  <c r="Q147" i="1"/>
  <c r="Q145" i="1" s="1"/>
  <c r="Q141" i="1" s="1"/>
  <c r="Q24" i="1" s="1"/>
  <c r="R273" i="1"/>
  <c r="S273" i="1" s="1"/>
  <c r="D205" i="1"/>
  <c r="D20" i="1"/>
  <c r="D19" i="1" s="1"/>
  <c r="F73" i="1"/>
  <c r="F22" i="1" s="1"/>
  <c r="N20" i="1"/>
  <c r="N19" i="1" s="1"/>
  <c r="R70" i="1"/>
  <c r="H63" i="1"/>
  <c r="H52" i="1" s="1"/>
  <c r="S53" i="1"/>
  <c r="S39" i="1"/>
  <c r="O20" i="1"/>
  <c r="O19" i="1" s="1"/>
  <c r="R90" i="1"/>
  <c r="H89" i="1"/>
  <c r="H73" i="1" s="1"/>
  <c r="Q90" i="1"/>
  <c r="S62" i="1"/>
  <c r="R61" i="1"/>
  <c r="S61" i="1" s="1"/>
  <c r="Q53" i="1"/>
  <c r="Q52" i="1" s="1"/>
  <c r="F26" i="1"/>
  <c r="E27" i="1"/>
  <c r="R511" i="1"/>
  <c r="H156" i="1"/>
  <c r="H26" i="1" s="1"/>
  <c r="R201" i="1"/>
  <c r="S201" i="1" s="1"/>
  <c r="Q201" i="1"/>
  <c r="R137" i="1"/>
  <c r="H136" i="1"/>
  <c r="H134" i="1" s="1"/>
  <c r="H133" i="1" s="1"/>
  <c r="H23" i="1" s="1"/>
  <c r="Q137" i="1"/>
  <c r="Q136" i="1" s="1"/>
  <c r="Q134" i="1" s="1"/>
  <c r="Q133" i="1" s="1"/>
  <c r="Q23" i="1" s="1"/>
  <c r="S626" i="1"/>
  <c r="R625" i="1"/>
  <c r="S625" i="1" s="1"/>
  <c r="Q581" i="1"/>
  <c r="R608" i="1"/>
  <c r="Q597" i="1"/>
  <c r="S506" i="1"/>
  <c r="R505" i="1"/>
  <c r="Q378" i="1"/>
  <c r="Q339" i="1" s="1"/>
  <c r="S534" i="1"/>
  <c r="R533" i="1"/>
  <c r="S533" i="1" s="1"/>
  <c r="S341" i="1"/>
  <c r="R340" i="1"/>
  <c r="S417" i="1"/>
  <c r="R413" i="1"/>
  <c r="S413" i="1" s="1"/>
  <c r="R316" i="1"/>
  <c r="Q316" i="1"/>
  <c r="Q305" i="1" s="1"/>
  <c r="Q298" i="1" s="1"/>
  <c r="Q291" i="1" s="1"/>
  <c r="H305" i="1"/>
  <c r="H298" i="1" s="1"/>
  <c r="H291" i="1" s="1"/>
  <c r="H290" i="1" s="1"/>
  <c r="R332" i="1"/>
  <c r="S332" i="1" s="1"/>
  <c r="E290" i="1"/>
  <c r="H145" i="1"/>
  <c r="H141" i="1" s="1"/>
  <c r="H24" i="1" s="1"/>
  <c r="S157" i="1"/>
  <c r="F24" i="1"/>
  <c r="K20" i="1"/>
  <c r="K19" i="1" s="1"/>
  <c r="K27" i="1"/>
  <c r="L35" i="1"/>
  <c r="L28" i="1" s="1"/>
  <c r="R441" i="1"/>
  <c r="S441" i="1" s="1"/>
  <c r="Q441" i="1"/>
  <c r="Q421" i="1" s="1"/>
  <c r="E20" i="1"/>
  <c r="H22" i="1" l="1"/>
  <c r="H492" i="1"/>
  <c r="G19" i="1"/>
  <c r="E19" i="1"/>
  <c r="O27" i="1"/>
  <c r="Q156" i="1"/>
  <c r="Q43" i="1"/>
  <c r="Q492" i="1"/>
  <c r="H21" i="1"/>
  <c r="Q239" i="1"/>
  <c r="Q205" i="1" s="1"/>
  <c r="Q35" i="1"/>
  <c r="Q28" i="1" s="1"/>
  <c r="Q20" i="1" s="1"/>
  <c r="M19" i="1"/>
  <c r="Q290" i="1"/>
  <c r="S528" i="1"/>
  <c r="R527" i="1"/>
  <c r="S527" i="1" s="1"/>
  <c r="R510" i="1"/>
  <c r="S510" i="1" s="1"/>
  <c r="S511" i="1"/>
  <c r="S90" i="1"/>
  <c r="R89" i="1"/>
  <c r="R43" i="1"/>
  <c r="S43" i="1" s="1"/>
  <c r="S44" i="1"/>
  <c r="Q21" i="1"/>
  <c r="S340" i="1"/>
  <c r="R339" i="1"/>
  <c r="S339" i="1" s="1"/>
  <c r="Q26" i="1"/>
  <c r="R38" i="1"/>
  <c r="S300" i="1"/>
  <c r="S218" i="1"/>
  <c r="R213" i="1"/>
  <c r="R141" i="1"/>
  <c r="S148" i="1"/>
  <c r="S240" i="1"/>
  <c r="R239" i="1"/>
  <c r="S239" i="1" s="1"/>
  <c r="F19" i="1"/>
  <c r="S316" i="1"/>
  <c r="R305" i="1"/>
  <c r="S305" i="1" s="1"/>
  <c r="S137" i="1"/>
  <c r="R136" i="1"/>
  <c r="L27" i="1"/>
  <c r="L20" i="1"/>
  <c r="L19" i="1" s="1"/>
  <c r="R156" i="1"/>
  <c r="R500" i="1"/>
  <c r="S505" i="1"/>
  <c r="R604" i="1"/>
  <c r="S604" i="1" s="1"/>
  <c r="S608" i="1"/>
  <c r="Q89" i="1"/>
  <c r="Q73" i="1" s="1"/>
  <c r="Q22" i="1" s="1"/>
  <c r="S70" i="1"/>
  <c r="R63" i="1"/>
  <c r="S327" i="1"/>
  <c r="R326" i="1"/>
  <c r="S326" i="1" s="1"/>
  <c r="R421" i="1"/>
  <c r="S421" i="1" s="1"/>
  <c r="H27" i="1"/>
  <c r="H20" i="1"/>
  <c r="H19" i="1" s="1"/>
  <c r="F27" i="1"/>
  <c r="Q27" i="1" l="1"/>
  <c r="S38" i="1"/>
  <c r="R35" i="1"/>
  <c r="S89" i="1"/>
  <c r="R73" i="1"/>
  <c r="S500" i="1"/>
  <c r="R493" i="1"/>
  <c r="S136" i="1"/>
  <c r="R134" i="1"/>
  <c r="S141" i="1"/>
  <c r="R24" i="1"/>
  <c r="S24" i="1" s="1"/>
  <c r="Q19" i="1"/>
  <c r="R581" i="1"/>
  <c r="S581" i="1" s="1"/>
  <c r="S63" i="1"/>
  <c r="R52" i="1"/>
  <c r="S156" i="1"/>
  <c r="R26" i="1"/>
  <c r="S26" i="1" s="1"/>
  <c r="S213" i="1"/>
  <c r="R206" i="1"/>
  <c r="R298" i="1"/>
  <c r="S206" i="1" l="1"/>
  <c r="R205" i="1"/>
  <c r="S205" i="1" s="1"/>
  <c r="S52" i="1"/>
  <c r="R21" i="1"/>
  <c r="S21" i="1" s="1"/>
  <c r="S493" i="1"/>
  <c r="R492" i="1"/>
  <c r="S492" i="1" s="1"/>
  <c r="S35" i="1"/>
  <c r="R28" i="1"/>
  <c r="S298" i="1"/>
  <c r="R291" i="1"/>
  <c r="S134" i="1"/>
  <c r="R133" i="1"/>
  <c r="S73" i="1"/>
  <c r="R22" i="1"/>
  <c r="S22" i="1" s="1"/>
  <c r="S133" i="1" l="1"/>
  <c r="R23" i="1"/>
  <c r="S23" i="1" s="1"/>
  <c r="S291" i="1"/>
  <c r="R290" i="1"/>
  <c r="S290" i="1" s="1"/>
  <c r="S28" i="1"/>
  <c r="R20" i="1"/>
  <c r="R27" i="1"/>
  <c r="S27" i="1" s="1"/>
  <c r="S20" i="1" l="1"/>
  <c r="R19" i="1"/>
  <c r="S19" i="1" s="1"/>
</calcChain>
</file>

<file path=xl/sharedStrings.xml><?xml version="1.0" encoding="utf-8"?>
<sst xmlns="http://schemas.openxmlformats.org/spreadsheetml/2006/main" count="2563" uniqueCount="1214">
  <si>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</si>
  <si>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</si>
  <si>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</si>
  <si>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</si>
  <si>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12 меясцев 2020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</si>
  <si>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</si>
  <si>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</si>
  <si>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2021 год</t>
  </si>
  <si>
    <t>Утвержденные плановые значения показателей приведены в соответствии с приказом Минэнерго России от 25.12.2020 № 22@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</si>
  <si>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</si>
  <si>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</si>
  <si>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</si>
  <si>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</si>
  <si>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</si>
  <si>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01.01.2020 года, млн рублей 
(с НДС) </t>
  </si>
  <si>
    <t xml:space="preserve">Остаток финансирования капитальных вложений 
на  01.01.2020 года  в прогнозных ценах соответствующих лет,  млн рублей (с НДС) </t>
  </si>
  <si>
    <t>Финансирование капитальных вложений года 2020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</si>
  <si>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</si>
  <si>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</si>
  <si>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</si>
  <si>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</si>
  <si>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</si>
  <si>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</si>
  <si>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</si>
  <si>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</si>
  <si>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</si>
  <si>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</si>
  <si>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</si>
  <si>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</si>
  <si>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</si>
  <si>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</si>
  <si>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</si>
  <si>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</si>
  <si>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</si>
  <si>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</si>
  <si>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</si>
  <si>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</si>
  <si>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</si>
  <si>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</si>
  <si>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</si>
  <si>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</si>
  <si>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</si>
  <si>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</si>
  <si>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</si>
  <si>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</si>
  <si>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</si>
  <si>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</si>
  <si>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</si>
  <si>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</si>
  <si>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</si>
  <si>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</si>
  <si>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</si>
  <si>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</si>
  <si>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</si>
  <si>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</si>
  <si>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</si>
  <si>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</si>
  <si>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</si>
  <si>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</si>
  <si>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</si>
  <si>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</si>
  <si>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</si>
  <si>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</si>
  <si>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</si>
  <si>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</si>
  <si>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</si>
  <si>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</si>
  <si>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</si>
  <si>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</si>
  <si>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</si>
  <si>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</si>
  <si>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</si>
  <si>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</si>
  <si>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Запланированные ПИР прошли по факту выполнения в 12.2020,гашение КЗ пройдет в 2021 гг.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</si>
  <si>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</si>
  <si>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</si>
  <si>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</si>
  <si>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</si>
  <si>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Гашение КЗ за 2019г., изменение графика работ в 2019 г. повляло на образование КЗ на начало 2020г. И возникновению обязательств для финансирования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</si>
  <si>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</si>
  <si>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</si>
  <si>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</si>
  <si>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</si>
  <si>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Финансирование было запланировано с учетом использования материалов со склада, приобретенные с начала 2010г.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</si>
  <si>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</si>
  <si>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</si>
  <si>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 xml:space="preserve">в результате уменьшения стоимости проекта и давальческих материалов  по результатам закупочных процедур, сложилась экономия по исполнению плана финансирования </t>
  </si>
  <si>
    <t>Реконструкция ТМ-33 от ХТЭЦ-3 с применением инновационных технологий ППУ и ОДК. ХТС</t>
  </si>
  <si>
    <t>F_505-ХТСКх-19тп</t>
  </si>
  <si>
    <t>Финансирвоание поставленных материалов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</si>
  <si>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</si>
  <si>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</si>
  <si>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</si>
  <si>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</si>
  <si>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Оплата задолженности материалов прошлых лет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</si>
  <si>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</si>
  <si>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</si>
  <si>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Возникновение обязательств для финансирования по ПИР</t>
  </si>
  <si>
    <t>Строительство ПНС-324 (450 Гкал/час) ХТС</t>
  </si>
  <si>
    <t>F_505-ХТСКх-20тп</t>
  </si>
  <si>
    <t>Проект исключен из ИП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</si>
  <si>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</si>
  <si>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</si>
  <si>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</si>
  <si>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</si>
  <si>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</si>
  <si>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</si>
  <si>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</si>
  <si>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</si>
  <si>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К выполнению приняты работы по разработке ПИР запланированные в 2019 году на основании заключенного дополнительного соглашения к основному договору. В связи с нарушением сроков проектирования на объекте не начаты запланированные строительно-монтажные работы.</t>
  </si>
  <si>
    <t>Реконструкция градирни ст. №3 Хабаровской ТЭЦ-3</t>
  </si>
  <si>
    <t>I_505-ХГ-136</t>
  </si>
  <si>
    <t>К выполнению приняты работы по разработке ПИР запланированные в 2019 году на основании заключенного дополнительного соглашения к основному договору.</t>
  </si>
  <si>
    <t>Реконструкция градирни № 5 Хабаровской ТЭЦ-1</t>
  </si>
  <si>
    <t>H_505-ХГ-122</t>
  </si>
  <si>
    <t>уточнение графика выполнения СМР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</si>
  <si>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</si>
  <si>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</si>
  <si>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</si>
  <si>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</si>
  <si>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</si>
  <si>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</si>
  <si>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</si>
  <si>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</si>
  <si>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Внеплановый проект. Авансирование подрядных работ согласно условиям заключенного договора.Фактически принятые затраты по договору  с РусГидроСнабжение - услуги по закупкам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</si>
  <si>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</si>
  <si>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</si>
  <si>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</si>
  <si>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</si>
  <si>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Договор подряда расторгнут. За отчетный период 2020 года объявлена и проведена внеплановая закупка, заключен новый договор с подрядной организацией для выполнение строительно-монтажных работ.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</si>
  <si>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</si>
  <si>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</si>
  <si>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</si>
  <si>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</si>
  <si>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Финансирование прочих затрат</t>
  </si>
  <si>
    <t>Наращивание золоотвала №2 (1 очередь) Хабаровской ТЭЦ-3 на 1800 тыс. м3</t>
  </si>
  <si>
    <t>H_505-ХГ-57</t>
  </si>
  <si>
    <t xml:space="preserve"> Отставание  от графика производства работ подрядной организацией.</t>
  </si>
  <si>
    <t>Реконструкция системы сброса сточных вод золоотвала Комсомольской ТЭЦ-2</t>
  </si>
  <si>
    <t>I_505-ХГ-90</t>
  </si>
  <si>
    <t>Работы по разработке ПИР выполнены. Разработанная документация не может быть передана на госэкспертизу, в связи с решением земельных вопросов. Срок исполнения переносяться на последующии периоды.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</si>
  <si>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</si>
  <si>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</si>
  <si>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</si>
  <si>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</si>
  <si>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</si>
  <si>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</si>
  <si>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</si>
  <si>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</si>
  <si>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Из-за невозможности выполнения работ по устройству линии подачи герметизирующей жидкости для защиты баков от аэрации без дополнительной поставки давальческого материала (плановые затраты на материалы Заказчика в отчетном году составляли 27270.75000 тыс.руб.), а именно резервуаров РГСН и жидкости герметизирующей АГ-4. По причине реализации проектных решений в заложенных в ПОС во временном интервале ПНС-922 6 месяцев и ПНС-315 3, а фактическая поставка материалов разделена на три года с учетом технологичности производства работ, т.е. с максимальным сохранением эксплуатации БАГВ  к предполагаемому заполнению БАГВ и не допущению простоя баков в отопительный период.
Оплачены текущие расходы. 
Осуществление инвестиций перенесено на 2021 год.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</si>
  <si>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</si>
  <si>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</si>
  <si>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</si>
  <si>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</si>
  <si>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Увеличение стоимости по результатам закупочных процедур (удорожание стоимости оборудования).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</si>
  <si>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</si>
  <si>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</si>
  <si>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</si>
  <si>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</si>
  <si>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</si>
  <si>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</si>
  <si>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</si>
  <si>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</si>
  <si>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Финансирование фактически поставленной продукции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</si>
  <si>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</si>
  <si>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</si>
  <si>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</si>
  <si>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</si>
  <si>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</si>
  <si>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</si>
  <si>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</si>
  <si>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</si>
  <si>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</si>
  <si>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</si>
  <si>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Изменение графика производства работ (перенос на 2021 год)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</si>
  <si>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</si>
  <si>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</si>
  <si>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</si>
  <si>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</si>
  <si>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</si>
  <si>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</si>
  <si>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</si>
  <si>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</si>
  <si>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Замена трансформатора ТДЦ-125000/110 на трансформатор ТДЦ-160000/110 ХТЭЦ-1, 1 шт.</t>
  </si>
  <si>
    <t>K_505-ХГ-147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</si>
  <si>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</si>
  <si>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</si>
  <si>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</si>
  <si>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</si>
  <si>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</si>
  <si>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</si>
  <si>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</si>
  <si>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</si>
  <si>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</si>
  <si>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</si>
  <si>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Основная причина: Экономический эффект от закупочной деятельности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</si>
  <si>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</si>
  <si>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</si>
  <si>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</si>
  <si>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</si>
  <si>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</si>
  <si>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</si>
  <si>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</si>
  <si>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</si>
  <si>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</si>
  <si>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</si>
  <si>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</si>
  <si>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</si>
  <si>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</si>
  <si>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</si>
  <si>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</si>
  <si>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</si>
  <si>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</si>
  <si>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</si>
  <si>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</si>
  <si>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</si>
  <si>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</si>
  <si>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</si>
  <si>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</si>
  <si>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</si>
  <si>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</si>
  <si>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</si>
  <si>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</si>
  <si>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</si>
  <si>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</si>
  <si>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</si>
  <si>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</si>
  <si>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</si>
  <si>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</si>
  <si>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</si>
  <si>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Реконструкция ПЭН (питательных электронасосов) на СП "Хабаровская ТЭЦ-3"  (2 шт)</t>
  </si>
  <si>
    <t>I_505-ХГ-137</t>
  </si>
  <si>
    <t>Экономический эффект от закупочной деятельности</t>
  </si>
  <si>
    <t>Реконструкция ПЭН (питательных электронасосов) на СП  "Комсомольская ТЭЦ-3" (2 шт)</t>
  </si>
  <si>
    <t>I_505-ХГ-138</t>
  </si>
  <si>
    <t>Замена измерительных трансформаторов тока на ХТЭЦ-3, КТЭЦ-1, КТЭЦ-2, КТЭЦ-3, МГРЭС</t>
  </si>
  <si>
    <t>F_505-ХГ-34</t>
  </si>
  <si>
    <t>Влияние фактически сложившейся КЗ на 01.01.2020</t>
  </si>
  <si>
    <t>Замена измерительных трансформаторов тока на КТЭЦ-1</t>
  </si>
  <si>
    <t>K_505-ХГ-34-1</t>
  </si>
  <si>
    <t xml:space="preserve">Снижение стоимости по результатам закупочных процедур. 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</si>
  <si>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</si>
  <si>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</si>
  <si>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</si>
  <si>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</si>
  <si>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</si>
  <si>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</si>
  <si>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 xml:space="preserve">Снижение стоимости по результатам закупочных процедур. Договор по актуалиазации проекта перенесен на 2021 г 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</si>
  <si>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</si>
  <si>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</si>
  <si>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</si>
  <si>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</si>
  <si>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</si>
  <si>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</si>
  <si>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</si>
  <si>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</si>
  <si>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</si>
  <si>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</si>
  <si>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</si>
  <si>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</si>
  <si>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</si>
  <si>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</si>
  <si>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</si>
  <si>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</si>
  <si>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приборов учета сточных вод Амурской ТЭЦ (выпуск № 1, № 2), 2 шт.</t>
  </si>
  <si>
    <t>H_505-ХГ-115</t>
  </si>
  <si>
    <t>Позднее заключение договора,с переносов сроков выполнения работ на 2021</t>
  </si>
  <si>
    <t>Техперевооружение комплекса инженерно-технических средств физической защиты Хабаровской ТЭЦ-2</t>
  </si>
  <si>
    <t>F_505-ХТСКх-5</t>
  </si>
  <si>
    <t>Позднее заключение договоров, в связи с длительной закупочной процедурой. Остаток финансирования перешел в 2021 год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</si>
  <si>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</si>
  <si>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</si>
  <si>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Позднее заключение договоров, в связи с длительной закупочной процедурой. Финансирование перешло в 2021 год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</si>
  <si>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</si>
  <si>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</si>
  <si>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Вводится с объектом F_505-ХТСКх-5</t>
  </si>
  <si>
    <t>Техперевооружение дымовой трубы СП Хабаровская ТЭЦ-2</t>
  </si>
  <si>
    <t>F_505-ХТСКх-32</t>
  </si>
  <si>
    <t>Закупочные процедуры не состоялись.  Для вынесения вопроса на решение ЦЗК АО "ДГК"  ведутся переговорыс с единственным Участником</t>
  </si>
  <si>
    <t>Замена 2 лифтов в здании Исполнительного аппарата АО "ДГК"</t>
  </si>
  <si>
    <t>J_505-ИА-6</t>
  </si>
  <si>
    <t>Неисполнение обязательств подрядчика. Из-за несвоевременной поставки основного оборудования..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</si>
  <si>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</si>
  <si>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</si>
  <si>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</si>
  <si>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</si>
  <si>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</si>
  <si>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</si>
  <si>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В связи с поздним заключением договора с электросетевой организацией, подрядчику не представилось возможным выполнение договорных обязательств по проектированию и установке прибора учета на ответвлении № 337.06 на границе балансовой принадлежности АО «ДГК» и предприятием-транспортировщиком согласно договору № 500/ХТС-20 от 05.07.2020 года.
Оплачены текущие расходы. 
Осуществление инвестиций перенесено на 2021 год.
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</si>
  <si>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</si>
  <si>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</si>
  <si>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</si>
  <si>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</si>
  <si>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</si>
  <si>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</si>
  <si>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</si>
  <si>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</si>
  <si>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</si>
  <si>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</si>
  <si>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</si>
  <si>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</si>
  <si>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</si>
  <si>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</si>
  <si>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</si>
  <si>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</si>
  <si>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</si>
  <si>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</si>
  <si>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</si>
  <si>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</si>
  <si>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</si>
  <si>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</si>
  <si>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Отставание проектировщиком от графика проектирования. Отстутвие заключенного договора на выполнение строительно-монтажных работ.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</si>
  <si>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</si>
  <si>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</si>
  <si>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</si>
  <si>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</si>
  <si>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Отклонение связано с отставанием подрядчика от графика производства СМР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</si>
  <si>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</si>
  <si>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</si>
  <si>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Отставание от графика производства работ подрядной организацией, в связи с отсутствием материалов подрядчика.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</si>
  <si>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</si>
  <si>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</si>
  <si>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</si>
  <si>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</si>
  <si>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</si>
  <si>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</si>
  <si>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Позднее заключение договора в связи с длительностью закупочных процедур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</si>
  <si>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</si>
  <si>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</si>
  <si>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Финансирование фактических затрат по аренде земельного участка. Перерасчет размера аренды по договору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</si>
  <si>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</si>
  <si>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</si>
  <si>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</si>
  <si>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</si>
  <si>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 xml:space="preserve">Финансирование выполненных работ </t>
  </si>
  <si>
    <t>Строительство нового золоотвала Хабаровской ТЭЦ-1 (ёмкость - 3200 тыс. м3)</t>
  </si>
  <si>
    <t>H_505-ХГ-86</t>
  </si>
  <si>
    <t>Оплачены землеустроительные работы, прочие основания для финансирования отсутствуют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</si>
  <si>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</si>
  <si>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</si>
  <si>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</si>
  <si>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</si>
  <si>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</si>
  <si>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</si>
  <si>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</si>
  <si>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</si>
  <si>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Бульдозер тяговый класс 35, СП Хабаровская ТЭЦ-3-2 шт/</t>
  </si>
  <si>
    <t>K_505-ХГ-45-252-2</t>
  </si>
  <si>
    <t>Фактически принятые затраты по договору  с РусГидроСнабжение - услуги по закупкам</t>
  </si>
  <si>
    <t>Покупка Весы электронные HR-250AZG, СП Комсомольская ТЭЦ-2 2 шт.</t>
  </si>
  <si>
    <t>H_505-ХГ-45-152</t>
  </si>
  <si>
    <t>Снижение стоимости по результатам закупочных процедур.</t>
  </si>
  <si>
    <t>Покупка  спектрофотометра Юника, СП Хабаровская ТЭЦ-1, кол-во 4 шт.</t>
  </si>
  <si>
    <t>F_505-ХГ-45-65</t>
  </si>
  <si>
    <t>По факту поставки 1 шт,(план 2)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</si>
  <si>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</si>
  <si>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</si>
  <si>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</si>
  <si>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</si>
  <si>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</si>
  <si>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</si>
  <si>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</si>
  <si>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</si>
  <si>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Увеличение стоимости по результатам закупочных процедур.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</si>
  <si>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</si>
  <si>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</si>
  <si>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</si>
  <si>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</si>
  <si>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</si>
  <si>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</si>
  <si>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</si>
  <si>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</si>
  <si>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</si>
  <si>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</si>
  <si>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</si>
  <si>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</si>
  <si>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</si>
  <si>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</si>
  <si>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</si>
  <si>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</si>
  <si>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</si>
  <si>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</si>
  <si>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</si>
  <si>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</si>
  <si>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</si>
  <si>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</si>
  <si>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</si>
  <si>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</si>
  <si>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Виброручка BALTECH VP-3407-3, СП Комсомольская ТЭЦ-3, 1 шт.</t>
  </si>
  <si>
    <t>К_505-ХГ-45-329</t>
  </si>
  <si>
    <t>Стоимость оборудования свыше 40 тыс. руб.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</si>
  <si>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</si>
  <si>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</si>
  <si>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</si>
  <si>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</si>
  <si>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</si>
  <si>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</si>
  <si>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</si>
  <si>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</si>
  <si>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</si>
  <si>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</si>
  <si>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</si>
  <si>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</si>
  <si>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</si>
  <si>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</si>
  <si>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</si>
  <si>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</si>
  <si>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</si>
  <si>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</si>
  <si>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</si>
  <si>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</si>
  <si>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Поздние сроки поставки ,оплата переноситься на 2021 г.</t>
  </si>
  <si>
    <t>Покупка КФК-3-1 шт, СП ХТЭЦ-2</t>
  </si>
  <si>
    <t>H_505-ХТСКх-34-27</t>
  </si>
  <si>
    <t>Экономия по итогам закупочной деятельности.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</si>
  <si>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</si>
  <si>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</si>
  <si>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</si>
  <si>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</si>
  <si>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</si>
  <si>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</si>
  <si>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</si>
  <si>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</si>
  <si>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</si>
  <si>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</si>
  <si>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</si>
  <si>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</si>
  <si>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</si>
  <si>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</si>
  <si>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</si>
  <si>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</si>
  <si>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</si>
  <si>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</si>
  <si>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</si>
  <si>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</si>
  <si>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</si>
  <si>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</si>
  <si>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</si>
  <si>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</si>
  <si>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</si>
  <si>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</si>
  <si>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</si>
  <si>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</si>
  <si>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Отсутствие обязательств для финансирования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</si>
  <si>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</si>
  <si>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</si>
  <si>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</si>
  <si>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</si>
  <si>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</si>
  <si>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</si>
  <si>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</si>
  <si>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</si>
  <si>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</si>
  <si>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</si>
  <si>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</si>
  <si>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</si>
  <si>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</si>
  <si>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</si>
  <si>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</si>
  <si>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</si>
  <si>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</si>
  <si>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</si>
  <si>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</si>
  <si>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</si>
  <si>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</si>
  <si>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Экономия от закупочных процедур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</si>
  <si>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</si>
  <si>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</si>
  <si>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Работы законченны 31.12.2020 года. Оплата перешла в 2021 год.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</si>
  <si>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</si>
  <si>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</si>
  <si>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Наращивание темпов выполнения работ, по которым было отставание в 2019 году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</si>
  <si>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</si>
  <si>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</si>
  <si>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</si>
  <si>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</si>
  <si>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</si>
  <si>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</si>
  <si>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</si>
  <si>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</si>
  <si>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</si>
  <si>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</si>
  <si>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</si>
  <si>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</si>
  <si>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Удорожание проекта по итогам закупочных процедур материалы</t>
  </si>
  <si>
    <t>Реконструкция оборудования ОРУ-110 кВ с заменой МВ на элегазовые СП БТЭЦ</t>
  </si>
  <si>
    <t>I_505-АГ-53</t>
  </si>
  <si>
    <t>Гарантийное удержания в 2021 году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</si>
  <si>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</si>
  <si>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</si>
  <si>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</si>
  <si>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</si>
  <si>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</si>
  <si>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</si>
  <si>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</si>
  <si>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</si>
  <si>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Недоосвоение возникло по причине закупки оборудования монтажа не в полном объеме.</t>
  </si>
  <si>
    <t>Реконструкция фильтров Н1 ,Н2 ХВО БТЭЦ</t>
  </si>
  <si>
    <t>I_505-АГ-58</t>
  </si>
  <si>
    <t>Поставка оборудования осуществленна за один раз в текущем году.</t>
  </si>
  <si>
    <t xml:space="preserve">Наращивание дамбы золоотвала № 2 СП РГРЭС </t>
  </si>
  <si>
    <t>H_505-АГ-41</t>
  </si>
  <si>
    <t>Закупка не состоялась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</si>
  <si>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</si>
  <si>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</si>
  <si>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</si>
  <si>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</si>
  <si>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</si>
  <si>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</si>
  <si>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</si>
  <si>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</si>
  <si>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</si>
  <si>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</si>
  <si>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</si>
  <si>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</si>
  <si>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</si>
  <si>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</si>
  <si>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</si>
  <si>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Длительное проведение закупочных процедур</t>
  </si>
  <si>
    <t>Техперевооружение комплекса инженерно-технических средств  физической защиты объектов БТЭЦ</t>
  </si>
  <si>
    <t>H_505-АГ-48</t>
  </si>
  <si>
    <t>Отстование от графика выполнения работ</t>
  </si>
  <si>
    <t>Установка резервного трансформатора собственных нужд РГРЭС, 1 шт.</t>
  </si>
  <si>
    <t>F_505-АГ-12</t>
  </si>
  <si>
    <t>Удорожание проекта по итогам закупочных процедур - материалы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</si>
  <si>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</si>
  <si>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</si>
  <si>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</si>
  <si>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</si>
  <si>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</si>
  <si>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</si>
  <si>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</si>
  <si>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</si>
  <si>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Экономия от закупочных процедур, перенос оплаты на январь месяц так как работы были окончены 31.12.2020</t>
  </si>
  <si>
    <t>Установка автоматизированной системы учета выброса загрязняющих веществ в атмостферу СП БТЭЦ</t>
  </si>
  <si>
    <t>J_505-АГ-79</t>
  </si>
  <si>
    <t>Длительные сроки проведения закупочных процедур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</si>
  <si>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</si>
  <si>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</si>
  <si>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</si>
  <si>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</si>
  <si>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</si>
  <si>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</si>
  <si>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</si>
  <si>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</si>
  <si>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</si>
  <si>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</si>
  <si>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</si>
  <si>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</si>
  <si>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</si>
  <si>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</si>
  <si>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</si>
  <si>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</si>
  <si>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</si>
  <si>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</si>
  <si>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</si>
  <si>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</si>
  <si>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</si>
  <si>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Изменение стоимости аренды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</si>
  <si>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</si>
  <si>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</si>
  <si>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</si>
  <si>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</si>
  <si>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</si>
  <si>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</si>
  <si>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</si>
  <si>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</si>
  <si>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</si>
  <si>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</si>
  <si>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</si>
  <si>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</si>
  <si>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</si>
  <si>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</si>
  <si>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Удорожание проекта по итогам закупочных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</si>
  <si>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</si>
  <si>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</si>
  <si>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</si>
  <si>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</si>
  <si>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</si>
  <si>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</si>
  <si>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</si>
  <si>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</si>
  <si>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</si>
  <si>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</si>
  <si>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</si>
  <si>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</si>
  <si>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</si>
  <si>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</si>
  <si>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</si>
  <si>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</si>
  <si>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</si>
  <si>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</si>
  <si>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</si>
  <si>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</si>
  <si>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Задержка поставки оборудования.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</si>
  <si>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</si>
  <si>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</si>
  <si>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</si>
  <si>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</si>
  <si>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</si>
  <si>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</si>
  <si>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</si>
  <si>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</si>
  <si>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</si>
  <si>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</si>
  <si>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</si>
  <si>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</si>
  <si>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</si>
  <si>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</si>
  <si>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</si>
  <si>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</si>
  <si>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Экономия по результатам закупочной деятельности.</t>
  </si>
  <si>
    <t>3.1.3.3</t>
  </si>
  <si>
    <t>3.1.3.4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</si>
  <si>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</si>
  <si>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</si>
  <si>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</si>
  <si>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Перенос сроков выполнения на 2021г. Длительное согласование разрешения на строительство с УГА г.Владивостока.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</si>
  <si>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</si>
  <si>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</si>
  <si>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</si>
  <si>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</si>
  <si>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</si>
  <si>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</si>
  <si>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</si>
  <si>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</si>
  <si>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</si>
  <si>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</si>
  <si>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</si>
  <si>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</si>
  <si>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финансирование обязательств согласно заключенного договора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</si>
  <si>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</si>
  <si>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</si>
  <si>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</si>
  <si>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</si>
  <si>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</si>
  <si>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</si>
  <si>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</si>
  <si>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</si>
  <si>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</si>
  <si>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</si>
  <si>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</si>
  <si>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</si>
  <si>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</si>
  <si>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</si>
  <si>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Принято решение о переносе(синхронизации) срока проведения работ,т.к.на  данном учатке в 2021 г планируется реконструкция объекта администрации города(стадион Авангард).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</si>
  <si>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</si>
  <si>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</si>
  <si>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</si>
  <si>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</si>
  <si>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</si>
  <si>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</si>
  <si>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</si>
  <si>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</si>
  <si>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Увеличение стоимости проекта после закупочных процедур.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</si>
  <si>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</si>
  <si>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</si>
  <si>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</si>
  <si>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</si>
  <si>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</si>
  <si>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</si>
  <si>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</si>
  <si>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</si>
  <si>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</si>
  <si>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</si>
  <si>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</si>
  <si>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</si>
  <si>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</si>
  <si>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</si>
  <si>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Корректировка объемов работ и внесение изменений в проект, экономия по непредвиденным затратам и командировочным расходам.</t>
  </si>
  <si>
    <t>Рекультивация золоотвала Партизанской ГРЭС, S=72 га</t>
  </si>
  <si>
    <t>F_505-ПГг-29</t>
  </si>
  <si>
    <t>Снижение потребности в финансировании на основании заключенного договора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</si>
  <si>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</si>
  <si>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</si>
  <si>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</si>
  <si>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</si>
  <si>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</si>
  <si>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</si>
  <si>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</si>
  <si>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</si>
  <si>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Корректировка объемов работ, без превышения по консолидированному договору по ИП 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</si>
  <si>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</si>
  <si>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</si>
  <si>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</si>
  <si>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</si>
  <si>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</si>
  <si>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</si>
  <si>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Отмена закупки по причине не согласования итоговых объёмов и стоимостных параметров закупки производственным блоком ПАО «РусГидро».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</si>
  <si>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</si>
  <si>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</si>
  <si>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</si>
  <si>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</si>
  <si>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Влияние фактически сложившейся КЗ на 01.01.2020. Финансирование работ согласно условий договора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</si>
  <si>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</si>
  <si>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</si>
  <si>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</si>
  <si>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</si>
  <si>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</si>
  <si>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</si>
  <si>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Влияние фактически сложившейся КЗ на 01.01.2020. Финансирование фактически поставленной продукции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</si>
  <si>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</si>
  <si>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</si>
  <si>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</si>
  <si>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</si>
  <si>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</si>
  <si>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</si>
  <si>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</si>
  <si>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</si>
  <si>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</si>
  <si>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</si>
  <si>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</si>
  <si>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</si>
  <si>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</si>
  <si>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</si>
  <si>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</si>
  <si>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</si>
  <si>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</si>
  <si>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</si>
  <si>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</si>
  <si>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</si>
  <si>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</si>
  <si>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</si>
  <si>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Экономия по договору, работы по проекту выполнены в полном объеме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</si>
  <si>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</si>
  <si>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</si>
  <si>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</si>
  <si>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</si>
  <si>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</si>
  <si>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</si>
  <si>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</si>
  <si>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</si>
  <si>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</si>
  <si>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</si>
  <si>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</si>
  <si>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</si>
  <si>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</si>
  <si>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</si>
  <si>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</si>
  <si>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</si>
  <si>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</si>
  <si>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</si>
  <si>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</si>
  <si>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</si>
  <si>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За счет экономии по результатам закупочной деятельности, КЗ в 2021г.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</si>
  <si>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</si>
  <si>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</si>
  <si>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</si>
  <si>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</si>
  <si>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</si>
  <si>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</si>
  <si>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</si>
  <si>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</si>
  <si>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</si>
  <si>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</si>
  <si>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</si>
  <si>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</si>
  <si>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</si>
  <si>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</si>
  <si>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</si>
  <si>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</si>
  <si>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</si>
  <si>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</si>
  <si>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</si>
  <si>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</si>
  <si>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</si>
  <si>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 xml:space="preserve">Оплата затрат на ведение технадзора на объектах  перераспределены между структурными подразделениями. 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</si>
  <si>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</si>
  <si>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</si>
  <si>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 xml:space="preserve">Продление сроков выполнения работ , в связи с устранением замечаний к рабочей документации. 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</si>
  <si>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</si>
  <si>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</si>
  <si>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</si>
  <si>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</si>
  <si>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За счет экономии по результатам закупочной деятельности.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</si>
  <si>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</si>
  <si>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</si>
  <si>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Срыв сроков выполнения работ подрядной организацией, КЗ 2021г.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</si>
  <si>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</si>
  <si>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</si>
  <si>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</si>
  <si>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</si>
  <si>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</si>
  <si>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</si>
  <si>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</si>
  <si>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</si>
  <si>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За счет удорожания стоимости оборудования и экономии по результатам закупочной деятельности СМР.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</si>
  <si>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</si>
  <si>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</si>
  <si>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</si>
  <si>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</si>
  <si>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Корректировка объемов выполнения работ (исключена прокладка переливной трубы пруда накопителя, хозспособом выполнено русло сброса паводковой воды).</t>
  </si>
  <si>
    <t>Установка АОПО для ВЛ 110 кВ Партизанская ГРЭС – Находка тяговая СП Партизанская ГРЭС</t>
  </si>
  <si>
    <t>J_505-ПГг-111</t>
  </si>
  <si>
    <t>Отсутствует возможность заключения договора с АО «ХРМК» в обозначенные сроки на выкуп проектной документации и производство строительно-монтажных работ, вследствие не согласования АО «ДРСК» проектной документации и ОТР.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</si>
  <si>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</si>
  <si>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</si>
  <si>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</si>
  <si>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</si>
  <si>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>финансирование обязательств согласно заключенного договора, КЗ в 2021г.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</si>
  <si>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</si>
  <si>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</si>
  <si>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</si>
  <si>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</si>
  <si>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</si>
  <si>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</si>
  <si>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Сроки выполнения работ по проекту перенесены на 2021 год, в связи с замечаниями по качеству поставленного оборудования.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</si>
  <si>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</si>
  <si>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</si>
  <si>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</si>
  <si>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</si>
  <si>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100% поставка и оплата материалов в 2020г.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</si>
  <si>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</si>
  <si>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</si>
  <si>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</si>
  <si>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</si>
  <si>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</si>
  <si>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</si>
  <si>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</si>
  <si>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</si>
  <si>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</si>
  <si>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</si>
  <si>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</si>
  <si>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</si>
  <si>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</si>
  <si>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</si>
  <si>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</si>
  <si>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</si>
  <si>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</si>
  <si>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</si>
  <si>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</si>
  <si>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</si>
  <si>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</si>
  <si>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</si>
  <si>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</si>
  <si>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</si>
  <si>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</si>
  <si>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</si>
  <si>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</si>
  <si>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</si>
  <si>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</si>
  <si>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 xml:space="preserve"> Корректировка объмов выполнения работ вследствие изменения проектных решений по прокладке водоотводных труб (Ду630) из шахтных колодцев через дамбу в пруд осветитель. Выполнен отвод в старый шахтный колодец.</t>
  </si>
  <si>
    <t>Строительство Золоотвала №2 Приморской ГРЭС,строительство  3 яруса (емкость - 24,7 млн. м3)</t>
  </si>
  <si>
    <t>F_505-ЛуТЭК-29</t>
  </si>
  <si>
    <t>Приостановлена раелизация проекта по решению СД от сентября 2019 г и проработка вопроса по передаче проекта для дальнейшей реалиазции в ООО "Приморская ГРЭС"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</si>
  <si>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</si>
  <si>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</si>
  <si>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</si>
  <si>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</si>
  <si>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Основная причина не выполнения – не принятие выполненных работ по обследованию котлов,(дополнительное соглашение в процессе оформления).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</si>
  <si>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</si>
  <si>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</si>
  <si>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В ходе исполнения договора возникли объективные причины, которые негативно повлияли на ход проектирования (отсутствие решения по земле для строительства АТЭЦ-2, изменение основного вида топлива на природный газ), что привело к решению заказчика о расторжении договора с 01.08.2020.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</si>
  <si>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</si>
  <si>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</si>
  <si>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</si>
  <si>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</si>
  <si>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</si>
  <si>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</si>
  <si>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</si>
  <si>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</si>
  <si>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</si>
  <si>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</si>
  <si>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>Отнесено к ТМЦ до 40 тыс. руб. (цена за шт. менее 40т.р.)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</si>
  <si>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</si>
  <si>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</si>
  <si>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</si>
  <si>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</si>
  <si>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</si>
  <si>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</si>
  <si>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</si>
  <si>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</si>
  <si>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</si>
  <si>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</si>
  <si>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Удорожание от планируемой стоимости, поставка оборудованияв соответствует  закупочным процедурам и условиям договора.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</si>
  <si>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</si>
  <si>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</si>
  <si>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</si>
  <si>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</si>
  <si>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</si>
  <si>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</si>
  <si>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</si>
  <si>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</si>
  <si>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Удорожание относительно планируемой стоимости, без увеличения стоимости по консолидированному лоту. Консолидированные закупки АО «ДГК», поставка в соответствии с условиями договора.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</si>
  <si>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</si>
  <si>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</si>
  <si>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</si>
  <si>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</si>
  <si>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</si>
  <si>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</si>
  <si>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</si>
  <si>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</si>
  <si>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</si>
  <si>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</si>
  <si>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</si>
  <si>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</si>
  <si>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Удорожание относительно планируемой стоимости, без увеличения стоимости по консолидированному лоту. Консолидированные закупки АО «ДГК».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</si>
  <si>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</si>
  <si>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</si>
  <si>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</si>
  <si>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</si>
  <si>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</si>
  <si>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</si>
  <si>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</si>
  <si>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</si>
  <si>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</si>
  <si>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</si>
  <si>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</si>
  <si>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</si>
  <si>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</si>
  <si>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</si>
  <si>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</si>
  <si>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</si>
  <si>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</si>
  <si>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</si>
  <si>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</si>
  <si>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</si>
  <si>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</si>
  <si>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</si>
  <si>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весов крановых КВ-10Т-М, Артемовской ТЭЦ, 1 шт</t>
  </si>
  <si>
    <t>K_505-ПГг-39-148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</si>
  <si>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</si>
  <si>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</si>
  <si>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</si>
  <si>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</si>
  <si>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</si>
  <si>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</si>
  <si>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</si>
  <si>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</si>
  <si>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</si>
  <si>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</si>
  <si>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</si>
  <si>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</si>
  <si>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Отнесено к ТМЦ до 40 тыс. руб.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</si>
  <si>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</si>
  <si>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</si>
  <si>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</si>
  <si>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</si>
  <si>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</si>
  <si>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</si>
  <si>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</si>
  <si>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</si>
  <si>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</si>
  <si>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</si>
  <si>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</si>
  <si>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</si>
  <si>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</si>
  <si>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</si>
  <si>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</si>
  <si>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</si>
  <si>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</si>
  <si>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</si>
  <si>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</si>
  <si>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</si>
  <si>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</si>
  <si>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</si>
  <si>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</si>
  <si>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</si>
  <si>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</si>
  <si>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</si>
  <si>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</si>
  <si>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</si>
  <si>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>Решение АО «ДГК» о заключении Доп. соглашения №1 к договору №1358/81-20 от 26.11.20 с поставкой в 2021 году.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</si>
  <si>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</si>
  <si>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</si>
  <si>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</si>
  <si>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</si>
  <si>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</si>
  <si>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</si>
  <si>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</si>
  <si>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</si>
  <si>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</si>
  <si>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</si>
  <si>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</si>
  <si>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</si>
  <si>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</si>
  <si>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</si>
  <si>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</si>
  <si>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</si>
  <si>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</si>
  <si>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</si>
  <si>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</si>
  <si>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</si>
  <si>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</si>
  <si>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</si>
  <si>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</si>
  <si>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</si>
  <si>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</si>
  <si>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</si>
  <si>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</si>
  <si>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</si>
  <si>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Снят с производства, не приобретен.</t>
  </si>
  <si>
    <t>Покупка муфельной печи «ЭКПС-10»,  1шт. Приморские тепловые сети</t>
  </si>
  <si>
    <t>J_505-ПГт-11-72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</si>
  <si>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</si>
  <si>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</si>
  <si>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</si>
  <si>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</si>
  <si>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</si>
  <si>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</si>
  <si>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</si>
  <si>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</si>
  <si>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</si>
  <si>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</si>
  <si>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</si>
  <si>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</si>
  <si>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</si>
  <si>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</si>
  <si>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</si>
  <si>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</si>
  <si>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</si>
  <si>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</si>
  <si>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</si>
  <si>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</si>
  <si>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</si>
  <si>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</si>
  <si>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возврат гарантийного удержания 2021г.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</si>
  <si>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</si>
  <si>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</si>
  <si>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</si>
  <si>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</si>
  <si>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</si>
  <si>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</si>
  <si>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</si>
  <si>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</si>
  <si>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</si>
  <si>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</si>
  <si>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</si>
  <si>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</si>
  <si>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</si>
  <si>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Изменение условий финансирования в связи со сдвигом сроков выполнения работ вправо.</t>
  </si>
  <si>
    <t>Реконструкция горелочных устройств котлоагрегатов  НГРЭС</t>
  </si>
  <si>
    <t>J_505-НГ-74</t>
  </si>
  <si>
    <t xml:space="preserve">Длительное согласование проекта 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</si>
  <si>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</si>
  <si>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</si>
  <si>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</si>
  <si>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</si>
  <si>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</si>
  <si>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</si>
  <si>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</si>
  <si>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</si>
  <si>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</si>
  <si>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Изменение условий финансирования в связи со сдвигом сроков выполнения работ вправо, КЗ по материалам 2021г.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</si>
  <si>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</si>
  <si>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</si>
  <si>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</si>
  <si>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</si>
  <si>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</si>
  <si>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</si>
  <si>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</si>
  <si>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</si>
  <si>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</si>
  <si>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</si>
  <si>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Изменение сроков реализации проекта в связи с распространением коронавирусной инфекции (COVID-19). Приняты затраты службы Заказчика.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</si>
  <si>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</si>
  <si>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</si>
  <si>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</si>
  <si>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</si>
  <si>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</si>
  <si>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</si>
  <si>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в связи с завершением сроков реконструкции энергоблока ст. №1 16.08.2020 по требованию СО ЕЭС сроки производства работ перенесены в 2022г.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</si>
  <si>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</si>
  <si>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</si>
  <si>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</si>
  <si>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</si>
  <si>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</si>
  <si>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</si>
  <si>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</si>
  <si>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Изменение условий оплаты по результатам заключенных договорных обязательств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</si>
  <si>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</si>
  <si>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</si>
  <si>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</si>
  <si>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</si>
  <si>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</si>
  <si>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</si>
  <si>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</si>
  <si>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</si>
  <si>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</si>
  <si>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</si>
  <si>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</si>
  <si>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</si>
  <si>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</si>
  <si>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</si>
  <si>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</si>
  <si>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</si>
  <si>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 xml:space="preserve">Длительное согласование проектных решений в ОДУ Востока. 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</si>
  <si>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</si>
  <si>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</si>
  <si>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</si>
  <si>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</si>
  <si>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Изменение условий финансирования в связи с переносом сроков выполнения работ в 2021г. (COVID-19)</t>
  </si>
  <si>
    <t>Установка дифференциальной защиты шин на Чульманской ТЭЦ</t>
  </si>
  <si>
    <t>J_505-НГ-79</t>
  </si>
  <si>
    <t>КЗ 2021г.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</si>
  <si>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</si>
  <si>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</si>
  <si>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</si>
  <si>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</si>
  <si>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</si>
  <si>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</si>
  <si>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</si>
  <si>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</si>
  <si>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</si>
  <si>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</si>
  <si>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</si>
  <si>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</si>
  <si>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</si>
  <si>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</si>
  <si>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</si>
  <si>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</si>
  <si>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Неисполнение обязательст подрядчика. Расторжение договора.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</si>
  <si>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</si>
  <si>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</si>
  <si>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</si>
  <si>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</si>
  <si>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Внеплановый проект. Включение проекта в ИПР 2020 на основании выписки из протокола заседания Совета директоров от 30.04.2020 №23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</si>
  <si>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</si>
  <si>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</si>
  <si>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Экономия по результатам конкурсных процедур</t>
  </si>
  <si>
    <t>Покупка автобуса ПАЗ НГРЭС Кол-во: 2017г.-1 шт., 2018г.-1шт., 2019г.-2шт., 2020г.-1 шт, 2022г.-1шт)</t>
  </si>
  <si>
    <t>H_505-НГ-24-24</t>
  </si>
  <si>
    <t>Покупка мини-погрузчика, ЧТЭЦ 1 шт</t>
  </si>
  <si>
    <t>K_505-НГ-24-72</t>
  </si>
  <si>
    <t>Длительное согласование и проведение закупочных процедур по выбору поставщиков оборудования и материалов.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</si>
  <si>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</si>
  <si>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</si>
  <si>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</si>
  <si>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</si>
  <si>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</si>
  <si>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</si>
  <si>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</si>
  <si>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</si>
  <si>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</si>
  <si>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</si>
  <si>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</si>
  <si>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</si>
  <si>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</si>
  <si>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</si>
  <si>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</si>
  <si>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</si>
  <si>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</si>
  <si>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</si>
  <si>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</si>
  <si>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</si>
  <si>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</si>
  <si>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</si>
  <si>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</si>
  <si>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</si>
  <si>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</si>
  <si>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</si>
  <si>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</si>
  <si>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</si>
  <si>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Изменение стоимости оборудования в соответствии с заключенным договором.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</si>
  <si>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</si>
  <si>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</si>
  <si>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</si>
  <si>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</si>
  <si>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</si>
  <si>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</si>
  <si>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</si>
  <si>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</si>
  <si>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</si>
  <si>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</si>
  <si>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</si>
  <si>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</si>
  <si>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</si>
  <si>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</si>
  <si>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</si>
  <si>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</si>
  <si>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</si>
  <si>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</si>
  <si>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</si>
  <si>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</si>
  <si>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</si>
  <si>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</si>
  <si>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</si>
  <si>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</si>
  <si>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</si>
  <si>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</si>
  <si>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</si>
  <si>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</si>
  <si>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</si>
  <si>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</si>
  <si>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</si>
  <si>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</si>
  <si>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</si>
  <si>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</si>
  <si>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</si>
  <si>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</si>
  <si>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</si>
  <si>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</si>
  <si>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 xml:space="preserve">Отставание от графика производства работ 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</si>
  <si>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</si>
  <si>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</si>
  <si>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</si>
  <si>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</si>
  <si>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</si>
  <si>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</si>
  <si>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</si>
  <si>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</si>
  <si>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</si>
  <si>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</si>
  <si>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</si>
  <si>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</si>
  <si>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</si>
  <si>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</si>
  <si>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</si>
  <si>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</si>
  <si>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</si>
  <si>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</si>
  <si>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</si>
  <si>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</si>
  <si>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Закупочные процедуры не состоялись из-за отсутствия заявок (Протокол от 10.08.2020 №818)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</si>
</sst>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1" fillId="0" borderId="0"/>
    <xf numFmtId="0" fontId="2" fillId="0" borderId="0"/>
  </cellStyleXfs>
  <cellXfs count="61">
    <xf numFmtId="0" fontId="0" fillId="0" borderId="0" xfId="0"/>
    <xf numFmtId="2" fontId="2" fillId="2" borderId="0" xfId="1" applyNumberFormat="1" applyFont="1" applyFill="1"/>
    <xf numFmtId="2" fontId="3" fillId="2" borderId="0" xfId="1" applyNumberFormat="1" applyFont="1" applyFill="1" applyAlignment="1">
      <alignment horizontal="center" vertical="center" wrapText="1"/>
    </xf>
    <xf numFmtId="2" fontId="2" fillId="2" borderId="0" xfId="1" applyNumberFormat="1" applyFont="1" applyFill="1" applyBorder="1"/>
    <xf numFmtId="2" fontId="4" fillId="2" borderId="0" xfId="1" applyNumberFormat="1" applyFont="1" applyFill="1" applyAlignment="1">
      <alignment horizontal="center" wrapText="1"/>
    </xf>
    <xf numFmtId="2" fontId="2" fillId="2" borderId="0" xfId="2" applyNumberFormat="1" applyFont="1" applyFill="1" applyAlignment="1">
      <alignment horizontal="center" vertical="center"/>
    </xf>
    <xf numFmtId="2" fontId="4" fillId="2" borderId="0" xfId="1" applyNumberFormat="1" applyFont="1" applyFill="1" applyAlignment="1">
      <alignment horizontal="center"/>
    </xf>
    <xf numFmtId="2" fontId="6" fillId="2" borderId="1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2" fontId="8" fillId="2" borderId="3" xfId="3" applyNumberFormat="1" applyFont="1" applyFill="1" applyBorder="1" applyAlignment="1" applyProtection="1">
      <alignment horizontal="center" vertical="center" wrapText="1"/>
      <protection locked="0"/>
    </xf>
    <xf numFmtId="2" fontId="8" fillId="2" borderId="4" xfId="3" applyNumberFormat="1" applyFont="1" applyFill="1" applyBorder="1" applyAlignment="1" applyProtection="1">
      <alignment horizontal="center" vertical="center" wrapText="1"/>
      <protection locked="0"/>
    </xf>
    <xf numFmtId="10" fontId="6" fillId="2" borderId="4" xfId="1" applyNumberFormat="1" applyFont="1" applyFill="1" applyBorder="1" applyAlignment="1">
      <alignment horizontal="center" vertical="center" wrapText="1"/>
    </xf>
    <xf numFmtId="2" fontId="8" fillId="2" borderId="5" xfId="3" applyNumberFormat="1" applyFont="1" applyFill="1" applyBorder="1" applyAlignment="1" applyProtection="1">
      <alignment horizontal="center" vertical="center" wrapText="1"/>
      <protection locked="0"/>
    </xf>
    <xf numFmtId="2" fontId="6" fillId="2" borderId="6" xfId="2" applyNumberFormat="1" applyFont="1" applyFill="1" applyBorder="1" applyAlignment="1">
      <alignment horizontal="center" vertical="center"/>
    </xf>
    <xf numFmtId="2" fontId="6" fillId="2" borderId="6" xfId="2" applyNumberFormat="1" applyFont="1" applyFill="1" applyBorder="1" applyAlignment="1">
      <alignment horizontal="center" wrapText="1"/>
    </xf>
    <xf numFmtId="2" fontId="6" fillId="2" borderId="6" xfId="1" applyNumberFormat="1" applyFont="1" applyFill="1" applyBorder="1" applyAlignment="1">
      <alignment horizontal="center" vertical="center"/>
    </xf>
    <xf numFmtId="2" fontId="6" fillId="2" borderId="6" xfId="1" applyNumberFormat="1" applyFont="1" applyFill="1" applyBorder="1" applyAlignment="1">
      <alignment horizontal="center" vertical="center" wrapText="1"/>
    </xf>
    <xf numFmtId="10" fontId="6" fillId="2" borderId="6" xfId="1" applyNumberFormat="1" applyFont="1" applyFill="1" applyBorder="1" applyAlignment="1">
      <alignment horizontal="center" vertical="center" wrapText="1"/>
    </xf>
    <xf numFmtId="2" fontId="6" fillId="2" borderId="1" xfId="2" applyNumberFormat="1" applyFont="1" applyFill="1" applyBorder="1" applyAlignment="1">
      <alignment horizontal="center" vertical="center"/>
    </xf>
    <xf numFmtId="2" fontId="6" fillId="2" borderId="1" xfId="2" applyNumberFormat="1" applyFont="1" applyFill="1" applyBorder="1" applyAlignment="1">
      <alignment horizontal="center" wrapText="1"/>
    </xf>
    <xf numFmtId="2" fontId="6" fillId="2" borderId="1" xfId="1" applyNumberFormat="1" applyFont="1" applyFill="1" applyBorder="1" applyAlignment="1">
      <alignment horizontal="center" vertical="center"/>
    </xf>
    <xf numFmtId="10" fontId="6" fillId="2" borderId="1" xfId="1" applyNumberFormat="1" applyFont="1" applyFill="1" applyBorder="1" applyAlignment="1">
      <alignment horizontal="center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2" fontId="6" fillId="2" borderId="1" xfId="3" applyNumberFormat="1" applyFont="1" applyFill="1" applyBorder="1" applyAlignment="1" applyProtection="1">
      <alignment horizontal="left" vertical="center" wrapText="1"/>
      <protection locked="0"/>
    </xf>
    <xf numFmtId="2" fontId="8" fillId="2" borderId="1" xfId="3" applyNumberFormat="1" applyFont="1" applyFill="1" applyBorder="1" applyAlignment="1" applyProtection="1">
      <alignment horizontal="center" vertical="center" wrapText="1"/>
      <protection locked="0"/>
    </xf>
    <xf numFmtId="2" fontId="8" fillId="2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2" applyNumberFormat="1" applyFont="1" applyFill="1" applyBorder="1" applyAlignment="1">
      <alignment horizontal="center" vertical="center"/>
    </xf>
    <xf numFmtId="2" fontId="9" fillId="2" borderId="1" xfId="4" applyNumberFormat="1" applyFont="1" applyFill="1" applyBorder="1" applyAlignment="1" applyProtection="1">
      <alignment horizontal="left" vertical="center" wrapText="1"/>
      <protection locked="0"/>
    </xf>
    <xf numFmtId="2" fontId="9" fillId="2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1" applyNumberFormat="1" applyFont="1" applyFill="1" applyBorder="1" applyAlignment="1">
      <alignment horizontal="center" vertical="center" wrapText="1"/>
    </xf>
    <xf numFmtId="2" fontId="9" fillId="2" borderId="1" xfId="3" applyNumberFormat="1" applyFont="1" applyFill="1" applyBorder="1" applyAlignment="1" applyProtection="1">
      <alignment horizontal="center" vertical="center" wrapText="1"/>
      <protection locked="0"/>
    </xf>
    <xf numFmtId="10" fontId="2" fillId="2" borderId="1" xfId="1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2" fontId="9" fillId="2" borderId="1" xfId="3" applyNumberFormat="1" applyFont="1" applyFill="1" applyBorder="1" applyAlignment="1" applyProtection="1">
      <alignment horizontal="left" vertical="center" wrapText="1"/>
      <protection locked="0"/>
    </xf>
    <xf numFmtId="2" fontId="2" fillId="2" borderId="1" xfId="4" applyNumberFormat="1" applyFont="1" applyFill="1" applyBorder="1" applyAlignment="1" applyProtection="1">
      <alignment horizontal="center" vertical="center" wrapText="1"/>
    </xf>
    <xf numFmtId="2" fontId="2" fillId="2" borderId="1" xfId="3" applyNumberFormat="1" applyFont="1" applyFill="1" applyBorder="1" applyAlignment="1" applyProtection="1">
      <alignment horizontal="left" vertical="center" wrapText="1"/>
      <protection locked="0"/>
    </xf>
    <xf numFmtId="2" fontId="9" fillId="2" borderId="1" xfId="3" applyNumberFormat="1" applyFont="1" applyFill="1" applyBorder="1" applyAlignment="1" applyProtection="1">
      <alignment vertical="center" wrapText="1"/>
      <protection locked="0"/>
    </xf>
    <xf numFmtId="2" fontId="9" fillId="2" borderId="1" xfId="4" applyNumberFormat="1" applyFont="1" applyFill="1" applyBorder="1" applyAlignment="1" applyProtection="1">
      <alignment vertical="center" wrapText="1"/>
      <protection locked="0"/>
    </xf>
    <xf numFmtId="2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2" applyNumberFormat="1" applyFont="1" applyFill="1" applyBorder="1" applyAlignment="1">
      <alignment horizontal="left" vertical="center" wrapText="1"/>
    </xf>
    <xf numFmtId="2" fontId="2" fillId="2" borderId="1" xfId="5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vertical="center" wrapText="1"/>
    </xf>
    <xf numFmtId="2" fontId="2" fillId="2" borderId="1" xfId="3" applyNumberFormat="1" applyFont="1" applyFill="1" applyBorder="1" applyAlignment="1" applyProtection="1">
      <alignment horizontal="center" vertical="center" wrapText="1"/>
    </xf>
    <xf numFmtId="2" fontId="8" fillId="2" borderId="1" xfId="4" applyNumberFormat="1" applyFont="1" applyFill="1" applyBorder="1" applyAlignment="1" applyProtection="1">
      <alignment vertical="center" wrapText="1"/>
      <protection locked="0"/>
    </xf>
    <xf numFmtId="2" fontId="2" fillId="2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1" applyNumberFormat="1" applyFont="1" applyFill="1" applyBorder="1"/>
    <xf numFmtId="2" fontId="2" fillId="2" borderId="1" xfId="2" applyNumberFormat="1" applyFont="1" applyFill="1" applyBorder="1" applyAlignment="1" applyProtection="1">
      <alignment horizontal="left" vertical="center" wrapText="1"/>
      <protection locked="0"/>
    </xf>
    <xf numFmtId="2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2" fontId="6" fillId="2" borderId="1" xfId="1" applyNumberFormat="1" applyFont="1" applyFill="1" applyBorder="1" applyAlignment="1">
      <alignment horizontal="center" vertical="top"/>
    </xf>
    <xf numFmtId="2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6" applyNumberFormat="1" applyFont="1" applyFill="1" applyBorder="1" applyAlignment="1">
      <alignment horizontal="center" vertical="center"/>
    </xf>
    <xf numFmtId="2" fontId="9" fillId="2" borderId="1" xfId="1" applyNumberFormat="1" applyFont="1" applyFill="1" applyBorder="1" applyAlignment="1" applyProtection="1">
      <alignment horizontal="left" vertical="center" wrapText="1"/>
      <protection locked="0"/>
    </xf>
    <xf numFmtId="2" fontId="2" fillId="2" borderId="0" xfId="1" applyNumberFormat="1" applyFont="1" applyFill="1" applyAlignment="1">
      <alignment horizontal="center" vertical="center" wrapText="1"/>
    </xf>
    <xf numFmtId="2" fontId="2" fillId="0" borderId="0" xfId="1" applyNumberFormat="1" applyFont="1" applyFill="1"/>
    <xf numFmtId="2" fontId="4" fillId="2" borderId="0" xfId="2" applyNumberFormat="1" applyFont="1" applyFill="1" applyAlignment="1">
      <alignment horizontal="center" vertical="center"/>
    </xf>
    <xf numFmtId="2" fontId="4" fillId="2" borderId="0" xfId="1" applyNumberFormat="1" applyFont="1" applyFill="1" applyBorder="1" applyAlignment="1">
      <alignment horizontal="center"/>
    </xf>
    <xf numFmtId="2" fontId="4" fillId="2" borderId="0" xfId="1" applyNumberFormat="1" applyFont="1" applyFill="1" applyAlignment="1">
      <alignment horizontal="center" wrapText="1"/>
    </xf>
    <xf numFmtId="2" fontId="2" fillId="2" borderId="0" xfId="2" applyNumberFormat="1" applyFont="1" applyFill="1" applyAlignment="1">
      <alignment horizontal="center" vertical="center"/>
    </xf>
    <xf numFmtId="2" fontId="4" fillId="2" borderId="0" xfId="1" applyNumberFormat="1" applyFont="1" applyFill="1" applyAlignment="1">
      <alignment horizontal="center"/>
    </xf>
    <xf numFmtId="2" fontId="6" fillId="2" borderId="1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6"/>
    <cellStyle name="Обычный 3" xfId="1"/>
    <cellStyle name="Обычный 6 14" xfId="5"/>
    <cellStyle name="Обычный 7" xfId="2"/>
    <cellStyle name="Стиль 1" xfId="3"/>
    <cellStyle name="Стиль 1 2" xfId="4"/>
  </cellStyles>
  <dxfs count="180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628"/>
  <sheetViews>
    <sheetView tabSelected="1" view="pageBreakPreview" zoomScale="60" zoomScaleNormal="60" workbookViewId="0">
      <selection activeCell="C22" sqref="C22"/>
    </sheetView>
  </sheetViews>
  <sheetFormatPr defaultColWidth="10.28515625" defaultRowHeight="15.75" outlineLevelRow="1" outlineLevelCol="1" x14ac:dyDescent="0.25"/>
  <cols>
    <col min="1" max="1" width="11.140625" style="1" customWidth="1"/>
    <col min="2" max="2" width="63.85546875" style="1" customWidth="1"/>
    <col min="3" max="3" width="25.42578125" style="1" customWidth="1"/>
    <col min="4" max="4" width="35.42578125" style="1" customWidth="1"/>
    <col min="5" max="5" width="26" style="1" customWidth="1"/>
    <col min="6" max="6" width="28.85546875" style="1" customWidth="1"/>
    <col min="7" max="7" width="22" style="1" customWidth="1" outlineLevel="1"/>
    <col min="8" max="8" width="25.7109375" style="1" customWidth="1" outlineLevel="1"/>
    <col min="9" max="9" width="23.42578125" style="1" customWidth="1" outlineLevel="1"/>
    <col min="10" max="11" width="20.140625" style="1" customWidth="1" outlineLevel="1"/>
    <col min="12" max="12" width="22.28515625" style="1" customWidth="1" outlineLevel="1"/>
    <col min="13" max="13" width="15.7109375" style="1" customWidth="1" outlineLevel="1"/>
    <col min="14" max="14" width="20.42578125" style="1" customWidth="1" outlineLevel="1"/>
    <col min="15" max="15" width="21.140625" style="1" customWidth="1" outlineLevel="1"/>
    <col min="16" max="16" width="20.85546875" style="1" customWidth="1"/>
    <col min="17" max="17" width="29.5703125" style="1" customWidth="1"/>
    <col min="18" max="18" width="28.85546875" style="1" customWidth="1"/>
    <col min="19" max="19" width="23.5703125" style="1" customWidth="1"/>
    <col min="20" max="20" width="83.28515625" style="53" customWidth="1"/>
    <col min="21" max="16384" width="10.28515625" style="54"/>
  </cols>
  <sheetData>
    <row r="1" spans="1:20" s="1" customFormat="1" ht="18" customHeight="1" x14ac:dyDescent="0.25">
      <c r="T1" s="2" t="s">
        <v>0</v>
      </c>
    </row>
    <row r="2" spans="1:20" s="1" customFormat="1" ht="18" customHeight="1" outlineLevel="1" x14ac:dyDescent="0.25">
      <c r="T2" s="2" t="s">
        <v>1</v>
      </c>
    </row>
    <row r="3" spans="1:20" s="1" customFormat="1" ht="18" customHeight="1" outlineLevel="1" x14ac:dyDescent="0.25">
      <c r="T3" s="2" t="s">
        <v>2</v>
      </c>
    </row>
    <row r="4" spans="1:20" s="3" customFormat="1" ht="18" customHeight="1" outlineLevel="1" x14ac:dyDescent="0.3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s="3" customFormat="1" ht="18" customHeight="1" outlineLevel="1" x14ac:dyDescent="0.3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</row>
    <row r="6" spans="1:20" s="3" customFormat="1" ht="18" customHeight="1" outlineLevel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8" customHeight="1" outlineLevel="1" x14ac:dyDescent="0.3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</row>
    <row r="8" spans="1:20" s="1" customFormat="1" ht="18" customHeight="1" outlineLevel="1" x14ac:dyDescent="0.25">
      <c r="A8" s="58" t="s">
        <v>6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</row>
    <row r="9" spans="1:20" s="1" customFormat="1" ht="18" customHeight="1" outlineLevel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s="1" customFormat="1" ht="18" customHeight="1" outlineLevel="1" x14ac:dyDescent="0.3">
      <c r="A10" s="59" t="s">
        <v>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1:20" s="1" customFormat="1" ht="18" customHeight="1" outlineLevel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s="1" customFormat="1" ht="18" customHeight="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</row>
    <row r="13" spans="1:20" s="1" customFormat="1" ht="18" customHeight="1" x14ac:dyDescent="0.25">
      <c r="A13" s="58" t="s">
        <v>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spans="1:20" s="1" customFormat="1" ht="18" customHeight="1" x14ac:dyDescent="0.3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</row>
    <row r="15" spans="1:20" s="1" customFormat="1" ht="50.25" customHeight="1" x14ac:dyDescent="0.25">
      <c r="A15" s="60" t="s">
        <v>10</v>
      </c>
      <c r="B15" s="60" t="s">
        <v>11</v>
      </c>
      <c r="C15" s="60" t="s">
        <v>12</v>
      </c>
      <c r="D15" s="60" t="s">
        <v>13</v>
      </c>
      <c r="E15" s="60" t="s">
        <v>14</v>
      </c>
      <c r="F15" s="60" t="s">
        <v>15</v>
      </c>
      <c r="G15" s="60" t="s">
        <v>16</v>
      </c>
      <c r="H15" s="60"/>
      <c r="I15" s="60"/>
      <c r="J15" s="60"/>
      <c r="K15" s="60"/>
      <c r="L15" s="60"/>
      <c r="M15" s="60"/>
      <c r="N15" s="60"/>
      <c r="O15" s="60"/>
      <c r="P15" s="60"/>
      <c r="Q15" s="60" t="s">
        <v>17</v>
      </c>
      <c r="R15" s="60" t="s">
        <v>18</v>
      </c>
      <c r="S15" s="60"/>
      <c r="T15" s="60" t="s">
        <v>19</v>
      </c>
    </row>
    <row r="16" spans="1:20" s="1" customFormat="1" ht="50.25" customHeight="1" x14ac:dyDescent="0.25">
      <c r="A16" s="60"/>
      <c r="B16" s="60"/>
      <c r="C16" s="60"/>
      <c r="D16" s="60"/>
      <c r="E16" s="60"/>
      <c r="F16" s="60"/>
      <c r="G16" s="60" t="s">
        <v>20</v>
      </c>
      <c r="H16" s="60"/>
      <c r="I16" s="60" t="s">
        <v>21</v>
      </c>
      <c r="J16" s="60"/>
      <c r="K16" s="60" t="s">
        <v>22</v>
      </c>
      <c r="L16" s="60"/>
      <c r="M16" s="60" t="s">
        <v>23</v>
      </c>
      <c r="N16" s="60"/>
      <c r="O16" s="60" t="s">
        <v>24</v>
      </c>
      <c r="P16" s="60"/>
      <c r="Q16" s="60"/>
      <c r="R16" s="60" t="s">
        <v>25</v>
      </c>
      <c r="S16" s="60" t="s">
        <v>26</v>
      </c>
      <c r="T16" s="60"/>
    </row>
    <row r="17" spans="1:20" s="1" customFormat="1" ht="50.25" customHeight="1" x14ac:dyDescent="0.25">
      <c r="A17" s="60"/>
      <c r="B17" s="60"/>
      <c r="C17" s="60"/>
      <c r="D17" s="60"/>
      <c r="E17" s="60"/>
      <c r="F17" s="60"/>
      <c r="G17" s="7" t="s">
        <v>27</v>
      </c>
      <c r="H17" s="7" t="s">
        <v>28</v>
      </c>
      <c r="I17" s="7" t="s">
        <v>27</v>
      </c>
      <c r="J17" s="7" t="s">
        <v>28</v>
      </c>
      <c r="K17" s="7" t="s">
        <v>27</v>
      </c>
      <c r="L17" s="7" t="s">
        <v>28</v>
      </c>
      <c r="M17" s="7" t="s">
        <v>27</v>
      </c>
      <c r="N17" s="7" t="s">
        <v>28</v>
      </c>
      <c r="O17" s="7" t="s">
        <v>27</v>
      </c>
      <c r="P17" s="7" t="s">
        <v>28</v>
      </c>
      <c r="Q17" s="60"/>
      <c r="R17" s="60"/>
      <c r="S17" s="60"/>
      <c r="T17" s="60"/>
    </row>
    <row r="18" spans="1:20" s="1" customFormat="1" ht="16.5" thickBot="1" x14ac:dyDescent="0.3">
      <c r="A18" s="8">
        <v>1</v>
      </c>
      <c r="B18" s="8">
        <f t="shared" ref="B18:G18" si="0">A18+1</f>
        <v>2</v>
      </c>
      <c r="C18" s="8">
        <f t="shared" si="0"/>
        <v>3</v>
      </c>
      <c r="D18" s="8">
        <f t="shared" si="0"/>
        <v>4</v>
      </c>
      <c r="E18" s="8">
        <f t="shared" si="0"/>
        <v>5</v>
      </c>
      <c r="F18" s="8">
        <f t="shared" si="0"/>
        <v>6</v>
      </c>
      <c r="G18" s="8">
        <f t="shared" si="0"/>
        <v>7</v>
      </c>
      <c r="H18" s="8">
        <v>8</v>
      </c>
      <c r="I18" s="8">
        <f t="shared" ref="I18:T18" si="1">H18+1</f>
        <v>9</v>
      </c>
      <c r="J18" s="8">
        <f t="shared" si="1"/>
        <v>10</v>
      </c>
      <c r="K18" s="8">
        <f t="shared" si="1"/>
        <v>11</v>
      </c>
      <c r="L18" s="8">
        <f t="shared" si="1"/>
        <v>12</v>
      </c>
      <c r="M18" s="8">
        <f t="shared" si="1"/>
        <v>13</v>
      </c>
      <c r="N18" s="8">
        <f t="shared" si="1"/>
        <v>14</v>
      </c>
      <c r="O18" s="8">
        <f>N18+1</f>
        <v>15</v>
      </c>
      <c r="P18" s="8">
        <f t="shared" si="1"/>
        <v>16</v>
      </c>
      <c r="Q18" s="8">
        <f t="shared" si="1"/>
        <v>17</v>
      </c>
      <c r="R18" s="8">
        <f t="shared" si="1"/>
        <v>18</v>
      </c>
      <c r="S18" s="8">
        <f t="shared" si="1"/>
        <v>19</v>
      </c>
      <c r="T18" s="8">
        <f t="shared" si="1"/>
        <v>20</v>
      </c>
    </row>
    <row r="19" spans="1:20" s="1" customFormat="1" ht="16.5" thickBot="1" x14ac:dyDescent="0.3">
      <c r="A19" s="9" t="s">
        <v>29</v>
      </c>
      <c r="B19" s="10" t="s">
        <v>30</v>
      </c>
      <c r="C19" s="10" t="s">
        <v>31</v>
      </c>
      <c r="D19" s="10">
        <f>D20+D21+D22+D23+D24+D25+D26</f>
        <v>44415.45926129201</v>
      </c>
      <c r="E19" s="10">
        <f t="shared" ref="E19:Q19" si="2">E20+E21+E22+E23+E24+E25+E26</f>
        <v>12059.35499209</v>
      </c>
      <c r="F19" s="10">
        <f t="shared" si="2"/>
        <v>32356.104269202006</v>
      </c>
      <c r="G19" s="10">
        <f t="shared" si="2"/>
        <v>6019.0687864563897</v>
      </c>
      <c r="H19" s="10">
        <f t="shared" si="2"/>
        <v>4369.2455223300003</v>
      </c>
      <c r="I19" s="10">
        <f t="shared" si="2"/>
        <v>356.53687794025558</v>
      </c>
      <c r="J19" s="10">
        <f t="shared" si="2"/>
        <v>680.82326373000001</v>
      </c>
      <c r="K19" s="10">
        <f t="shared" si="2"/>
        <v>808.94542242085674</v>
      </c>
      <c r="L19" s="10">
        <f t="shared" si="2"/>
        <v>1181.2460784800001</v>
      </c>
      <c r="M19" s="10">
        <f t="shared" si="2"/>
        <v>1258.7757276291968</v>
      </c>
      <c r="N19" s="10">
        <f t="shared" si="2"/>
        <v>1227.7817718199999</v>
      </c>
      <c r="O19" s="10">
        <f t="shared" si="2"/>
        <v>3594.8107584660856</v>
      </c>
      <c r="P19" s="10">
        <f t="shared" si="2"/>
        <v>1279.3944083000001</v>
      </c>
      <c r="Q19" s="10">
        <f t="shared" si="2"/>
        <v>27991.839105612005</v>
      </c>
      <c r="R19" s="10">
        <f>R20+R21+R22+R23+R24+R25+R26</f>
        <v>-1654.8036228663946</v>
      </c>
      <c r="S19" s="11">
        <f>R19/(I19+K19+M19+O19)</f>
        <v>-0.27492685024465829</v>
      </c>
      <c r="T19" s="12" t="s">
        <v>32</v>
      </c>
    </row>
    <row r="20" spans="1:20" s="1" customFormat="1" x14ac:dyDescent="0.25">
      <c r="A20" s="13" t="s">
        <v>33</v>
      </c>
      <c r="B20" s="14" t="s">
        <v>34</v>
      </c>
      <c r="C20" s="15" t="s">
        <v>31</v>
      </c>
      <c r="D20" s="16">
        <f t="shared" ref="D20:R20" si="3">SUM(D28,D206,D291,D493,D582)</f>
        <v>4505.9221302509532</v>
      </c>
      <c r="E20" s="16">
        <f t="shared" si="3"/>
        <v>2525.6668220200004</v>
      </c>
      <c r="F20" s="16">
        <f t="shared" si="3"/>
        <v>1980.2553082309548</v>
      </c>
      <c r="G20" s="16">
        <f t="shared" si="3"/>
        <v>573.79721573193217</v>
      </c>
      <c r="H20" s="16">
        <f t="shared" si="3"/>
        <v>545.69120937999992</v>
      </c>
      <c r="I20" s="16">
        <f t="shared" si="3"/>
        <v>110.63001139936952</v>
      </c>
      <c r="J20" s="16">
        <f t="shared" si="3"/>
        <v>70.239376000000007</v>
      </c>
      <c r="K20" s="16">
        <f t="shared" si="3"/>
        <v>20.868000000000002</v>
      </c>
      <c r="L20" s="16">
        <f t="shared" si="3"/>
        <v>119.89594231999999</v>
      </c>
      <c r="M20" s="16">
        <f t="shared" si="3"/>
        <v>126.54922639593221</v>
      </c>
      <c r="N20" s="16">
        <f t="shared" si="3"/>
        <v>157.20988267000001</v>
      </c>
      <c r="O20" s="16">
        <f t="shared" si="3"/>
        <v>315.74997793663044</v>
      </c>
      <c r="P20" s="16">
        <f t="shared" si="3"/>
        <v>198.34600839000004</v>
      </c>
      <c r="Q20" s="16">
        <f t="shared" si="3"/>
        <v>1434.7338357109543</v>
      </c>
      <c r="R20" s="16">
        <f t="shared" si="3"/>
        <v>-28.275743211932202</v>
      </c>
      <c r="S20" s="17">
        <f>R20/(I20+K20+M20+O20)</f>
        <v>-4.9278285841564844E-2</v>
      </c>
      <c r="T20" s="16" t="s">
        <v>32</v>
      </c>
    </row>
    <row r="21" spans="1:20" s="1" customFormat="1" x14ac:dyDescent="0.25">
      <c r="A21" s="18" t="s">
        <v>35</v>
      </c>
      <c r="B21" s="19" t="s">
        <v>36</v>
      </c>
      <c r="C21" s="20" t="s">
        <v>31</v>
      </c>
      <c r="D21" s="7">
        <f t="shared" ref="D21:R21" si="4">SUM(D52,D224,D326,D510,D597)</f>
        <v>5665.9302241555943</v>
      </c>
      <c r="E21" s="7">
        <f t="shared" si="4"/>
        <v>1365.2257134100003</v>
      </c>
      <c r="F21" s="7">
        <f t="shared" si="4"/>
        <v>4300.7045107455942</v>
      </c>
      <c r="G21" s="7">
        <f t="shared" si="4"/>
        <v>941.34396167259217</v>
      </c>
      <c r="H21" s="7">
        <f t="shared" si="4"/>
        <v>585.05205439999997</v>
      </c>
      <c r="I21" s="7">
        <f t="shared" si="4"/>
        <v>60.098025008629996</v>
      </c>
      <c r="J21" s="7">
        <f t="shared" si="4"/>
        <v>89.497662339999991</v>
      </c>
      <c r="K21" s="7">
        <f t="shared" si="4"/>
        <v>247.61927922963665</v>
      </c>
      <c r="L21" s="7">
        <f t="shared" si="4"/>
        <v>126.31061344</v>
      </c>
      <c r="M21" s="7">
        <f t="shared" si="4"/>
        <v>289.50147333811003</v>
      </c>
      <c r="N21" s="7">
        <f t="shared" si="4"/>
        <v>188.26330068000001</v>
      </c>
      <c r="O21" s="7">
        <f t="shared" si="4"/>
        <v>344.12518409621549</v>
      </c>
      <c r="P21" s="7">
        <f t="shared" si="4"/>
        <v>180.98047794000001</v>
      </c>
      <c r="Q21" s="7">
        <f t="shared" si="4"/>
        <v>3720.0461457455945</v>
      </c>
      <c r="R21" s="7">
        <f t="shared" si="4"/>
        <v>-360.68559667259217</v>
      </c>
      <c r="S21" s="21">
        <f>R21/(I21+K21+M21+O21)</f>
        <v>-0.38316025954181654</v>
      </c>
      <c r="T21" s="7" t="s">
        <v>32</v>
      </c>
    </row>
    <row r="22" spans="1:20" s="1" customFormat="1" x14ac:dyDescent="0.25">
      <c r="A22" s="18" t="s">
        <v>37</v>
      </c>
      <c r="B22" s="19" t="s">
        <v>38</v>
      </c>
      <c r="C22" s="20" t="s">
        <v>31</v>
      </c>
      <c r="D22" s="7">
        <f t="shared" ref="D22:R22" si="5">SUM(D73,D239,D339,D527,D604)</f>
        <v>14765.5601202089</v>
      </c>
      <c r="E22" s="7">
        <f t="shared" si="5"/>
        <v>4526.3326450300001</v>
      </c>
      <c r="F22" s="7">
        <f t="shared" si="5"/>
        <v>10239.227475178897</v>
      </c>
      <c r="G22" s="7">
        <f t="shared" si="5"/>
        <v>2137.0156497015955</v>
      </c>
      <c r="H22" s="7">
        <f t="shared" si="5"/>
        <v>1775.9876351</v>
      </c>
      <c r="I22" s="7">
        <f t="shared" si="5"/>
        <v>132.51070563945606</v>
      </c>
      <c r="J22" s="7">
        <f t="shared" si="5"/>
        <v>349.59343289999998</v>
      </c>
      <c r="K22" s="7">
        <f t="shared" si="5"/>
        <v>212.30185802202001</v>
      </c>
      <c r="L22" s="7">
        <f t="shared" si="5"/>
        <v>486.53680535000007</v>
      </c>
      <c r="M22" s="7">
        <f t="shared" si="5"/>
        <v>639.92303845309448</v>
      </c>
      <c r="N22" s="7">
        <f t="shared" si="5"/>
        <v>383.14450668000001</v>
      </c>
      <c r="O22" s="7">
        <f t="shared" si="5"/>
        <v>1152.2800475870272</v>
      </c>
      <c r="P22" s="7">
        <f t="shared" si="5"/>
        <v>556.71289017000004</v>
      </c>
      <c r="Q22" s="7">
        <f t="shared" si="5"/>
        <v>8463.2398400788989</v>
      </c>
      <c r="R22" s="7">
        <f t="shared" si="5"/>
        <v>-361.02801460159782</v>
      </c>
      <c r="S22" s="21">
        <f t="shared" ref="S22:S38" si="6">R22/(I22+K22+M22+O22)</f>
        <v>-0.16894027643270182</v>
      </c>
      <c r="T22" s="7" t="s">
        <v>32</v>
      </c>
    </row>
    <row r="23" spans="1:20" s="1" customFormat="1" ht="31.5" x14ac:dyDescent="0.25">
      <c r="A23" s="18" t="s">
        <v>39</v>
      </c>
      <c r="B23" s="19" t="s">
        <v>40</v>
      </c>
      <c r="C23" s="20" t="s">
        <v>31</v>
      </c>
      <c r="D23" s="7">
        <f t="shared" ref="D23:R23" si="7">SUM(D133,D259,D406,D548,D612)</f>
        <v>26.510318116000001</v>
      </c>
      <c r="E23" s="7">
        <f t="shared" si="7"/>
        <v>0.12227547999999899</v>
      </c>
      <c r="F23" s="7">
        <f t="shared" si="7"/>
        <v>26.388042636000002</v>
      </c>
      <c r="G23" s="7">
        <f t="shared" si="7"/>
        <v>1.3212426360000002</v>
      </c>
      <c r="H23" s="7">
        <f t="shared" si="7"/>
        <v>1.6094611999999999</v>
      </c>
      <c r="I23" s="7">
        <f t="shared" si="7"/>
        <v>0</v>
      </c>
      <c r="J23" s="7">
        <f t="shared" si="7"/>
        <v>0</v>
      </c>
      <c r="K23" s="7">
        <f t="shared" si="7"/>
        <v>0</v>
      </c>
      <c r="L23" s="7">
        <f t="shared" si="7"/>
        <v>0</v>
      </c>
      <c r="M23" s="7">
        <f t="shared" si="7"/>
        <v>0</v>
      </c>
      <c r="N23" s="7">
        <f t="shared" si="7"/>
        <v>0</v>
      </c>
      <c r="O23" s="7">
        <f t="shared" si="7"/>
        <v>1.3212426360000002</v>
      </c>
      <c r="P23" s="7">
        <f t="shared" si="7"/>
        <v>1.6094611999999999</v>
      </c>
      <c r="Q23" s="7">
        <f t="shared" si="7"/>
        <v>24.778581436000003</v>
      </c>
      <c r="R23" s="7">
        <f t="shared" si="7"/>
        <v>0.28821856399999968</v>
      </c>
      <c r="S23" s="21">
        <f t="shared" si="6"/>
        <v>0.21814204003631596</v>
      </c>
      <c r="T23" s="7" t="s">
        <v>32</v>
      </c>
    </row>
    <row r="24" spans="1:20" s="1" customFormat="1" x14ac:dyDescent="0.25">
      <c r="A24" s="18" t="s">
        <v>41</v>
      </c>
      <c r="B24" s="19" t="s">
        <v>42</v>
      </c>
      <c r="C24" s="20" t="s">
        <v>31</v>
      </c>
      <c r="D24" s="7">
        <f t="shared" ref="D24:R24" si="8">SUM(D141,D266,D413,D555,D619)</f>
        <v>17560.62119157477</v>
      </c>
      <c r="E24" s="7">
        <f t="shared" si="8"/>
        <v>3042.5740536200001</v>
      </c>
      <c r="F24" s="7">
        <f t="shared" si="8"/>
        <v>14518.047137954771</v>
      </c>
      <c r="G24" s="7">
        <f t="shared" si="8"/>
        <v>1370.1841048884821</v>
      </c>
      <c r="H24" s="7">
        <f t="shared" si="8"/>
        <v>794.87171768999985</v>
      </c>
      <c r="I24" s="7">
        <f t="shared" si="8"/>
        <v>40.972637739999996</v>
      </c>
      <c r="J24" s="7">
        <f t="shared" si="8"/>
        <v>123.30851363999999</v>
      </c>
      <c r="K24" s="7">
        <f t="shared" si="8"/>
        <v>109.072930548</v>
      </c>
      <c r="L24" s="7">
        <f t="shared" si="8"/>
        <v>238.22485933999999</v>
      </c>
      <c r="M24" s="7">
        <f t="shared" si="8"/>
        <v>111.80955984199997</v>
      </c>
      <c r="N24" s="7">
        <f t="shared" si="8"/>
        <v>229.90048583999999</v>
      </c>
      <c r="O24" s="7">
        <f t="shared" si="8"/>
        <v>1108.3289767584824</v>
      </c>
      <c r="P24" s="7">
        <f t="shared" si="8"/>
        <v>203.43785886999999</v>
      </c>
      <c r="Q24" s="7">
        <f t="shared" si="8"/>
        <v>13723.175420264772</v>
      </c>
      <c r="R24" s="7">
        <f t="shared" si="8"/>
        <v>-575.31238719848238</v>
      </c>
      <c r="S24" s="21">
        <f t="shared" si="6"/>
        <v>-0.4198796243117317</v>
      </c>
      <c r="T24" s="7" t="s">
        <v>32</v>
      </c>
    </row>
    <row r="25" spans="1:20" s="1" customFormat="1" ht="31.5" x14ac:dyDescent="0.25">
      <c r="A25" s="18" t="s">
        <v>43</v>
      </c>
      <c r="B25" s="19" t="s">
        <v>44</v>
      </c>
      <c r="C25" s="20" t="s">
        <v>31</v>
      </c>
      <c r="D25" s="7">
        <f t="shared" ref="D25:R25" si="9">D155+D272+D420+D561+D624</f>
        <v>0</v>
      </c>
      <c r="E25" s="7">
        <f t="shared" si="9"/>
        <v>0</v>
      </c>
      <c r="F25" s="7">
        <f t="shared" si="9"/>
        <v>0</v>
      </c>
      <c r="G25" s="7">
        <f t="shared" si="9"/>
        <v>0</v>
      </c>
      <c r="H25" s="7">
        <f t="shared" si="9"/>
        <v>0</v>
      </c>
      <c r="I25" s="7">
        <f t="shared" si="9"/>
        <v>0</v>
      </c>
      <c r="J25" s="7">
        <f t="shared" si="9"/>
        <v>0</v>
      </c>
      <c r="K25" s="7">
        <f t="shared" si="9"/>
        <v>0</v>
      </c>
      <c r="L25" s="7">
        <f t="shared" si="9"/>
        <v>0</v>
      </c>
      <c r="M25" s="7">
        <f t="shared" si="9"/>
        <v>0</v>
      </c>
      <c r="N25" s="7">
        <f t="shared" si="9"/>
        <v>0</v>
      </c>
      <c r="O25" s="7">
        <f t="shared" si="9"/>
        <v>0</v>
      </c>
      <c r="P25" s="7">
        <f t="shared" si="9"/>
        <v>0</v>
      </c>
      <c r="Q25" s="7">
        <f t="shared" si="9"/>
        <v>0</v>
      </c>
      <c r="R25" s="7">
        <f t="shared" si="9"/>
        <v>0</v>
      </c>
      <c r="S25" s="21">
        <v>0</v>
      </c>
      <c r="T25" s="7" t="s">
        <v>32</v>
      </c>
    </row>
    <row r="26" spans="1:20" s="1" customFormat="1" x14ac:dyDescent="0.25">
      <c r="A26" s="18" t="s">
        <v>45</v>
      </c>
      <c r="B26" s="19" t="s">
        <v>46</v>
      </c>
      <c r="C26" s="20" t="s">
        <v>31</v>
      </c>
      <c r="D26" s="7">
        <f t="shared" ref="D26:R26" si="10">SUM(D156,D273,D421,D562,D625)</f>
        <v>1890.9152769857874</v>
      </c>
      <c r="E26" s="7">
        <f t="shared" si="10"/>
        <v>599.43348253000011</v>
      </c>
      <c r="F26" s="7">
        <f t="shared" si="10"/>
        <v>1291.4817944557874</v>
      </c>
      <c r="G26" s="7">
        <f t="shared" si="10"/>
        <v>995.40661182578788</v>
      </c>
      <c r="H26" s="7">
        <f t="shared" si="10"/>
        <v>666.03344456000013</v>
      </c>
      <c r="I26" s="7">
        <f t="shared" si="10"/>
        <v>12.325498152799998</v>
      </c>
      <c r="J26" s="7">
        <f t="shared" si="10"/>
        <v>48.184278849999998</v>
      </c>
      <c r="K26" s="7">
        <f t="shared" si="10"/>
        <v>219.08335462119999</v>
      </c>
      <c r="L26" s="7">
        <f t="shared" si="10"/>
        <v>210.27785802999998</v>
      </c>
      <c r="M26" s="7">
        <f t="shared" si="10"/>
        <v>90.992429600060007</v>
      </c>
      <c r="N26" s="7">
        <f t="shared" si="10"/>
        <v>269.26359595000002</v>
      </c>
      <c r="O26" s="7">
        <f t="shared" si="10"/>
        <v>673.00532945172995</v>
      </c>
      <c r="P26" s="7">
        <f t="shared" si="10"/>
        <v>138.30771172999999</v>
      </c>
      <c r="Q26" s="7">
        <f t="shared" si="10"/>
        <v>625.8652823757875</v>
      </c>
      <c r="R26" s="7">
        <f t="shared" si="10"/>
        <v>-329.79009974578997</v>
      </c>
      <c r="S26" s="21">
        <f t="shared" si="6"/>
        <v>-0.33131194411184789</v>
      </c>
      <c r="T26" s="7" t="s">
        <v>32</v>
      </c>
    </row>
    <row r="27" spans="1:20" s="1" customFormat="1" x14ac:dyDescent="0.25">
      <c r="A27" s="18" t="s">
        <v>47</v>
      </c>
      <c r="B27" s="22" t="s">
        <v>48</v>
      </c>
      <c r="C27" s="20" t="s">
        <v>31</v>
      </c>
      <c r="D27" s="7">
        <f t="shared" ref="D27:R27" si="11">SUM(D28,D52,D73,D133,D141,D155,D156)</f>
        <v>21241.023144983425</v>
      </c>
      <c r="E27" s="7">
        <f t="shared" si="11"/>
        <v>5852.22035349</v>
      </c>
      <c r="F27" s="7">
        <f t="shared" si="11"/>
        <v>15388.80279149343</v>
      </c>
      <c r="G27" s="7">
        <f t="shared" si="11"/>
        <v>3426.9986183192314</v>
      </c>
      <c r="H27" s="7">
        <f t="shared" si="11"/>
        <v>2445.2620561100002</v>
      </c>
      <c r="I27" s="7">
        <f t="shared" si="11"/>
        <v>115.44261927122997</v>
      </c>
      <c r="J27" s="7">
        <f t="shared" si="11"/>
        <v>386.27647891999999</v>
      </c>
      <c r="K27" s="7">
        <f t="shared" si="11"/>
        <v>539.07259631243664</v>
      </c>
      <c r="L27" s="7">
        <f t="shared" si="11"/>
        <v>778.56646220999994</v>
      </c>
      <c r="M27" s="7">
        <f t="shared" si="11"/>
        <v>741.30278117344426</v>
      </c>
      <c r="N27" s="7">
        <f t="shared" si="11"/>
        <v>708.44932345999996</v>
      </c>
      <c r="O27" s="7">
        <f t="shared" si="11"/>
        <v>2031.1806215621277</v>
      </c>
      <c r="P27" s="7">
        <f t="shared" si="11"/>
        <v>571.96979152000006</v>
      </c>
      <c r="Q27" s="7">
        <f t="shared" si="11"/>
        <v>12948.185281643428</v>
      </c>
      <c r="R27" s="7">
        <f t="shared" si="11"/>
        <v>-986.3811084692386</v>
      </c>
      <c r="S27" s="21">
        <f t="shared" si="6"/>
        <v>-0.28782652645276124</v>
      </c>
      <c r="T27" s="7" t="s">
        <v>32</v>
      </c>
    </row>
    <row r="28" spans="1:20" s="1" customFormat="1" ht="31.5" x14ac:dyDescent="0.25">
      <c r="A28" s="18" t="s">
        <v>49</v>
      </c>
      <c r="B28" s="22" t="s">
        <v>50</v>
      </c>
      <c r="C28" s="20" t="s">
        <v>31</v>
      </c>
      <c r="D28" s="7">
        <f t="shared" ref="D28:R28" si="12">D29+D32+D35+D51</f>
        <v>2871.1651882219994</v>
      </c>
      <c r="E28" s="7">
        <f t="shared" si="12"/>
        <v>1712.04662377</v>
      </c>
      <c r="F28" s="7">
        <f t="shared" si="12"/>
        <v>1159.1185644520001</v>
      </c>
      <c r="G28" s="7">
        <f t="shared" si="12"/>
        <v>167.529643384</v>
      </c>
      <c r="H28" s="7">
        <f t="shared" si="12"/>
        <v>178.91390209999997</v>
      </c>
      <c r="I28" s="7">
        <f t="shared" si="12"/>
        <v>18.015135679999997</v>
      </c>
      <c r="J28" s="7">
        <f t="shared" si="12"/>
        <v>25.75264452</v>
      </c>
      <c r="K28" s="7">
        <f t="shared" si="12"/>
        <v>12.775</v>
      </c>
      <c r="L28" s="7">
        <f t="shared" si="12"/>
        <v>50.01138899</v>
      </c>
      <c r="M28" s="7">
        <f t="shared" si="12"/>
        <v>81.436599999999999</v>
      </c>
      <c r="N28" s="7">
        <f t="shared" si="12"/>
        <v>57.554787449999992</v>
      </c>
      <c r="O28" s="7">
        <f t="shared" si="12"/>
        <v>55.302907704000006</v>
      </c>
      <c r="P28" s="7">
        <f t="shared" si="12"/>
        <v>45.595081140000005</v>
      </c>
      <c r="Q28" s="7">
        <f t="shared" si="12"/>
        <v>980.37439921199996</v>
      </c>
      <c r="R28" s="7">
        <f t="shared" si="12"/>
        <v>11.214521855999982</v>
      </c>
      <c r="S28" s="21">
        <f t="shared" si="6"/>
        <v>6.6940522462014804E-2</v>
      </c>
      <c r="T28" s="7" t="s">
        <v>32</v>
      </c>
    </row>
    <row r="29" spans="1:20" s="1" customFormat="1" ht="78.75" x14ac:dyDescent="0.25">
      <c r="A29" s="18" t="s">
        <v>51</v>
      </c>
      <c r="B29" s="22" t="s">
        <v>52</v>
      </c>
      <c r="C29" s="20" t="s">
        <v>31</v>
      </c>
      <c r="D29" s="7">
        <f t="shared" ref="D29:R29" si="13">D30</f>
        <v>0</v>
      </c>
      <c r="E29" s="7">
        <f t="shared" si="13"/>
        <v>0</v>
      </c>
      <c r="F29" s="7">
        <f t="shared" si="13"/>
        <v>0</v>
      </c>
      <c r="G29" s="7">
        <f t="shared" si="13"/>
        <v>0</v>
      </c>
      <c r="H29" s="7">
        <f t="shared" si="13"/>
        <v>0</v>
      </c>
      <c r="I29" s="7">
        <f t="shared" si="13"/>
        <v>0</v>
      </c>
      <c r="J29" s="7">
        <f t="shared" si="13"/>
        <v>0</v>
      </c>
      <c r="K29" s="7">
        <f t="shared" si="13"/>
        <v>0</v>
      </c>
      <c r="L29" s="7">
        <f t="shared" si="13"/>
        <v>0</v>
      </c>
      <c r="M29" s="7">
        <f t="shared" si="13"/>
        <v>0</v>
      </c>
      <c r="N29" s="7">
        <f t="shared" si="13"/>
        <v>0</v>
      </c>
      <c r="O29" s="7">
        <f t="shared" si="13"/>
        <v>0</v>
      </c>
      <c r="P29" s="7">
        <f t="shared" si="13"/>
        <v>0</v>
      </c>
      <c r="Q29" s="7">
        <f t="shared" si="13"/>
        <v>0</v>
      </c>
      <c r="R29" s="7">
        <f t="shared" si="13"/>
        <v>0</v>
      </c>
      <c r="S29" s="21">
        <v>0</v>
      </c>
      <c r="T29" s="7" t="s">
        <v>32</v>
      </c>
    </row>
    <row r="30" spans="1:20" s="1" customFormat="1" x14ac:dyDescent="0.25">
      <c r="A30" s="18" t="s">
        <v>53</v>
      </c>
      <c r="B30" s="22" t="s">
        <v>54</v>
      </c>
      <c r="C30" s="20" t="s">
        <v>31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21">
        <v>0</v>
      </c>
      <c r="T30" s="7" t="s">
        <v>32</v>
      </c>
    </row>
    <row r="31" spans="1:20" s="1" customFormat="1" ht="31.5" x14ac:dyDescent="0.25">
      <c r="A31" s="18" t="s">
        <v>55</v>
      </c>
      <c r="B31" s="23" t="s">
        <v>56</v>
      </c>
      <c r="C31" s="24" t="s">
        <v>31</v>
      </c>
      <c r="D31" s="25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21">
        <v>0</v>
      </c>
      <c r="T31" s="7" t="s">
        <v>32</v>
      </c>
    </row>
    <row r="32" spans="1:20" s="1" customFormat="1" ht="47.25" x14ac:dyDescent="0.25">
      <c r="A32" s="18" t="s">
        <v>57</v>
      </c>
      <c r="B32" s="22" t="s">
        <v>58</v>
      </c>
      <c r="C32" s="20" t="s">
        <v>31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21">
        <v>0</v>
      </c>
      <c r="T32" s="7" t="s">
        <v>32</v>
      </c>
    </row>
    <row r="33" spans="1:20" s="1" customFormat="1" ht="31.5" x14ac:dyDescent="0.25">
      <c r="A33" s="18" t="s">
        <v>59</v>
      </c>
      <c r="B33" s="22" t="s">
        <v>56</v>
      </c>
      <c r="C33" s="20" t="s">
        <v>31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21">
        <v>0</v>
      </c>
      <c r="T33" s="7" t="s">
        <v>32</v>
      </c>
    </row>
    <row r="34" spans="1:20" s="1" customFormat="1" ht="31.5" x14ac:dyDescent="0.25">
      <c r="A34" s="18" t="s">
        <v>60</v>
      </c>
      <c r="B34" s="22" t="s">
        <v>56</v>
      </c>
      <c r="C34" s="20" t="s">
        <v>31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21">
        <v>0</v>
      </c>
      <c r="T34" s="7" t="s">
        <v>32</v>
      </c>
    </row>
    <row r="35" spans="1:20" s="1" customFormat="1" ht="47.25" x14ac:dyDescent="0.25">
      <c r="A35" s="18" t="s">
        <v>61</v>
      </c>
      <c r="B35" s="22" t="s">
        <v>62</v>
      </c>
      <c r="C35" s="20" t="s">
        <v>31</v>
      </c>
      <c r="D35" s="7">
        <f>D36+D37+D38+D41+D43</f>
        <v>2871.1651882219994</v>
      </c>
      <c r="E35" s="7">
        <f>E36+E37+E38+E41+E43</f>
        <v>1712.04662377</v>
      </c>
      <c r="F35" s="7">
        <f>F36+F37+F38+F41+F43</f>
        <v>1159.1185644520001</v>
      </c>
      <c r="G35" s="7">
        <f t="shared" ref="G35:R35" si="14">G36+G37+G38+G41+G43</f>
        <v>167.529643384</v>
      </c>
      <c r="H35" s="7">
        <f t="shared" si="14"/>
        <v>178.91390209999997</v>
      </c>
      <c r="I35" s="7">
        <f t="shared" si="14"/>
        <v>18.015135679999997</v>
      </c>
      <c r="J35" s="7">
        <f t="shared" si="14"/>
        <v>25.75264452</v>
      </c>
      <c r="K35" s="7">
        <f t="shared" si="14"/>
        <v>12.775</v>
      </c>
      <c r="L35" s="7">
        <f t="shared" si="14"/>
        <v>50.01138899</v>
      </c>
      <c r="M35" s="7">
        <f t="shared" si="14"/>
        <v>81.436599999999999</v>
      </c>
      <c r="N35" s="7">
        <f t="shared" si="14"/>
        <v>57.554787449999992</v>
      </c>
      <c r="O35" s="7">
        <f t="shared" si="14"/>
        <v>55.302907704000006</v>
      </c>
      <c r="P35" s="7">
        <f t="shared" si="14"/>
        <v>45.595081140000005</v>
      </c>
      <c r="Q35" s="7">
        <f t="shared" si="14"/>
        <v>980.37439921199996</v>
      </c>
      <c r="R35" s="7">
        <f t="shared" si="14"/>
        <v>11.214521855999982</v>
      </c>
      <c r="S35" s="21">
        <f t="shared" si="6"/>
        <v>6.6940522462014804E-2</v>
      </c>
      <c r="T35" s="7" t="s">
        <v>32</v>
      </c>
    </row>
    <row r="36" spans="1:20" s="1" customFormat="1" ht="63" x14ac:dyDescent="0.25">
      <c r="A36" s="18" t="s">
        <v>63</v>
      </c>
      <c r="B36" s="22" t="s">
        <v>64</v>
      </c>
      <c r="C36" s="20" t="s">
        <v>31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21">
        <v>0</v>
      </c>
      <c r="T36" s="7" t="s">
        <v>32</v>
      </c>
    </row>
    <row r="37" spans="1:20" s="1" customFormat="1" ht="63" x14ac:dyDescent="0.25">
      <c r="A37" s="18" t="s">
        <v>65</v>
      </c>
      <c r="B37" s="22" t="s">
        <v>66</v>
      </c>
      <c r="C37" s="20" t="s">
        <v>31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21">
        <v>0</v>
      </c>
      <c r="T37" s="7" t="s">
        <v>32</v>
      </c>
    </row>
    <row r="38" spans="1:20" s="1" customFormat="1" ht="63" x14ac:dyDescent="0.25">
      <c r="A38" s="18" t="s">
        <v>67</v>
      </c>
      <c r="B38" s="22" t="s">
        <v>68</v>
      </c>
      <c r="C38" s="20" t="s">
        <v>31</v>
      </c>
      <c r="D38" s="7">
        <f t="shared" ref="D38:R38" si="15">SUM(D39:D40)</f>
        <v>46.389483479999988</v>
      </c>
      <c r="E38" s="7">
        <f t="shared" si="15"/>
        <v>36.674774880000001</v>
      </c>
      <c r="F38" s="7">
        <f t="shared" si="15"/>
        <v>9.7147085999999891</v>
      </c>
      <c r="G38" s="7">
        <f t="shared" si="15"/>
        <v>5.2279154939999994</v>
      </c>
      <c r="H38" s="7">
        <f t="shared" si="15"/>
        <v>2.9175608099999999</v>
      </c>
      <c r="I38" s="7">
        <f t="shared" si="15"/>
        <v>2.8999999999999964</v>
      </c>
      <c r="J38" s="7">
        <f t="shared" si="15"/>
        <v>2.9157495600000001</v>
      </c>
      <c r="K38" s="7">
        <f t="shared" si="15"/>
        <v>0.4</v>
      </c>
      <c r="L38" s="7">
        <f t="shared" si="15"/>
        <v>1.8112499999999999E-3</v>
      </c>
      <c r="M38" s="7">
        <f t="shared" si="15"/>
        <v>1.3680000000000001</v>
      </c>
      <c r="N38" s="7">
        <f t="shared" si="15"/>
        <v>0</v>
      </c>
      <c r="O38" s="7">
        <f t="shared" si="15"/>
        <v>0.55991549400000307</v>
      </c>
      <c r="P38" s="7">
        <f t="shared" si="15"/>
        <v>0</v>
      </c>
      <c r="Q38" s="7">
        <f t="shared" si="15"/>
        <v>6.7971477899999888</v>
      </c>
      <c r="R38" s="7">
        <f t="shared" si="15"/>
        <v>-2.3103546840000004</v>
      </c>
      <c r="S38" s="21">
        <f t="shared" si="6"/>
        <v>-0.44192655498191585</v>
      </c>
      <c r="T38" s="7" t="s">
        <v>32</v>
      </c>
    </row>
    <row r="39" spans="1:20" s="1" customFormat="1" ht="63" x14ac:dyDescent="0.25">
      <c r="A39" s="26" t="s">
        <v>67</v>
      </c>
      <c r="B39" s="27" t="s">
        <v>69</v>
      </c>
      <c r="C39" s="28" t="s">
        <v>70</v>
      </c>
      <c r="D39" s="29">
        <v>39.58823147999999</v>
      </c>
      <c r="E39" s="29">
        <v>36.674774880000001</v>
      </c>
      <c r="F39" s="29">
        <f>D39-E39</f>
        <v>2.9134565999999893</v>
      </c>
      <c r="G39" s="30">
        <v>2.9134565999999995</v>
      </c>
      <c r="H39" s="29">
        <f>J39+L39+N39+P39</f>
        <v>2.9134566</v>
      </c>
      <c r="I39" s="29">
        <v>2.8999999999999964</v>
      </c>
      <c r="J39" s="29">
        <f>2913.4566/1000</f>
        <v>2.9134566</v>
      </c>
      <c r="K39" s="29">
        <v>0</v>
      </c>
      <c r="L39" s="29">
        <v>0</v>
      </c>
      <c r="M39" s="29">
        <v>0</v>
      </c>
      <c r="N39" s="29">
        <v>0</v>
      </c>
      <c r="O39" s="30">
        <f>G39-I39</f>
        <v>1.3456600000003149E-2</v>
      </c>
      <c r="P39" s="29">
        <v>0</v>
      </c>
      <c r="Q39" s="29">
        <f>F39-H39</f>
        <v>-1.0658141036401503E-14</v>
      </c>
      <c r="R39" s="29">
        <f>H39-(I39+K39+M39+O39)</f>
        <v>0</v>
      </c>
      <c r="S39" s="31">
        <f>R39/(I39+K39+M39+O39)</f>
        <v>0</v>
      </c>
      <c r="T39" s="29" t="s">
        <v>32</v>
      </c>
    </row>
    <row r="40" spans="1:20" s="1" customFormat="1" ht="88.5" customHeight="1" x14ac:dyDescent="0.25">
      <c r="A40" s="26" t="s">
        <v>67</v>
      </c>
      <c r="B40" s="32" t="s">
        <v>71</v>
      </c>
      <c r="C40" s="33" t="s">
        <v>72</v>
      </c>
      <c r="D40" s="29">
        <v>6.8012519999999999</v>
      </c>
      <c r="E40" s="29">
        <v>0</v>
      </c>
      <c r="F40" s="29">
        <f>D40-E40</f>
        <v>6.8012519999999999</v>
      </c>
      <c r="G40" s="30">
        <v>2.3144588939999999</v>
      </c>
      <c r="H40" s="29">
        <f>J40+L40+N40+P40</f>
        <v>4.1042099999999996E-3</v>
      </c>
      <c r="I40" s="29">
        <v>0</v>
      </c>
      <c r="J40" s="29">
        <f>2.29296/1000</f>
        <v>2.2929599999999997E-3</v>
      </c>
      <c r="K40" s="29">
        <v>0.4</v>
      </c>
      <c r="L40" s="29">
        <f>1.81125/1000</f>
        <v>1.8112499999999999E-3</v>
      </c>
      <c r="M40" s="29">
        <v>1.3680000000000001</v>
      </c>
      <c r="N40" s="29">
        <v>0</v>
      </c>
      <c r="O40" s="30">
        <f>G40-I40-K40-M40</f>
        <v>0.54645889399999992</v>
      </c>
      <c r="P40" s="29">
        <v>0</v>
      </c>
      <c r="Q40" s="29">
        <f>F40-H40</f>
        <v>6.7971477899999995</v>
      </c>
      <c r="R40" s="29">
        <f>H40-(I40+K40+M40+O40)</f>
        <v>-2.3103546840000004</v>
      </c>
      <c r="S40" s="31">
        <f>R40/(I40+K40+M40+O40)</f>
        <v>-0.9982267086226333</v>
      </c>
      <c r="T40" s="29" t="s">
        <v>73</v>
      </c>
    </row>
    <row r="41" spans="1:20" s="1" customFormat="1" ht="78.75" x14ac:dyDescent="0.25">
      <c r="A41" s="18" t="s">
        <v>74</v>
      </c>
      <c r="B41" s="22" t="s">
        <v>75</v>
      </c>
      <c r="C41" s="20" t="s">
        <v>31</v>
      </c>
      <c r="D41" s="7">
        <f t="shared" ref="D41:R41" si="16">SUM(D42)</f>
        <v>303.58444624000003</v>
      </c>
      <c r="E41" s="7">
        <f t="shared" si="16"/>
        <v>297.75810091000005</v>
      </c>
      <c r="F41" s="7">
        <f t="shared" si="16"/>
        <v>5.8263453300000005</v>
      </c>
      <c r="G41" s="7">
        <f t="shared" si="16"/>
        <v>5.8263453300000005</v>
      </c>
      <c r="H41" s="7">
        <f t="shared" si="16"/>
        <v>5.8263453300000005</v>
      </c>
      <c r="I41" s="7">
        <f t="shared" si="16"/>
        <v>0</v>
      </c>
      <c r="J41" s="7">
        <f t="shared" si="16"/>
        <v>5.8263453300000005</v>
      </c>
      <c r="K41" s="7">
        <f t="shared" si="16"/>
        <v>0</v>
      </c>
      <c r="L41" s="7">
        <f t="shared" si="16"/>
        <v>0</v>
      </c>
      <c r="M41" s="7">
        <f t="shared" si="16"/>
        <v>0</v>
      </c>
      <c r="N41" s="7">
        <f t="shared" si="16"/>
        <v>0</v>
      </c>
      <c r="O41" s="7">
        <f t="shared" si="16"/>
        <v>5.8263453300000005</v>
      </c>
      <c r="P41" s="7">
        <f t="shared" si="16"/>
        <v>0</v>
      </c>
      <c r="Q41" s="7">
        <f t="shared" si="16"/>
        <v>0</v>
      </c>
      <c r="R41" s="7">
        <f t="shared" si="16"/>
        <v>0</v>
      </c>
      <c r="S41" s="21">
        <v>0</v>
      </c>
      <c r="T41" s="7" t="s">
        <v>32</v>
      </c>
    </row>
    <row r="42" spans="1:20" s="1" customFormat="1" ht="57.75" customHeight="1" x14ac:dyDescent="0.25">
      <c r="A42" s="26" t="s">
        <v>74</v>
      </c>
      <c r="B42" s="34" t="s">
        <v>76</v>
      </c>
      <c r="C42" s="29" t="s">
        <v>77</v>
      </c>
      <c r="D42" s="29">
        <v>303.58444624000003</v>
      </c>
      <c r="E42" s="29">
        <f>D42-F42</f>
        <v>297.75810091000005</v>
      </c>
      <c r="F42" s="29">
        <v>5.8263453300000005</v>
      </c>
      <c r="G42" s="30">
        <v>5.8263453300000005</v>
      </c>
      <c r="H42" s="29">
        <f>J42+L42+N42+P42</f>
        <v>5.8263453300000005</v>
      </c>
      <c r="I42" s="29">
        <v>0</v>
      </c>
      <c r="J42" s="29">
        <v>5.8263453300000005</v>
      </c>
      <c r="K42" s="29">
        <v>0</v>
      </c>
      <c r="L42" s="29">
        <v>0</v>
      </c>
      <c r="M42" s="29">
        <v>0</v>
      </c>
      <c r="N42" s="29">
        <v>0</v>
      </c>
      <c r="O42" s="30">
        <v>5.8263453300000005</v>
      </c>
      <c r="P42" s="29">
        <v>0</v>
      </c>
      <c r="Q42" s="29">
        <f>F42-H42</f>
        <v>0</v>
      </c>
      <c r="R42" s="29">
        <f>H42-(I42+K42+M42+O42)</f>
        <v>0</v>
      </c>
      <c r="S42" s="31">
        <f t="shared" ref="S42:S47" si="17">R42/(I42+K42+M42+O42)</f>
        <v>0</v>
      </c>
      <c r="T42" s="29" t="s">
        <v>78</v>
      </c>
    </row>
    <row r="43" spans="1:20" s="1" customFormat="1" ht="102" customHeight="1" x14ac:dyDescent="0.25">
      <c r="A43" s="18" t="s">
        <v>79</v>
      </c>
      <c r="B43" s="22" t="s">
        <v>80</v>
      </c>
      <c r="C43" s="20" t="s">
        <v>31</v>
      </c>
      <c r="D43" s="7">
        <f t="shared" ref="D43:R43" si="18">SUM(D44:D50)</f>
        <v>2521.1912585019995</v>
      </c>
      <c r="E43" s="7">
        <f t="shared" si="18"/>
        <v>1377.61374798</v>
      </c>
      <c r="F43" s="7">
        <f t="shared" si="18"/>
        <v>1143.577510522</v>
      </c>
      <c r="G43" s="7">
        <f t="shared" si="18"/>
        <v>156.47538255999999</v>
      </c>
      <c r="H43" s="7">
        <f t="shared" si="18"/>
        <v>170.16999595999997</v>
      </c>
      <c r="I43" s="7">
        <f t="shared" si="18"/>
        <v>15.11513568</v>
      </c>
      <c r="J43" s="7">
        <f t="shared" si="18"/>
        <v>17.01054963</v>
      </c>
      <c r="K43" s="7">
        <f t="shared" si="18"/>
        <v>12.375</v>
      </c>
      <c r="L43" s="7">
        <f t="shared" si="18"/>
        <v>50.009577739999997</v>
      </c>
      <c r="M43" s="7">
        <f t="shared" si="18"/>
        <v>80.068600000000004</v>
      </c>
      <c r="N43" s="7">
        <f t="shared" si="18"/>
        <v>57.554787449999992</v>
      </c>
      <c r="O43" s="7">
        <f t="shared" si="18"/>
        <v>48.916646880000002</v>
      </c>
      <c r="P43" s="7">
        <f t="shared" si="18"/>
        <v>45.595081140000005</v>
      </c>
      <c r="Q43" s="7">
        <f t="shared" si="18"/>
        <v>973.57725142200002</v>
      </c>
      <c r="R43" s="7">
        <f t="shared" si="18"/>
        <v>13.524876539999982</v>
      </c>
      <c r="S43" s="21">
        <f t="shared" si="17"/>
        <v>8.6434532504267303E-2</v>
      </c>
      <c r="T43" s="7" t="s">
        <v>32</v>
      </c>
    </row>
    <row r="44" spans="1:20" s="1" customFormat="1" ht="31.5" x14ac:dyDescent="0.25">
      <c r="A44" s="26" t="s">
        <v>79</v>
      </c>
      <c r="B44" s="34" t="s">
        <v>81</v>
      </c>
      <c r="C44" s="30" t="s">
        <v>82</v>
      </c>
      <c r="D44" s="29">
        <v>991.10269060999997</v>
      </c>
      <c r="E44" s="29">
        <v>644.83429710999997</v>
      </c>
      <c r="F44" s="29">
        <f>D44-E44</f>
        <v>346.2683935</v>
      </c>
      <c r="G44" s="30">
        <v>88.145783093999995</v>
      </c>
      <c r="H44" s="29">
        <f t="shared" ref="H44:H50" si="19">J44+L44+N44+P44</f>
        <v>104.17226817</v>
      </c>
      <c r="I44" s="29">
        <v>11.64</v>
      </c>
      <c r="J44" s="29">
        <f>12005.38881/1000</f>
        <v>12.005388810000001</v>
      </c>
      <c r="K44" s="29">
        <v>7</v>
      </c>
      <c r="L44" s="29">
        <f>30.70965621-0.02493526</f>
        <v>30.684720949999999</v>
      </c>
      <c r="M44" s="29">
        <v>38.773000000000003</v>
      </c>
      <c r="N44" s="29">
        <v>29.878136139999999</v>
      </c>
      <c r="O44" s="30">
        <f>G44-I44-K44-M44</f>
        <v>30.732783093999991</v>
      </c>
      <c r="P44" s="29">
        <f>31604.02227/1000</f>
        <v>31.604022270000002</v>
      </c>
      <c r="Q44" s="29">
        <f t="shared" ref="Q44:Q49" si="20">F44-H44</f>
        <v>242.09612533000001</v>
      </c>
      <c r="R44" s="29">
        <f>H44-(I44+K44+M44+O44)</f>
        <v>16.026485076</v>
      </c>
      <c r="S44" s="31">
        <f t="shared" si="17"/>
        <v>0.18181794424480993</v>
      </c>
      <c r="T44" s="29" t="s">
        <v>83</v>
      </c>
    </row>
    <row r="45" spans="1:20" s="1" customFormat="1" ht="63" x14ac:dyDescent="0.25">
      <c r="A45" s="26" t="s">
        <v>79</v>
      </c>
      <c r="B45" s="34" t="s">
        <v>84</v>
      </c>
      <c r="C45" s="30" t="s">
        <v>85</v>
      </c>
      <c r="D45" s="29">
        <v>141.23095923</v>
      </c>
      <c r="E45" s="29">
        <v>114.61603026</v>
      </c>
      <c r="F45" s="29">
        <f>D45-E45</f>
        <v>26.614928969999994</v>
      </c>
      <c r="G45" s="30">
        <v>26.261941530000001</v>
      </c>
      <c r="H45" s="29">
        <f t="shared" si="19"/>
        <v>21.685599759999995</v>
      </c>
      <c r="I45" s="29">
        <v>0</v>
      </c>
      <c r="J45" s="29">
        <f>1478.79413/1000</f>
        <v>1.47879413</v>
      </c>
      <c r="K45" s="29">
        <v>2.0579999999999998</v>
      </c>
      <c r="L45" s="29">
        <v>5.6751061299999996</v>
      </c>
      <c r="M45" s="29">
        <v>10.08</v>
      </c>
      <c r="N45" s="29">
        <v>9.0757933799999986</v>
      </c>
      <c r="O45" s="30">
        <f>G45-I45-K45-M45</f>
        <v>14.123941530000002</v>
      </c>
      <c r="P45" s="29">
        <f>5455.90612/1000</f>
        <v>5.4559061199999999</v>
      </c>
      <c r="Q45" s="29">
        <f t="shared" si="20"/>
        <v>4.9293292099999988</v>
      </c>
      <c r="R45" s="29">
        <f>H45-(I45+K45+M45+O45)</f>
        <v>-4.5763417700000062</v>
      </c>
      <c r="S45" s="31">
        <f t="shared" si="17"/>
        <v>-0.17425755688216271</v>
      </c>
      <c r="T45" s="29" t="s">
        <v>86</v>
      </c>
    </row>
    <row r="46" spans="1:20" s="1" customFormat="1" ht="31.5" x14ac:dyDescent="0.25">
      <c r="A46" s="26" t="s">
        <v>79</v>
      </c>
      <c r="B46" s="34" t="s">
        <v>87</v>
      </c>
      <c r="C46" s="30" t="s">
        <v>88</v>
      </c>
      <c r="D46" s="30">
        <v>373.19895737999997</v>
      </c>
      <c r="E46" s="29">
        <v>338.23814809999999</v>
      </c>
      <c r="F46" s="29">
        <f>D46-E46</f>
        <v>34.960809279999978</v>
      </c>
      <c r="G46" s="30">
        <v>34.960809279999999</v>
      </c>
      <c r="H46" s="29">
        <f t="shared" si="19"/>
        <v>36.257520879999994</v>
      </c>
      <c r="I46" s="29">
        <v>0</v>
      </c>
      <c r="J46" s="29">
        <f>49.41976/1000</f>
        <v>4.9419759999999993E-2</v>
      </c>
      <c r="K46" s="29">
        <v>3.3170000000000002</v>
      </c>
      <c r="L46" s="29">
        <f>13.62662665+0.02493526</f>
        <v>13.65156191</v>
      </c>
      <c r="M46" s="29">
        <v>31.215599999999998</v>
      </c>
      <c r="N46" s="29">
        <v>18.600857929999997</v>
      </c>
      <c r="O46" s="29">
        <f>G46-K46-I46-M46</f>
        <v>0.4282092800000008</v>
      </c>
      <c r="P46" s="29">
        <f>3955.68128/1000</f>
        <v>3.9556812799999999</v>
      </c>
      <c r="Q46" s="29">
        <f t="shared" si="20"/>
        <v>-1.2967116000000161</v>
      </c>
      <c r="R46" s="29">
        <f>H46-(I46+K46+M46+O46)</f>
        <v>1.2967115999999876</v>
      </c>
      <c r="S46" s="31">
        <f t="shared" si="17"/>
        <v>3.7090434309305191E-2</v>
      </c>
      <c r="T46" s="30" t="s">
        <v>89</v>
      </c>
    </row>
    <row r="47" spans="1:20" s="1" customFormat="1" ht="50.45" customHeight="1" x14ac:dyDescent="0.25">
      <c r="A47" s="26" t="s">
        <v>79</v>
      </c>
      <c r="B47" s="34" t="s">
        <v>90</v>
      </c>
      <c r="C47" s="30" t="s">
        <v>91</v>
      </c>
      <c r="D47" s="29">
        <v>782.34505128199999</v>
      </c>
      <c r="E47" s="29">
        <v>279.39471199999997</v>
      </c>
      <c r="F47" s="29">
        <f>D47-E47</f>
        <v>502.95033928200002</v>
      </c>
      <c r="G47" s="30">
        <v>3.4751356799999997</v>
      </c>
      <c r="H47" s="29">
        <f t="shared" si="19"/>
        <v>3.4751356799999997</v>
      </c>
      <c r="I47" s="29">
        <v>3.4751356799999997</v>
      </c>
      <c r="J47" s="29">
        <f>3475.13568/1000</f>
        <v>3.4751356799999997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f t="shared" si="20"/>
        <v>499.47520360200002</v>
      </c>
      <c r="R47" s="29">
        <f>H47-(I47+K47+M47+O47)</f>
        <v>0</v>
      </c>
      <c r="S47" s="31">
        <f t="shared" si="17"/>
        <v>0</v>
      </c>
      <c r="T47" s="29" t="s">
        <v>32</v>
      </c>
    </row>
    <row r="48" spans="1:20" s="1" customFormat="1" ht="31.5" x14ac:dyDescent="0.25">
      <c r="A48" s="26" t="s">
        <v>79</v>
      </c>
      <c r="B48" s="34" t="s">
        <v>92</v>
      </c>
      <c r="C48" s="30" t="s">
        <v>93</v>
      </c>
      <c r="D48" s="35" t="s">
        <v>32</v>
      </c>
      <c r="E48" s="29" t="s">
        <v>32</v>
      </c>
      <c r="F48" s="29" t="s">
        <v>32</v>
      </c>
      <c r="G48" s="30" t="s">
        <v>32</v>
      </c>
      <c r="H48" s="29">
        <f t="shared" si="19"/>
        <v>0.16973686000000002</v>
      </c>
      <c r="I48" s="29" t="s">
        <v>32</v>
      </c>
      <c r="J48" s="29">
        <v>0</v>
      </c>
      <c r="K48" s="29" t="s">
        <v>32</v>
      </c>
      <c r="L48" s="29">
        <v>0</v>
      </c>
      <c r="M48" s="29" t="s">
        <v>32</v>
      </c>
      <c r="N48" s="29">
        <v>0</v>
      </c>
      <c r="O48" s="29" t="s">
        <v>32</v>
      </c>
      <c r="P48" s="29">
        <f>169.73686/1000</f>
        <v>0.16973686000000002</v>
      </c>
      <c r="Q48" s="29" t="s">
        <v>32</v>
      </c>
      <c r="R48" s="29" t="s">
        <v>32</v>
      </c>
      <c r="S48" s="31" t="s">
        <v>32</v>
      </c>
      <c r="T48" s="29" t="s">
        <v>94</v>
      </c>
    </row>
    <row r="49" spans="1:20" s="1" customFormat="1" ht="67.5" customHeight="1" x14ac:dyDescent="0.25">
      <c r="A49" s="26" t="s">
        <v>79</v>
      </c>
      <c r="B49" s="34" t="s">
        <v>95</v>
      </c>
      <c r="C49" s="30" t="s">
        <v>96</v>
      </c>
      <c r="D49" s="29">
        <v>233.31359999999998</v>
      </c>
      <c r="E49" s="29">
        <f>D49-F49</f>
        <v>0.53056050999998661</v>
      </c>
      <c r="F49" s="29">
        <v>232.78303948999999</v>
      </c>
      <c r="G49" s="30">
        <v>3.6317129759999998</v>
      </c>
      <c r="H49" s="29">
        <f t="shared" si="19"/>
        <v>4.4097346100000001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3.6317129759999998</v>
      </c>
      <c r="P49" s="29">
        <f>4409.73461/1000</f>
        <v>4.4097346100000001</v>
      </c>
      <c r="Q49" s="29">
        <f t="shared" si="20"/>
        <v>228.37330488000001</v>
      </c>
      <c r="R49" s="29">
        <f>H49-(I49+K49+M49+O49)</f>
        <v>0.77802163400000035</v>
      </c>
      <c r="S49" s="31">
        <f>R49/(I49+K49+M49+O49)</f>
        <v>0.21422993478326036</v>
      </c>
      <c r="T49" s="29" t="s">
        <v>97</v>
      </c>
    </row>
    <row r="50" spans="1:20" s="1" customFormat="1" x14ac:dyDescent="0.25">
      <c r="A50" s="26" t="s">
        <v>79</v>
      </c>
      <c r="B50" s="34" t="s">
        <v>98</v>
      </c>
      <c r="C50" s="30" t="s">
        <v>99</v>
      </c>
      <c r="D50" s="29" t="s">
        <v>32</v>
      </c>
      <c r="E50" s="29" t="s">
        <v>32</v>
      </c>
      <c r="F50" s="29" t="s">
        <v>32</v>
      </c>
      <c r="G50" s="30" t="s">
        <v>32</v>
      </c>
      <c r="H50" s="29">
        <f t="shared" si="19"/>
        <v>0</v>
      </c>
      <c r="I50" s="29" t="s">
        <v>32</v>
      </c>
      <c r="J50" s="29">
        <f>1.81125/1000</f>
        <v>1.8112499999999999E-3</v>
      </c>
      <c r="K50" s="29" t="s">
        <v>32</v>
      </c>
      <c r="L50" s="29">
        <f>-1.81125/1000</f>
        <v>-1.8112499999999999E-3</v>
      </c>
      <c r="M50" s="29" t="s">
        <v>32</v>
      </c>
      <c r="N50" s="29">
        <v>0</v>
      </c>
      <c r="O50" s="29" t="s">
        <v>32</v>
      </c>
      <c r="P50" s="29">
        <v>0</v>
      </c>
      <c r="Q50" s="29" t="s">
        <v>32</v>
      </c>
      <c r="R50" s="29" t="s">
        <v>32</v>
      </c>
      <c r="S50" s="31" t="s">
        <v>32</v>
      </c>
      <c r="T50" s="30" t="s">
        <v>100</v>
      </c>
    </row>
    <row r="51" spans="1:20" s="1" customFormat="1" ht="31.5" x14ac:dyDescent="0.25">
      <c r="A51" s="18" t="s">
        <v>101</v>
      </c>
      <c r="B51" s="22" t="s">
        <v>102</v>
      </c>
      <c r="C51" s="20" t="s">
        <v>31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21">
        <v>0</v>
      </c>
      <c r="T51" s="7" t="s">
        <v>32</v>
      </c>
    </row>
    <row r="52" spans="1:20" s="1" customFormat="1" ht="47.25" x14ac:dyDescent="0.25">
      <c r="A52" s="18" t="s">
        <v>103</v>
      </c>
      <c r="B52" s="22" t="s">
        <v>104</v>
      </c>
      <c r="C52" s="20" t="s">
        <v>31</v>
      </c>
      <c r="D52" s="7">
        <f t="shared" ref="D52:R52" si="21">D53+D57+D61+D63</f>
        <v>3382.2361996355939</v>
      </c>
      <c r="E52" s="7">
        <f t="shared" si="21"/>
        <v>385.72284460999998</v>
      </c>
      <c r="F52" s="7">
        <f t="shared" si="21"/>
        <v>2996.5133550255946</v>
      </c>
      <c r="G52" s="7">
        <f t="shared" si="21"/>
        <v>505.05226661859211</v>
      </c>
      <c r="H52" s="7">
        <f t="shared" si="21"/>
        <v>259.86030677000002</v>
      </c>
      <c r="I52" s="7">
        <f t="shared" si="21"/>
        <v>25.117011798229999</v>
      </c>
      <c r="J52" s="7">
        <f t="shared" si="21"/>
        <v>24.471512189999999</v>
      </c>
      <c r="K52" s="7">
        <f t="shared" si="21"/>
        <v>118.38389466443667</v>
      </c>
      <c r="L52" s="7">
        <f t="shared" si="21"/>
        <v>87.978279999999998</v>
      </c>
      <c r="M52" s="7">
        <f t="shared" si="21"/>
        <v>151.03973202770999</v>
      </c>
      <c r="N52" s="7">
        <f t="shared" si="21"/>
        <v>57.000925530000004</v>
      </c>
      <c r="O52" s="7">
        <f t="shared" si="21"/>
        <v>210.51162812821548</v>
      </c>
      <c r="P52" s="7">
        <f t="shared" si="21"/>
        <v>90.409589049999994</v>
      </c>
      <c r="Q52" s="7">
        <f t="shared" si="21"/>
        <v>2741.0467376555944</v>
      </c>
      <c r="R52" s="7">
        <f t="shared" si="21"/>
        <v>-249.58564924859218</v>
      </c>
      <c r="S52" s="21">
        <f t="shared" ref="S52:S59" si="22">R52/(I52+K52+M52+O52)</f>
        <v>-0.49417786186686991</v>
      </c>
      <c r="T52" s="7" t="s">
        <v>32</v>
      </c>
    </row>
    <row r="53" spans="1:20" s="1" customFormat="1" ht="75.75" customHeight="1" x14ac:dyDescent="0.25">
      <c r="A53" s="18" t="s">
        <v>105</v>
      </c>
      <c r="B53" s="22" t="s">
        <v>106</v>
      </c>
      <c r="C53" s="20" t="s">
        <v>31</v>
      </c>
      <c r="D53" s="7">
        <f t="shared" ref="D53:R53" si="23">SUM(D54:D56)</f>
        <v>373.22772205800004</v>
      </c>
      <c r="E53" s="7">
        <f t="shared" si="23"/>
        <v>49.443220459999999</v>
      </c>
      <c r="F53" s="7">
        <f t="shared" si="23"/>
        <v>323.78450159800002</v>
      </c>
      <c r="G53" s="7">
        <f t="shared" si="23"/>
        <v>75.536761172666658</v>
      </c>
      <c r="H53" s="7">
        <f t="shared" si="23"/>
        <v>20.142471710000002</v>
      </c>
      <c r="I53" s="7">
        <f t="shared" si="23"/>
        <v>0</v>
      </c>
      <c r="J53" s="7">
        <f t="shared" si="23"/>
        <v>3.6164889000000002</v>
      </c>
      <c r="K53" s="7">
        <f t="shared" si="23"/>
        <v>62.537666666666667</v>
      </c>
      <c r="L53" s="7">
        <f t="shared" si="23"/>
        <v>6.0005388000000002</v>
      </c>
      <c r="M53" s="7">
        <f t="shared" si="23"/>
        <v>0</v>
      </c>
      <c r="N53" s="7">
        <f t="shared" si="23"/>
        <v>10.525444009999999</v>
      </c>
      <c r="O53" s="7">
        <f t="shared" si="23"/>
        <v>12.999094505999999</v>
      </c>
      <c r="P53" s="7">
        <f t="shared" si="23"/>
        <v>0</v>
      </c>
      <c r="Q53" s="7">
        <f t="shared" si="23"/>
        <v>303.64202988800002</v>
      </c>
      <c r="R53" s="7">
        <f t="shared" si="23"/>
        <v>-55.394289462666663</v>
      </c>
      <c r="S53" s="21">
        <f t="shared" si="22"/>
        <v>-0.7333421317342812</v>
      </c>
      <c r="T53" s="7" t="s">
        <v>32</v>
      </c>
    </row>
    <row r="54" spans="1:20" s="1" customFormat="1" ht="78.75" customHeight="1" x14ac:dyDescent="0.25">
      <c r="A54" s="26" t="s">
        <v>105</v>
      </c>
      <c r="B54" s="36" t="s">
        <v>107</v>
      </c>
      <c r="C54" s="30" t="s">
        <v>108</v>
      </c>
      <c r="D54" s="29">
        <v>233.70326543200002</v>
      </c>
      <c r="E54" s="29">
        <v>2.3213963400000002</v>
      </c>
      <c r="F54" s="29">
        <f>D54-E54</f>
        <v>231.38186909200002</v>
      </c>
      <c r="G54" s="30">
        <v>62.537666666666667</v>
      </c>
      <c r="H54" s="29">
        <f>J54+L54+N54+P54</f>
        <v>7.2086821099999998</v>
      </c>
      <c r="I54" s="29">
        <v>0</v>
      </c>
      <c r="J54" s="29">
        <v>0</v>
      </c>
      <c r="K54" s="29">
        <f>G54-I54</f>
        <v>62.537666666666667</v>
      </c>
      <c r="L54" s="29">
        <v>0</v>
      </c>
      <c r="M54" s="29">
        <v>0</v>
      </c>
      <c r="N54" s="29">
        <v>7.2086821099999998</v>
      </c>
      <c r="O54" s="29">
        <v>0</v>
      </c>
      <c r="P54" s="29">
        <v>0</v>
      </c>
      <c r="Q54" s="29">
        <f>F54-H54</f>
        <v>224.173186982</v>
      </c>
      <c r="R54" s="29">
        <f>H54-(I54+K54+M54+O54)</f>
        <v>-55.328984556666668</v>
      </c>
      <c r="S54" s="31">
        <f t="shared" si="22"/>
        <v>-0.88473055529201072</v>
      </c>
      <c r="T54" s="29" t="s">
        <v>109</v>
      </c>
    </row>
    <row r="55" spans="1:20" s="1" customFormat="1" ht="54.75" customHeight="1" x14ac:dyDescent="0.25">
      <c r="A55" s="26" t="s">
        <v>105</v>
      </c>
      <c r="B55" s="27" t="s">
        <v>110</v>
      </c>
      <c r="C55" s="28" t="s">
        <v>111</v>
      </c>
      <c r="D55" s="29">
        <v>83.521794301999989</v>
      </c>
      <c r="E55" s="29">
        <f>D55-F55</f>
        <v>0.80149439999999572</v>
      </c>
      <c r="F55" s="29">
        <v>82.720299901999994</v>
      </c>
      <c r="G55" s="30">
        <v>3.3167619019999997</v>
      </c>
      <c r="H55" s="29">
        <f>J55+L55+N55+P55</f>
        <v>3.3167618999999999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3.3167618999999999</v>
      </c>
      <c r="O55" s="29">
        <v>3.3167619019999997</v>
      </c>
      <c r="P55" s="29">
        <v>0</v>
      </c>
      <c r="Q55" s="29">
        <f>F55-H55</f>
        <v>79.403538001999991</v>
      </c>
      <c r="R55" s="29">
        <f>H55-(I55+K55+M55+O55)</f>
        <v>-1.9999997213915321E-9</v>
      </c>
      <c r="S55" s="31">
        <f t="shared" si="22"/>
        <v>-6.0299767679601515E-10</v>
      </c>
      <c r="T55" s="29" t="s">
        <v>112</v>
      </c>
    </row>
    <row r="56" spans="1:20" s="1" customFormat="1" x14ac:dyDescent="0.25">
      <c r="A56" s="26" t="s">
        <v>105</v>
      </c>
      <c r="B56" s="27" t="s">
        <v>113</v>
      </c>
      <c r="C56" s="28" t="s">
        <v>114</v>
      </c>
      <c r="D56" s="29">
        <v>56.002662323999999</v>
      </c>
      <c r="E56" s="29">
        <f>D56-F56</f>
        <v>46.320329720000004</v>
      </c>
      <c r="F56" s="29">
        <v>9.6823326039999991</v>
      </c>
      <c r="G56" s="30">
        <v>9.6823326039999991</v>
      </c>
      <c r="H56" s="29">
        <f>J56+L56+N56+P56</f>
        <v>9.6170277000000013</v>
      </c>
      <c r="I56" s="29">
        <v>0</v>
      </c>
      <c r="J56" s="29">
        <v>3.6164889000000002</v>
      </c>
      <c r="K56" s="29">
        <v>0</v>
      </c>
      <c r="L56" s="29">
        <v>6.0005388000000002</v>
      </c>
      <c r="M56" s="29">
        <v>0</v>
      </c>
      <c r="N56" s="29">
        <v>0</v>
      </c>
      <c r="O56" s="29">
        <v>9.6823326039999991</v>
      </c>
      <c r="P56" s="29">
        <v>0</v>
      </c>
      <c r="Q56" s="29">
        <f>F56-H56</f>
        <v>6.5304903999997777E-2</v>
      </c>
      <c r="R56" s="29">
        <f>H56-(I56+K56+M56+O56)</f>
        <v>-6.5304903999997777E-2</v>
      </c>
      <c r="S56" s="31">
        <f t="shared" si="22"/>
        <v>-6.7447490879438271E-3</v>
      </c>
      <c r="T56" s="29" t="s">
        <v>115</v>
      </c>
    </row>
    <row r="57" spans="1:20" s="1" customFormat="1" x14ac:dyDescent="0.25">
      <c r="A57" s="18" t="s">
        <v>116</v>
      </c>
      <c r="B57" s="22" t="s">
        <v>117</v>
      </c>
      <c r="C57" s="20" t="s">
        <v>31</v>
      </c>
      <c r="D57" s="7">
        <f t="shared" ref="D57:R57" si="24">SUM(D58:D60)</f>
        <v>177.16689115800003</v>
      </c>
      <c r="E57" s="7">
        <f t="shared" si="24"/>
        <v>0.16370586000000001</v>
      </c>
      <c r="F57" s="7">
        <f t="shared" si="24"/>
        <v>177.00318529800003</v>
      </c>
      <c r="G57" s="7">
        <f t="shared" si="24"/>
        <v>42.720919574000007</v>
      </c>
      <c r="H57" s="7">
        <f t="shared" si="24"/>
        <v>46.683510159999997</v>
      </c>
      <c r="I57" s="7">
        <f t="shared" si="24"/>
        <v>0</v>
      </c>
      <c r="J57" s="7">
        <f t="shared" si="24"/>
        <v>6.3139974199999997</v>
      </c>
      <c r="K57" s="7">
        <f t="shared" si="24"/>
        <v>1.60883124</v>
      </c>
      <c r="L57" s="7">
        <f t="shared" si="24"/>
        <v>16.014640549999999</v>
      </c>
      <c r="M57" s="7">
        <f t="shared" si="24"/>
        <v>33.64600025</v>
      </c>
      <c r="N57" s="7">
        <f t="shared" si="24"/>
        <v>14.477218259999999</v>
      </c>
      <c r="O57" s="7">
        <f t="shared" si="24"/>
        <v>7.4660880840000026</v>
      </c>
      <c r="P57" s="7">
        <f t="shared" si="24"/>
        <v>9.877653930000001</v>
      </c>
      <c r="Q57" s="7">
        <f t="shared" si="24"/>
        <v>134.71336453800001</v>
      </c>
      <c r="R57" s="7">
        <f t="shared" si="24"/>
        <v>-0.43109881400000205</v>
      </c>
      <c r="S57" s="21">
        <f t="shared" si="22"/>
        <v>-1.0091047156727619E-2</v>
      </c>
      <c r="T57" s="7" t="s">
        <v>32</v>
      </c>
    </row>
    <row r="58" spans="1:20" s="1" customFormat="1" ht="38.25" customHeight="1" x14ac:dyDescent="0.25">
      <c r="A58" s="26" t="s">
        <v>116</v>
      </c>
      <c r="B58" s="37" t="s">
        <v>118</v>
      </c>
      <c r="C58" s="30" t="s">
        <v>119</v>
      </c>
      <c r="D58" s="28">
        <v>135.83443573000002</v>
      </c>
      <c r="E58" s="29">
        <v>0</v>
      </c>
      <c r="F58" s="28">
        <v>135.83443573000002</v>
      </c>
      <c r="G58" s="30">
        <v>2.97999999</v>
      </c>
      <c r="H58" s="29">
        <f>J58+L58+N58+P58</f>
        <v>2.9799999899999996</v>
      </c>
      <c r="I58" s="29">
        <v>0</v>
      </c>
      <c r="J58" s="29">
        <v>2.9799999899999996</v>
      </c>
      <c r="K58" s="29">
        <v>0</v>
      </c>
      <c r="L58" s="29">
        <v>0</v>
      </c>
      <c r="M58" s="29">
        <v>0</v>
      </c>
      <c r="N58" s="29">
        <v>0</v>
      </c>
      <c r="O58" s="29">
        <v>2.97999999</v>
      </c>
      <c r="P58" s="29">
        <v>0</v>
      </c>
      <c r="Q58" s="29">
        <f>F58-H58</f>
        <v>132.85443574000001</v>
      </c>
      <c r="R58" s="29">
        <f>H58-(I58+K58+M58+O58)</f>
        <v>0</v>
      </c>
      <c r="S58" s="31">
        <f t="shared" si="22"/>
        <v>0</v>
      </c>
      <c r="T58" s="29" t="s">
        <v>32</v>
      </c>
    </row>
    <row r="59" spans="1:20" s="1" customFormat="1" ht="81.599999999999994" customHeight="1" x14ac:dyDescent="0.25">
      <c r="A59" s="26" t="s">
        <v>116</v>
      </c>
      <c r="B59" s="37" t="s">
        <v>120</v>
      </c>
      <c r="C59" s="30" t="s">
        <v>121</v>
      </c>
      <c r="D59" s="28">
        <v>41.332455428000003</v>
      </c>
      <c r="E59" s="29">
        <v>0.16370586000000001</v>
      </c>
      <c r="F59" s="29">
        <f>D59-E59</f>
        <v>41.168749568000003</v>
      </c>
      <c r="G59" s="30">
        <v>39.740919584000004</v>
      </c>
      <c r="H59" s="29">
        <f>J59+L59+N59+P59</f>
        <v>39.309820770000002</v>
      </c>
      <c r="I59" s="29">
        <v>0</v>
      </c>
      <c r="J59" s="29">
        <v>3.3339974299999997</v>
      </c>
      <c r="K59" s="29">
        <v>1.60883124</v>
      </c>
      <c r="L59" s="29">
        <v>16.014640549999999</v>
      </c>
      <c r="M59" s="29">
        <v>33.64600025</v>
      </c>
      <c r="N59" s="29">
        <v>14.477218259999999</v>
      </c>
      <c r="O59" s="29">
        <f>G59-I59-K59-M59</f>
        <v>4.486088094000003</v>
      </c>
      <c r="P59" s="29">
        <v>5.4839645299999997</v>
      </c>
      <c r="Q59" s="29">
        <f>F59-H59</f>
        <v>1.8589287980000009</v>
      </c>
      <c r="R59" s="29">
        <f>H59-(I59+K59+M59+O59)</f>
        <v>-0.43109881400000205</v>
      </c>
      <c r="S59" s="31">
        <f t="shared" si="22"/>
        <v>-1.084773121791489E-2</v>
      </c>
      <c r="T59" s="28" t="s">
        <v>32</v>
      </c>
    </row>
    <row r="60" spans="1:20" s="1" customFormat="1" ht="47.25" x14ac:dyDescent="0.25">
      <c r="A60" s="26" t="s">
        <v>116</v>
      </c>
      <c r="B60" s="38" t="s">
        <v>122</v>
      </c>
      <c r="C60" s="28" t="s">
        <v>123</v>
      </c>
      <c r="D60" s="39" t="s">
        <v>32</v>
      </c>
      <c r="E60" s="29" t="s">
        <v>32</v>
      </c>
      <c r="F60" s="29" t="s">
        <v>32</v>
      </c>
      <c r="G60" s="30" t="s">
        <v>32</v>
      </c>
      <c r="H60" s="29">
        <f>J60+L60+N60+P60</f>
        <v>4.3936894000000004</v>
      </c>
      <c r="I60" s="29" t="s">
        <v>32</v>
      </c>
      <c r="J60" s="29">
        <v>0</v>
      </c>
      <c r="K60" s="29" t="s">
        <v>32</v>
      </c>
      <c r="L60" s="29">
        <v>0</v>
      </c>
      <c r="M60" s="29" t="s">
        <v>32</v>
      </c>
      <c r="N60" s="29">
        <v>0</v>
      </c>
      <c r="O60" s="29" t="s">
        <v>32</v>
      </c>
      <c r="P60" s="29">
        <v>4.3936894000000004</v>
      </c>
      <c r="Q60" s="29" t="s">
        <v>32</v>
      </c>
      <c r="R60" s="29" t="s">
        <v>32</v>
      </c>
      <c r="S60" s="31" t="s">
        <v>32</v>
      </c>
      <c r="T60" s="39" t="s">
        <v>124</v>
      </c>
    </row>
    <row r="61" spans="1:20" s="1" customFormat="1" x14ac:dyDescent="0.25">
      <c r="A61" s="18" t="s">
        <v>125</v>
      </c>
      <c r="B61" s="22" t="s">
        <v>126</v>
      </c>
      <c r="C61" s="20" t="s">
        <v>31</v>
      </c>
      <c r="D61" s="7">
        <f t="shared" ref="D61:R61" si="25">SUM(D62:D62,)</f>
        <v>483.88459307200003</v>
      </c>
      <c r="E61" s="7">
        <f t="shared" si="25"/>
        <v>116.62441597</v>
      </c>
      <c r="F61" s="7">
        <f t="shared" si="25"/>
        <v>367.26017710200006</v>
      </c>
      <c r="G61" s="7">
        <f t="shared" si="25"/>
        <v>64.58131337299001</v>
      </c>
      <c r="H61" s="7">
        <f t="shared" si="25"/>
        <v>36.581493350000002</v>
      </c>
      <c r="I61" s="7">
        <f t="shared" si="25"/>
        <v>2.4142776005599997</v>
      </c>
      <c r="J61" s="7">
        <f t="shared" si="25"/>
        <v>2.5709280000000001E-2</v>
      </c>
      <c r="K61" s="7">
        <f t="shared" si="25"/>
        <v>9.69246783</v>
      </c>
      <c r="L61" s="7">
        <f t="shared" si="25"/>
        <v>2.5709280000000001E-2</v>
      </c>
      <c r="M61" s="7">
        <f t="shared" si="25"/>
        <v>25.005659489999999</v>
      </c>
      <c r="N61" s="7">
        <f t="shared" si="25"/>
        <v>7.3452269900000005</v>
      </c>
      <c r="O61" s="7">
        <f t="shared" si="25"/>
        <v>27.468908452430014</v>
      </c>
      <c r="P61" s="7">
        <f t="shared" si="25"/>
        <v>29.1848478</v>
      </c>
      <c r="Q61" s="7">
        <f t="shared" si="25"/>
        <v>330.67868375200004</v>
      </c>
      <c r="R61" s="7">
        <f t="shared" si="25"/>
        <v>-27.999820022990008</v>
      </c>
      <c r="S61" s="21">
        <f>R61/(I61+K61+M61+O61)</f>
        <v>-0.43355916070143652</v>
      </c>
      <c r="T61" s="7" t="s">
        <v>32</v>
      </c>
    </row>
    <row r="62" spans="1:20" s="1" customFormat="1" ht="47.25" x14ac:dyDescent="0.25">
      <c r="A62" s="26" t="s">
        <v>125</v>
      </c>
      <c r="B62" s="38" t="s">
        <v>127</v>
      </c>
      <c r="C62" s="28" t="s">
        <v>128</v>
      </c>
      <c r="D62" s="28">
        <v>483.88459307200003</v>
      </c>
      <c r="E62" s="29">
        <v>116.62441597</v>
      </c>
      <c r="F62" s="29">
        <f>D62-E62</f>
        <v>367.26017710200006</v>
      </c>
      <c r="G62" s="30">
        <v>64.58131337299001</v>
      </c>
      <c r="H62" s="29">
        <f>J62+L62+N62+P62</f>
        <v>36.581493350000002</v>
      </c>
      <c r="I62" s="29">
        <v>2.4142776005599997</v>
      </c>
      <c r="J62" s="29">
        <f>25.70928/1000</f>
        <v>2.5709280000000001E-2</v>
      </c>
      <c r="K62" s="29">
        <v>9.69246783</v>
      </c>
      <c r="L62" s="29">
        <f>25.70928/1000</f>
        <v>2.5709280000000001E-2</v>
      </c>
      <c r="M62" s="29">
        <v>25.005659489999999</v>
      </c>
      <c r="N62" s="29">
        <v>7.3452269900000005</v>
      </c>
      <c r="O62" s="29">
        <f>G62-K62-I62-M62</f>
        <v>27.468908452430014</v>
      </c>
      <c r="P62" s="29">
        <f>29184.8478/1000</f>
        <v>29.1848478</v>
      </c>
      <c r="Q62" s="29">
        <f>F62-H62</f>
        <v>330.67868375200004</v>
      </c>
      <c r="R62" s="29">
        <f>H62-(I62+K62+M62+O62)</f>
        <v>-27.999820022990008</v>
      </c>
      <c r="S62" s="31">
        <f>R62/(I62+K62+M62+O62)</f>
        <v>-0.43355916070143652</v>
      </c>
      <c r="T62" s="30" t="s">
        <v>129</v>
      </c>
    </row>
    <row r="63" spans="1:20" s="1" customFormat="1" ht="31.5" x14ac:dyDescent="0.25">
      <c r="A63" s="18" t="s">
        <v>130</v>
      </c>
      <c r="B63" s="22" t="s">
        <v>131</v>
      </c>
      <c r="C63" s="20" t="s">
        <v>31</v>
      </c>
      <c r="D63" s="7">
        <f t="shared" ref="D63:R63" si="26">SUM(D64:D72)</f>
        <v>2347.9569933475941</v>
      </c>
      <c r="E63" s="7">
        <f t="shared" si="26"/>
        <v>219.49150232</v>
      </c>
      <c r="F63" s="7">
        <f t="shared" si="26"/>
        <v>2128.4654910275945</v>
      </c>
      <c r="G63" s="7">
        <f t="shared" si="26"/>
        <v>322.21327249893545</v>
      </c>
      <c r="H63" s="7">
        <f t="shared" si="26"/>
        <v>156.45283155000001</v>
      </c>
      <c r="I63" s="7">
        <f t="shared" si="26"/>
        <v>22.702734197670001</v>
      </c>
      <c r="J63" s="7">
        <f t="shared" si="26"/>
        <v>14.515316589999999</v>
      </c>
      <c r="K63" s="7">
        <f t="shared" si="26"/>
        <v>44.544928927770002</v>
      </c>
      <c r="L63" s="7">
        <f t="shared" si="26"/>
        <v>65.93739137</v>
      </c>
      <c r="M63" s="7">
        <f t="shared" si="26"/>
        <v>92.388072287709988</v>
      </c>
      <c r="N63" s="7">
        <f t="shared" si="26"/>
        <v>24.653036270000001</v>
      </c>
      <c r="O63" s="7">
        <f t="shared" si="26"/>
        <v>162.57753708578548</v>
      </c>
      <c r="P63" s="7">
        <f t="shared" si="26"/>
        <v>51.347087319999993</v>
      </c>
      <c r="Q63" s="7">
        <f t="shared" si="26"/>
        <v>1972.0126594775945</v>
      </c>
      <c r="R63" s="7">
        <f t="shared" si="26"/>
        <v>-165.7604409489355</v>
      </c>
      <c r="S63" s="21">
        <f>R63/(I63+K63+M63+O63)</f>
        <v>-0.51444324333189329</v>
      </c>
      <c r="T63" s="7" t="s">
        <v>32</v>
      </c>
    </row>
    <row r="64" spans="1:20" s="1" customFormat="1" ht="47.25" x14ac:dyDescent="0.25">
      <c r="A64" s="26" t="s">
        <v>130</v>
      </c>
      <c r="B64" s="36" t="s">
        <v>132</v>
      </c>
      <c r="C64" s="30" t="s">
        <v>133</v>
      </c>
      <c r="D64" s="30">
        <v>96.137865505999997</v>
      </c>
      <c r="E64" s="29">
        <f>D64-F64</f>
        <v>10.482093280000001</v>
      </c>
      <c r="F64" s="29">
        <v>85.655772225999996</v>
      </c>
      <c r="G64" s="30">
        <v>0.91080229400000001</v>
      </c>
      <c r="H64" s="29">
        <f t="shared" ref="H64:H72" si="27">J64+L64+N64+P64</f>
        <v>2.3232369999999999E-2</v>
      </c>
      <c r="I64" s="29">
        <v>0</v>
      </c>
      <c r="J64" s="29">
        <v>5.8118299999999996E-3</v>
      </c>
      <c r="K64" s="29">
        <v>0</v>
      </c>
      <c r="L64" s="29">
        <v>5.8068300000000007E-3</v>
      </c>
      <c r="M64" s="29">
        <v>0</v>
      </c>
      <c r="N64" s="29">
        <v>5.8068299999999998E-3</v>
      </c>
      <c r="O64" s="29">
        <v>0.91080229400000001</v>
      </c>
      <c r="P64" s="29">
        <v>5.8068799999999995E-3</v>
      </c>
      <c r="Q64" s="29">
        <f t="shared" ref="Q64:Q72" si="28">F64-H64</f>
        <v>85.632539855999994</v>
      </c>
      <c r="R64" s="29">
        <f t="shared" ref="R64:R72" si="29">H64-(I64+K64+M64+O64)</f>
        <v>-0.88756992400000001</v>
      </c>
      <c r="S64" s="31">
        <f>R64/(I64+K64+M64+O64)</f>
        <v>-0.97449241163198042</v>
      </c>
      <c r="T64" s="30" t="s">
        <v>134</v>
      </c>
    </row>
    <row r="65" spans="1:20" s="1" customFormat="1" ht="31.5" x14ac:dyDescent="0.25">
      <c r="A65" s="26" t="s">
        <v>130</v>
      </c>
      <c r="B65" s="36" t="s">
        <v>135</v>
      </c>
      <c r="C65" s="30" t="s">
        <v>136</v>
      </c>
      <c r="D65" s="29">
        <v>713.01643558600017</v>
      </c>
      <c r="E65" s="29">
        <v>59.186067659999999</v>
      </c>
      <c r="F65" s="29">
        <f>D65-E65</f>
        <v>653.83036792600012</v>
      </c>
      <c r="G65" s="30">
        <v>217.047181698</v>
      </c>
      <c r="H65" s="29">
        <f t="shared" si="27"/>
        <v>111.90023471000001</v>
      </c>
      <c r="I65" s="29">
        <v>20</v>
      </c>
      <c r="J65" s="29">
        <v>1.8500948000000002</v>
      </c>
      <c r="K65" s="29">
        <v>21.518042879999999</v>
      </c>
      <c r="L65" s="29">
        <v>56.27372072</v>
      </c>
      <c r="M65" s="29">
        <v>51.376736859999994</v>
      </c>
      <c r="N65" s="29">
        <v>12.690979049999999</v>
      </c>
      <c r="O65" s="29">
        <f>G65-I65-K65-M65</f>
        <v>124.15240195800001</v>
      </c>
      <c r="P65" s="29">
        <v>41.085440139999996</v>
      </c>
      <c r="Q65" s="29">
        <f t="shared" si="28"/>
        <v>541.93013321600006</v>
      </c>
      <c r="R65" s="29">
        <f t="shared" si="29"/>
        <v>-105.146946988</v>
      </c>
      <c r="S65" s="31">
        <f>R65/(I65+K65+M65+O65)</f>
        <v>-0.48444281176754334</v>
      </c>
      <c r="T65" s="29" t="s">
        <v>137</v>
      </c>
    </row>
    <row r="66" spans="1:20" s="1" customFormat="1" ht="53.25" customHeight="1" x14ac:dyDescent="0.25">
      <c r="A66" s="26" t="s">
        <v>130</v>
      </c>
      <c r="B66" s="36" t="s">
        <v>138</v>
      </c>
      <c r="C66" s="30" t="s">
        <v>139</v>
      </c>
      <c r="D66" s="29">
        <v>1189.224696</v>
      </c>
      <c r="E66" s="29">
        <v>3.3124570800000002</v>
      </c>
      <c r="F66" s="29">
        <f>D66-E66</f>
        <v>1185.9122389199999</v>
      </c>
      <c r="G66" s="30">
        <v>12.422143693999999</v>
      </c>
      <c r="H66" s="29">
        <f t="shared" si="27"/>
        <v>5.5825378499999996</v>
      </c>
      <c r="I66" s="29">
        <v>1.458605524</v>
      </c>
      <c r="J66" s="29">
        <v>5.5825378499999996</v>
      </c>
      <c r="K66" s="29">
        <v>1.3759000000000001</v>
      </c>
      <c r="L66" s="29">
        <v>0</v>
      </c>
      <c r="M66" s="29">
        <v>1.44</v>
      </c>
      <c r="N66" s="29">
        <v>0</v>
      </c>
      <c r="O66" s="29">
        <f>G66-I66-K66-M66</f>
        <v>8.1476381700000005</v>
      </c>
      <c r="P66" s="29">
        <v>0</v>
      </c>
      <c r="Q66" s="29">
        <f t="shared" si="28"/>
        <v>1180.3297010699998</v>
      </c>
      <c r="R66" s="29">
        <f t="shared" si="29"/>
        <v>-6.8396058440000012</v>
      </c>
      <c r="S66" s="31">
        <f t="shared" ref="S66:S129" si="30">R66/(I66+K66+M66+O66)</f>
        <v>-0.55059786881257766</v>
      </c>
      <c r="T66" s="29" t="s">
        <v>140</v>
      </c>
    </row>
    <row r="67" spans="1:20" s="1" customFormat="1" x14ac:dyDescent="0.25">
      <c r="A67" s="26" t="s">
        <v>130</v>
      </c>
      <c r="B67" s="40" t="s">
        <v>141</v>
      </c>
      <c r="C67" s="41" t="s">
        <v>142</v>
      </c>
      <c r="D67" s="29">
        <v>11.884227599999999</v>
      </c>
      <c r="E67" s="29">
        <v>0</v>
      </c>
      <c r="F67" s="29">
        <f>D67-E67</f>
        <v>11.884227599999999</v>
      </c>
      <c r="G67" s="30">
        <v>11.884227599999999</v>
      </c>
      <c r="H67" s="29">
        <f t="shared" si="27"/>
        <v>11.883871200000002</v>
      </c>
      <c r="I67" s="29">
        <v>0</v>
      </c>
      <c r="J67" s="29">
        <v>0</v>
      </c>
      <c r="K67" s="29">
        <v>0</v>
      </c>
      <c r="L67" s="29">
        <v>0</v>
      </c>
      <c r="M67" s="29">
        <v>7.1719693557099999</v>
      </c>
      <c r="N67" s="29">
        <v>7.2247798799999998</v>
      </c>
      <c r="O67" s="29">
        <f>G67-I67-K67-M67</f>
        <v>4.7122582442899992</v>
      </c>
      <c r="P67" s="29">
        <v>4.6590913200000008</v>
      </c>
      <c r="Q67" s="29">
        <f t="shared" si="28"/>
        <v>3.5639999999759198E-4</v>
      </c>
      <c r="R67" s="29">
        <f t="shared" si="29"/>
        <v>-3.5639999999759198E-4</v>
      </c>
      <c r="S67" s="31">
        <f t="shared" si="30"/>
        <v>-2.9989328039930167E-5</v>
      </c>
      <c r="T67" s="29" t="s">
        <v>32</v>
      </c>
    </row>
    <row r="68" spans="1:20" s="1" customFormat="1" ht="64.5" customHeight="1" x14ac:dyDescent="0.25">
      <c r="A68" s="26" t="s">
        <v>130</v>
      </c>
      <c r="B68" s="36" t="s">
        <v>143</v>
      </c>
      <c r="C68" s="30" t="s">
        <v>144</v>
      </c>
      <c r="D68" s="29">
        <v>116.65563064</v>
      </c>
      <c r="E68" s="29">
        <v>112.06089566999999</v>
      </c>
      <c r="F68" s="29">
        <f>D68-E68</f>
        <v>4.5947349700000046</v>
      </c>
      <c r="G68" s="30">
        <v>4.5947349700000002</v>
      </c>
      <c r="H68" s="29">
        <f t="shared" si="27"/>
        <v>4.5947349700000002</v>
      </c>
      <c r="I68" s="29">
        <v>0</v>
      </c>
      <c r="J68" s="29">
        <v>4.5947349700000002</v>
      </c>
      <c r="K68" s="29">
        <v>0</v>
      </c>
      <c r="L68" s="29">
        <v>0</v>
      </c>
      <c r="M68" s="29">
        <v>0</v>
      </c>
      <c r="N68" s="29">
        <v>0</v>
      </c>
      <c r="O68" s="29">
        <f>G68-I68-K68-M68</f>
        <v>4.5947349700000002</v>
      </c>
      <c r="P68" s="29">
        <v>0</v>
      </c>
      <c r="Q68" s="29">
        <f t="shared" si="28"/>
        <v>0</v>
      </c>
      <c r="R68" s="29">
        <f t="shared" si="29"/>
        <v>0</v>
      </c>
      <c r="S68" s="31">
        <f t="shared" si="30"/>
        <v>0</v>
      </c>
      <c r="T68" s="29" t="s">
        <v>32</v>
      </c>
    </row>
    <row r="69" spans="1:20" s="1" customFormat="1" ht="331.9" customHeight="1" x14ac:dyDescent="0.25">
      <c r="A69" s="26" t="s">
        <v>130</v>
      </c>
      <c r="B69" s="34" t="s">
        <v>145</v>
      </c>
      <c r="C69" s="28" t="s">
        <v>146</v>
      </c>
      <c r="D69" s="28">
        <v>7.5349583600000001</v>
      </c>
      <c r="E69" s="29">
        <f>D69-F69</f>
        <v>7.03211984</v>
      </c>
      <c r="F69" s="29">
        <v>0.50283852000000007</v>
      </c>
      <c r="G69" s="30">
        <v>0.50283852000000007</v>
      </c>
      <c r="H69" s="29">
        <f t="shared" si="27"/>
        <v>0.50283852000000007</v>
      </c>
      <c r="I69" s="29">
        <v>0</v>
      </c>
      <c r="J69" s="29">
        <v>0.50283852000000007</v>
      </c>
      <c r="K69" s="29">
        <v>0</v>
      </c>
      <c r="L69" s="29">
        <v>0</v>
      </c>
      <c r="M69" s="29">
        <v>0</v>
      </c>
      <c r="N69" s="29">
        <v>0</v>
      </c>
      <c r="O69" s="29">
        <v>0.50283852000000007</v>
      </c>
      <c r="P69" s="29">
        <v>0</v>
      </c>
      <c r="Q69" s="29">
        <f t="shared" si="28"/>
        <v>0</v>
      </c>
      <c r="R69" s="29">
        <f t="shared" si="29"/>
        <v>0</v>
      </c>
      <c r="S69" s="31">
        <f t="shared" si="30"/>
        <v>0</v>
      </c>
      <c r="T69" s="29" t="s">
        <v>32</v>
      </c>
    </row>
    <row r="70" spans="1:20" s="1" customFormat="1" ht="229.5" customHeight="1" x14ac:dyDescent="0.25">
      <c r="A70" s="26" t="s">
        <v>130</v>
      </c>
      <c r="B70" s="34" t="s">
        <v>147</v>
      </c>
      <c r="C70" s="28" t="s">
        <v>148</v>
      </c>
      <c r="D70" s="29">
        <v>209.72670502359438</v>
      </c>
      <c r="E70" s="29">
        <v>27.41786879</v>
      </c>
      <c r="F70" s="29">
        <f>D70-E70</f>
        <v>182.30883623359438</v>
      </c>
      <c r="G70" s="30">
        <v>71.074869090935465</v>
      </c>
      <c r="H70" s="29">
        <f t="shared" si="27"/>
        <v>16.714333319999998</v>
      </c>
      <c r="I70" s="29">
        <v>1.2441286736699999</v>
      </c>
      <c r="J70" s="29">
        <f>1740.49862/1000</f>
        <v>1.7404986200000001</v>
      </c>
      <c r="K70" s="29">
        <v>18.865467537770002</v>
      </c>
      <c r="L70" s="29">
        <v>9.6115909199999994</v>
      </c>
      <c r="M70" s="29">
        <v>31.40854749</v>
      </c>
      <c r="N70" s="29">
        <v>0.64800000000000002</v>
      </c>
      <c r="O70" s="29">
        <f>G70-I70-K70-M70</f>
        <v>19.556725389495458</v>
      </c>
      <c r="P70" s="29">
        <f>4714.24378/1000</f>
        <v>4.7142437799999994</v>
      </c>
      <c r="Q70" s="29">
        <f t="shared" si="28"/>
        <v>165.59450291359437</v>
      </c>
      <c r="R70" s="29">
        <f t="shared" si="29"/>
        <v>-54.360535770935471</v>
      </c>
      <c r="S70" s="31">
        <f t="shared" si="30"/>
        <v>-0.76483483495952498</v>
      </c>
      <c r="T70" s="29" t="s">
        <v>149</v>
      </c>
    </row>
    <row r="71" spans="1:20" s="1" customFormat="1" ht="69" customHeight="1" x14ac:dyDescent="0.25">
      <c r="A71" s="26" t="s">
        <v>130</v>
      </c>
      <c r="B71" s="34" t="s">
        <v>150</v>
      </c>
      <c r="C71" s="28" t="s">
        <v>151</v>
      </c>
      <c r="D71" s="29">
        <v>0.79064712399999992</v>
      </c>
      <c r="E71" s="29">
        <v>0</v>
      </c>
      <c r="F71" s="29">
        <f>D71-E71</f>
        <v>0.79064712399999992</v>
      </c>
      <c r="G71" s="30">
        <v>0.79064712399999992</v>
      </c>
      <c r="H71" s="29">
        <f t="shared" si="27"/>
        <v>0.75048250999999999</v>
      </c>
      <c r="I71" s="29">
        <v>0</v>
      </c>
      <c r="J71" s="29">
        <v>0.23880000000000001</v>
      </c>
      <c r="K71" s="29">
        <v>0.26551850999999999</v>
      </c>
      <c r="L71" s="29">
        <v>3.0000000000000001E-3</v>
      </c>
      <c r="M71" s="29">
        <v>0.52512861399999999</v>
      </c>
      <c r="N71" s="29">
        <v>9.4225100000000003E-3</v>
      </c>
      <c r="O71" s="29">
        <v>0</v>
      </c>
      <c r="P71" s="29">
        <v>0.49925999999999998</v>
      </c>
      <c r="Q71" s="29">
        <f t="shared" si="28"/>
        <v>4.0164613999999932E-2</v>
      </c>
      <c r="R71" s="29">
        <f t="shared" si="29"/>
        <v>-4.0164613999999932E-2</v>
      </c>
      <c r="S71" s="31">
        <f t="shared" si="30"/>
        <v>-5.0799671282937511E-2</v>
      </c>
      <c r="T71" s="29" t="s">
        <v>32</v>
      </c>
    </row>
    <row r="72" spans="1:20" s="1" customFormat="1" ht="47.25" x14ac:dyDescent="0.25">
      <c r="A72" s="26" t="s">
        <v>130</v>
      </c>
      <c r="B72" s="34" t="s">
        <v>152</v>
      </c>
      <c r="C72" s="28" t="s">
        <v>153</v>
      </c>
      <c r="D72" s="29">
        <v>2.9858275079999999</v>
      </c>
      <c r="E72" s="29">
        <v>0</v>
      </c>
      <c r="F72" s="29">
        <f>D72-E72</f>
        <v>2.9858275079999999</v>
      </c>
      <c r="G72" s="30">
        <v>2.9858275079999999</v>
      </c>
      <c r="H72" s="29">
        <f t="shared" si="27"/>
        <v>4.5005660999999995</v>
      </c>
      <c r="I72" s="29">
        <v>0</v>
      </c>
      <c r="J72" s="29">
        <v>0</v>
      </c>
      <c r="K72" s="29">
        <v>2.52</v>
      </c>
      <c r="L72" s="29">
        <v>4.3272900000000003E-2</v>
      </c>
      <c r="M72" s="29">
        <v>0.46568996800000001</v>
      </c>
      <c r="N72" s="29">
        <v>4.0740479999999994</v>
      </c>
      <c r="O72" s="29">
        <v>1.3753999999999999E-4</v>
      </c>
      <c r="P72" s="29">
        <v>0.38324520000000001</v>
      </c>
      <c r="Q72" s="29">
        <f t="shared" si="28"/>
        <v>-1.5147385919999996</v>
      </c>
      <c r="R72" s="29">
        <f t="shared" si="29"/>
        <v>1.5147385919999996</v>
      </c>
      <c r="S72" s="31">
        <f t="shared" si="30"/>
        <v>0.50730947716890007</v>
      </c>
      <c r="T72" s="29" t="s">
        <v>154</v>
      </c>
    </row>
    <row r="73" spans="1:20" s="1" customFormat="1" ht="31.5" x14ac:dyDescent="0.25">
      <c r="A73" s="18" t="s">
        <v>155</v>
      </c>
      <c r="B73" s="22" t="s">
        <v>156</v>
      </c>
      <c r="C73" s="20" t="s">
        <v>31</v>
      </c>
      <c r="D73" s="7">
        <f t="shared" ref="D73:R73" si="31">D74+D88+D89+D107</f>
        <v>8516.6951467616564</v>
      </c>
      <c r="E73" s="7">
        <f t="shared" si="31"/>
        <v>2363.4050565400003</v>
      </c>
      <c r="F73" s="7">
        <f t="shared" si="31"/>
        <v>6153.290090221657</v>
      </c>
      <c r="G73" s="7">
        <f t="shared" si="31"/>
        <v>1164.4712352393517</v>
      </c>
      <c r="H73" s="7">
        <f t="shared" si="31"/>
        <v>991.55269987000008</v>
      </c>
      <c r="I73" s="7">
        <f t="shared" si="31"/>
        <v>34.507782822999985</v>
      </c>
      <c r="J73" s="7">
        <f t="shared" si="31"/>
        <v>185.60470295999997</v>
      </c>
      <c r="K73" s="7">
        <f t="shared" si="31"/>
        <v>160.17168501</v>
      </c>
      <c r="L73" s="7">
        <f t="shared" si="31"/>
        <v>338.16349668000004</v>
      </c>
      <c r="M73" s="7">
        <f t="shared" si="31"/>
        <v>382.91215239573432</v>
      </c>
      <c r="N73" s="7">
        <f t="shared" si="31"/>
        <v>229.62687419</v>
      </c>
      <c r="O73" s="7">
        <f t="shared" si="31"/>
        <v>586.87961501061977</v>
      </c>
      <c r="P73" s="7">
        <f t="shared" si="31"/>
        <v>238.15762604000003</v>
      </c>
      <c r="Q73" s="7">
        <f t="shared" si="31"/>
        <v>5161.7373903516573</v>
      </c>
      <c r="R73" s="7">
        <f t="shared" si="31"/>
        <v>-172.91853536935406</v>
      </c>
      <c r="S73" s="21">
        <f t="shared" si="30"/>
        <v>-0.14849532572078616</v>
      </c>
      <c r="T73" s="7" t="s">
        <v>32</v>
      </c>
    </row>
    <row r="74" spans="1:20" s="1" customFormat="1" ht="31.5" x14ac:dyDescent="0.25">
      <c r="A74" s="18" t="s">
        <v>157</v>
      </c>
      <c r="B74" s="22" t="s">
        <v>158</v>
      </c>
      <c r="C74" s="20" t="s">
        <v>31</v>
      </c>
      <c r="D74" s="7">
        <f t="shared" ref="D74:R74" si="32">SUM(D75:D87)</f>
        <v>2347.9051591496</v>
      </c>
      <c r="E74" s="7">
        <f t="shared" si="32"/>
        <v>811.91206005000004</v>
      </c>
      <c r="F74" s="7">
        <f t="shared" si="32"/>
        <v>1535.9930990995999</v>
      </c>
      <c r="G74" s="7">
        <f>SUM(G75:G87)</f>
        <v>476.78518227800004</v>
      </c>
      <c r="H74" s="7">
        <f t="shared" si="32"/>
        <v>447.61684778000006</v>
      </c>
      <c r="I74" s="7">
        <f t="shared" si="32"/>
        <v>7.9534504409999993</v>
      </c>
      <c r="J74" s="7">
        <f t="shared" si="32"/>
        <v>116.46811305</v>
      </c>
      <c r="K74" s="7">
        <f t="shared" si="32"/>
        <v>64.444000000000003</v>
      </c>
      <c r="L74" s="7">
        <f t="shared" si="32"/>
        <v>205.40974575000001</v>
      </c>
      <c r="M74" s="7">
        <f t="shared" si="32"/>
        <v>160.39299921</v>
      </c>
      <c r="N74" s="7">
        <f t="shared" si="32"/>
        <v>64.652013789999998</v>
      </c>
      <c r="O74" s="7">
        <f t="shared" si="32"/>
        <v>243.99473262700002</v>
      </c>
      <c r="P74" s="7">
        <f t="shared" si="32"/>
        <v>61.086975190000004</v>
      </c>
      <c r="Q74" s="7">
        <f t="shared" si="32"/>
        <v>1088.3762513196</v>
      </c>
      <c r="R74" s="7">
        <f t="shared" si="32"/>
        <v>-29.168334497999997</v>
      </c>
      <c r="S74" s="21">
        <f t="shared" si="30"/>
        <v>-6.1177099419572063E-2</v>
      </c>
      <c r="T74" s="7" t="s">
        <v>32</v>
      </c>
    </row>
    <row r="75" spans="1:20" s="1" customFormat="1" ht="38.25" customHeight="1" x14ac:dyDescent="0.25">
      <c r="A75" s="26" t="s">
        <v>157</v>
      </c>
      <c r="B75" s="34" t="s">
        <v>159</v>
      </c>
      <c r="C75" s="30" t="s">
        <v>160</v>
      </c>
      <c r="D75" s="29">
        <v>74.968199379999987</v>
      </c>
      <c r="E75" s="29">
        <f>D75-F75</f>
        <v>73.758247189999992</v>
      </c>
      <c r="F75" s="29">
        <v>1.2099521899999999</v>
      </c>
      <c r="G75" s="30">
        <v>1.2099521899999999</v>
      </c>
      <c r="H75" s="29">
        <f t="shared" ref="H75:H87" si="33">J75+L75+N75+P75</f>
        <v>1.2099521899999999</v>
      </c>
      <c r="I75" s="29">
        <v>0</v>
      </c>
      <c r="J75" s="29">
        <v>1.2099521899999999</v>
      </c>
      <c r="K75" s="29">
        <v>0</v>
      </c>
      <c r="L75" s="29">
        <v>0</v>
      </c>
      <c r="M75" s="29">
        <v>0</v>
      </c>
      <c r="N75" s="29">
        <v>0</v>
      </c>
      <c r="O75" s="29">
        <v>1.2099521899999999</v>
      </c>
      <c r="P75" s="29">
        <v>0</v>
      </c>
      <c r="Q75" s="29">
        <f t="shared" ref="Q75:Q87" si="34">F75-H75</f>
        <v>0</v>
      </c>
      <c r="R75" s="29">
        <f t="shared" ref="R75:R87" si="35">H75-(I75+K75+M75+O75)</f>
        <v>0</v>
      </c>
      <c r="S75" s="31">
        <f t="shared" si="30"/>
        <v>0</v>
      </c>
      <c r="T75" s="29" t="s">
        <v>32</v>
      </c>
    </row>
    <row r="76" spans="1:20" s="1" customFormat="1" x14ac:dyDescent="0.25">
      <c r="A76" s="26" t="s">
        <v>157</v>
      </c>
      <c r="B76" s="40" t="s">
        <v>161</v>
      </c>
      <c r="C76" s="41" t="s">
        <v>162</v>
      </c>
      <c r="D76" s="29">
        <v>179.16668723200002</v>
      </c>
      <c r="E76" s="29">
        <v>59.241946069999997</v>
      </c>
      <c r="F76" s="29">
        <f>D76-E76</f>
        <v>119.92474116200002</v>
      </c>
      <c r="G76" s="30">
        <v>108.31629419000002</v>
      </c>
      <c r="H76" s="29">
        <f t="shared" si="33"/>
        <v>97.229748000000015</v>
      </c>
      <c r="I76" s="29">
        <v>0</v>
      </c>
      <c r="J76" s="29">
        <v>1.3484188300000002</v>
      </c>
      <c r="K76" s="29">
        <v>0</v>
      </c>
      <c r="L76" s="29">
        <v>69.332944450000014</v>
      </c>
      <c r="M76" s="29">
        <v>0</v>
      </c>
      <c r="N76" s="29">
        <v>14.65783592</v>
      </c>
      <c r="O76" s="29">
        <f>G76-I76-K76-M76</f>
        <v>108.31629419000002</v>
      </c>
      <c r="P76" s="29">
        <v>11.890548800000001</v>
      </c>
      <c r="Q76" s="29">
        <f t="shared" si="34"/>
        <v>22.694993162000003</v>
      </c>
      <c r="R76" s="29">
        <f t="shared" si="35"/>
        <v>-11.086546190000007</v>
      </c>
      <c r="S76" s="31">
        <f t="shared" si="30"/>
        <v>-0.10235344804681787</v>
      </c>
      <c r="T76" s="29" t="s">
        <v>163</v>
      </c>
    </row>
    <row r="77" spans="1:20" s="1" customFormat="1" ht="31.5" x14ac:dyDescent="0.25">
      <c r="A77" s="26" t="s">
        <v>157</v>
      </c>
      <c r="B77" s="34" t="s">
        <v>164</v>
      </c>
      <c r="C77" s="30" t="s">
        <v>165</v>
      </c>
      <c r="D77" s="29">
        <v>14.690448389999998</v>
      </c>
      <c r="E77" s="29">
        <v>12.097465889999999</v>
      </c>
      <c r="F77" s="29">
        <f>D77-E77</f>
        <v>2.5929824999999997</v>
      </c>
      <c r="G77" s="30">
        <v>2.5929824999999993</v>
      </c>
      <c r="H77" s="29">
        <f t="shared" si="33"/>
        <v>2.5929825000000002</v>
      </c>
      <c r="I77" s="29">
        <v>0.50245043699999947</v>
      </c>
      <c r="J77" s="29">
        <v>2.5929825000000002</v>
      </c>
      <c r="K77" s="29">
        <v>0</v>
      </c>
      <c r="L77" s="29">
        <v>0</v>
      </c>
      <c r="M77" s="29">
        <v>0</v>
      </c>
      <c r="N77" s="29">
        <v>0</v>
      </c>
      <c r="O77" s="29">
        <f>G77-I77-K77-M77</f>
        <v>2.0905320629999999</v>
      </c>
      <c r="P77" s="29">
        <v>0</v>
      </c>
      <c r="Q77" s="29">
        <f t="shared" si="34"/>
        <v>0</v>
      </c>
      <c r="R77" s="29">
        <f t="shared" si="35"/>
        <v>0</v>
      </c>
      <c r="S77" s="31">
        <f t="shared" si="30"/>
        <v>0</v>
      </c>
      <c r="T77" s="29" t="s">
        <v>32</v>
      </c>
    </row>
    <row r="78" spans="1:20" s="1" customFormat="1" ht="31.5" x14ac:dyDescent="0.25">
      <c r="A78" s="26" t="s">
        <v>157</v>
      </c>
      <c r="B78" s="42" t="s">
        <v>166</v>
      </c>
      <c r="C78" s="28" t="s">
        <v>167</v>
      </c>
      <c r="D78" s="29">
        <v>14.803650979999999</v>
      </c>
      <c r="E78" s="29">
        <f>D78-F78</f>
        <v>14.792669289999999</v>
      </c>
      <c r="F78" s="29">
        <v>1.0981689999999997E-2</v>
      </c>
      <c r="G78" s="30">
        <v>1.0981689999999997E-2</v>
      </c>
      <c r="H78" s="29">
        <f t="shared" si="33"/>
        <v>1.0981690000000001E-2</v>
      </c>
      <c r="I78" s="29">
        <v>0</v>
      </c>
      <c r="J78" s="29">
        <v>1.0981690000000001E-2</v>
      </c>
      <c r="K78" s="29">
        <v>0</v>
      </c>
      <c r="L78" s="29">
        <v>0</v>
      </c>
      <c r="M78" s="29">
        <v>0</v>
      </c>
      <c r="N78" s="29">
        <v>0</v>
      </c>
      <c r="O78" s="29">
        <f>G78-I78-K78-M78</f>
        <v>1.0981689999999997E-2</v>
      </c>
      <c r="P78" s="29">
        <v>0</v>
      </c>
      <c r="Q78" s="29">
        <f t="shared" si="34"/>
        <v>0</v>
      </c>
      <c r="R78" s="29">
        <f t="shared" si="35"/>
        <v>0</v>
      </c>
      <c r="S78" s="31">
        <f t="shared" si="30"/>
        <v>0</v>
      </c>
      <c r="T78" s="29" t="s">
        <v>32</v>
      </c>
    </row>
    <row r="79" spans="1:20" s="1" customFormat="1" ht="31.5" x14ac:dyDescent="0.25">
      <c r="A79" s="26" t="s">
        <v>157</v>
      </c>
      <c r="B79" s="34" t="s">
        <v>168</v>
      </c>
      <c r="C79" s="30" t="s">
        <v>169</v>
      </c>
      <c r="D79" s="29">
        <v>11.632492410000001</v>
      </c>
      <c r="E79" s="29">
        <v>10.734809499999999</v>
      </c>
      <c r="F79" s="29">
        <f>D79-E79</f>
        <v>0.89768291000000211</v>
      </c>
      <c r="G79" s="30">
        <v>0.89768291</v>
      </c>
      <c r="H79" s="29">
        <f t="shared" si="33"/>
        <v>0.89768291</v>
      </c>
      <c r="I79" s="29">
        <v>0.48900000399999954</v>
      </c>
      <c r="J79" s="29">
        <v>0.89768291</v>
      </c>
      <c r="K79" s="29">
        <v>0</v>
      </c>
      <c r="L79" s="29">
        <v>0</v>
      </c>
      <c r="M79" s="29">
        <v>0</v>
      </c>
      <c r="N79" s="29">
        <v>0</v>
      </c>
      <c r="O79" s="29">
        <f>G79-I79-K79-M79</f>
        <v>0.40868290600000046</v>
      </c>
      <c r="P79" s="29">
        <v>0</v>
      </c>
      <c r="Q79" s="29">
        <f t="shared" si="34"/>
        <v>2.1094237467877974E-15</v>
      </c>
      <c r="R79" s="29">
        <f t="shared" si="35"/>
        <v>0</v>
      </c>
      <c r="S79" s="31">
        <f t="shared" si="30"/>
        <v>0</v>
      </c>
      <c r="T79" s="29" t="s">
        <v>32</v>
      </c>
    </row>
    <row r="80" spans="1:20" s="1" customFormat="1" ht="39" customHeight="1" x14ac:dyDescent="0.25">
      <c r="A80" s="26" t="s">
        <v>157</v>
      </c>
      <c r="B80" s="34" t="s">
        <v>170</v>
      </c>
      <c r="C80" s="30" t="s">
        <v>171</v>
      </c>
      <c r="D80" s="29">
        <v>5.9249157499999994</v>
      </c>
      <c r="E80" s="29">
        <f>D80-F80</f>
        <v>5.9248164699999997</v>
      </c>
      <c r="F80" s="29">
        <v>9.9280000000000256E-5</v>
      </c>
      <c r="G80" s="30">
        <v>9.9280000000000256E-5</v>
      </c>
      <c r="H80" s="29">
        <f t="shared" si="33"/>
        <v>9.9279999999999998E-5</v>
      </c>
      <c r="I80" s="29">
        <v>0</v>
      </c>
      <c r="J80" s="29">
        <v>9.9279999999999998E-5</v>
      </c>
      <c r="K80" s="29">
        <v>0</v>
      </c>
      <c r="L80" s="29">
        <v>0</v>
      </c>
      <c r="M80" s="29">
        <v>0</v>
      </c>
      <c r="N80" s="29">
        <v>0</v>
      </c>
      <c r="O80" s="29">
        <v>9.9280000000000256E-5</v>
      </c>
      <c r="P80" s="29">
        <v>0</v>
      </c>
      <c r="Q80" s="29">
        <f t="shared" si="34"/>
        <v>2.574980159653073E-19</v>
      </c>
      <c r="R80" s="29">
        <f t="shared" si="35"/>
        <v>-2.574980159653073E-19</v>
      </c>
      <c r="S80" s="31">
        <f t="shared" si="30"/>
        <v>-2.5936544718503891E-15</v>
      </c>
      <c r="T80" s="29" t="s">
        <v>32</v>
      </c>
    </row>
    <row r="81" spans="1:20" s="1" customFormat="1" ht="31.5" x14ac:dyDescent="0.25">
      <c r="A81" s="26" t="s">
        <v>157</v>
      </c>
      <c r="B81" s="34" t="s">
        <v>172</v>
      </c>
      <c r="C81" s="30" t="s">
        <v>173</v>
      </c>
      <c r="D81" s="29">
        <v>86.770471728000004</v>
      </c>
      <c r="E81" s="29">
        <v>46.07709887</v>
      </c>
      <c r="F81" s="29">
        <f t="shared" ref="F81:F87" si="36">D81-E81</f>
        <v>40.693372858000004</v>
      </c>
      <c r="G81" s="30">
        <v>40.693372858000004</v>
      </c>
      <c r="H81" s="29">
        <f t="shared" si="33"/>
        <v>23.071910849999998</v>
      </c>
      <c r="I81" s="29">
        <v>0</v>
      </c>
      <c r="J81" s="29">
        <v>3.7796411699999997</v>
      </c>
      <c r="K81" s="29">
        <v>10.582000000000001</v>
      </c>
      <c r="L81" s="29">
        <v>5.830968330000001</v>
      </c>
      <c r="M81" s="29">
        <v>20.318726259999998</v>
      </c>
      <c r="N81" s="29">
        <v>0.80437080000000005</v>
      </c>
      <c r="O81" s="29">
        <f>G81-I81-K81-M81</f>
        <v>9.7926465980000046</v>
      </c>
      <c r="P81" s="29">
        <v>12.656930549999998</v>
      </c>
      <c r="Q81" s="29">
        <f t="shared" si="34"/>
        <v>17.621462008000005</v>
      </c>
      <c r="R81" s="29">
        <f t="shared" si="35"/>
        <v>-17.621462008000005</v>
      </c>
      <c r="S81" s="31">
        <f t="shared" si="30"/>
        <v>-0.43303026439932374</v>
      </c>
      <c r="T81" s="29" t="s">
        <v>174</v>
      </c>
    </row>
    <row r="82" spans="1:20" s="1" customFormat="1" ht="31.5" x14ac:dyDescent="0.25">
      <c r="A82" s="26" t="s">
        <v>157</v>
      </c>
      <c r="B82" s="34" t="s">
        <v>175</v>
      </c>
      <c r="C82" s="30" t="s">
        <v>176</v>
      </c>
      <c r="D82" s="29">
        <v>200.641837216</v>
      </c>
      <c r="E82" s="29">
        <v>66.888440979999999</v>
      </c>
      <c r="F82" s="29">
        <f t="shared" si="36"/>
        <v>133.75339623600001</v>
      </c>
      <c r="G82" s="30">
        <v>62.29359616</v>
      </c>
      <c r="H82" s="29">
        <f t="shared" si="33"/>
        <v>62.481826990000002</v>
      </c>
      <c r="I82" s="29">
        <v>0</v>
      </c>
      <c r="J82" s="29">
        <v>5.7604006700000001</v>
      </c>
      <c r="K82" s="29">
        <v>34.902000000000001</v>
      </c>
      <c r="L82" s="29">
        <v>31.059034370000003</v>
      </c>
      <c r="M82" s="29">
        <v>2.0249189200000002</v>
      </c>
      <c r="N82" s="29">
        <v>13.475833339999999</v>
      </c>
      <c r="O82" s="29">
        <f>G82-I82-K82-M82</f>
        <v>25.366677239999998</v>
      </c>
      <c r="P82" s="29">
        <v>12.186558610000001</v>
      </c>
      <c r="Q82" s="29">
        <f t="shared" si="34"/>
        <v>71.271569246000013</v>
      </c>
      <c r="R82" s="29">
        <f t="shared" si="35"/>
        <v>0.18823083000000906</v>
      </c>
      <c r="S82" s="31">
        <f t="shared" si="30"/>
        <v>3.0216722360439994E-3</v>
      </c>
      <c r="T82" s="29" t="s">
        <v>32</v>
      </c>
    </row>
    <row r="83" spans="1:20" s="1" customFormat="1" ht="31.5" x14ac:dyDescent="0.25">
      <c r="A83" s="26" t="s">
        <v>157</v>
      </c>
      <c r="B83" s="34" t="s">
        <v>177</v>
      </c>
      <c r="C83" s="28" t="s">
        <v>178</v>
      </c>
      <c r="D83" s="29">
        <v>151.277256542</v>
      </c>
      <c r="E83" s="29">
        <v>40.293912219999996</v>
      </c>
      <c r="F83" s="29">
        <f t="shared" si="36"/>
        <v>110.98334432200001</v>
      </c>
      <c r="G83" s="30">
        <v>51.352603829999993</v>
      </c>
      <c r="H83" s="29">
        <f t="shared" si="33"/>
        <v>50.704047039999999</v>
      </c>
      <c r="I83" s="29">
        <v>2.6619999999999999</v>
      </c>
      <c r="J83" s="29">
        <v>0.73369428999999997</v>
      </c>
      <c r="K83" s="29">
        <v>0</v>
      </c>
      <c r="L83" s="29">
        <v>34.356954109999997</v>
      </c>
      <c r="M83" s="29">
        <v>35.348550000000003</v>
      </c>
      <c r="N83" s="29">
        <v>12.738062959999999</v>
      </c>
      <c r="O83" s="29">
        <f>G83-I83-K83-M83</f>
        <v>13.34205382999999</v>
      </c>
      <c r="P83" s="29">
        <v>2.8753356800000001</v>
      </c>
      <c r="Q83" s="29">
        <f t="shared" si="34"/>
        <v>60.279297282000009</v>
      </c>
      <c r="R83" s="29">
        <f t="shared" si="35"/>
        <v>-0.64855678999999355</v>
      </c>
      <c r="S83" s="31">
        <f t="shared" si="30"/>
        <v>-1.2629482083265059E-2</v>
      </c>
      <c r="T83" s="29" t="s">
        <v>32</v>
      </c>
    </row>
    <row r="84" spans="1:20" s="1" customFormat="1" ht="53.25" customHeight="1" x14ac:dyDescent="0.25">
      <c r="A84" s="26" t="s">
        <v>157</v>
      </c>
      <c r="B84" s="34" t="s">
        <v>179</v>
      </c>
      <c r="C84" s="28" t="s">
        <v>180</v>
      </c>
      <c r="D84" s="29">
        <v>4.5350844199999996</v>
      </c>
      <c r="E84" s="29">
        <v>4.5340620899999999</v>
      </c>
      <c r="F84" s="29">
        <f t="shared" si="36"/>
        <v>1.0223299999996271E-3</v>
      </c>
      <c r="G84" s="30">
        <v>1.0223300000000001E-3</v>
      </c>
      <c r="H84" s="29">
        <f t="shared" si="33"/>
        <v>1.0223299999999999E-3</v>
      </c>
      <c r="I84" s="29">
        <v>0</v>
      </c>
      <c r="J84" s="29">
        <v>1.0223299999999999E-3</v>
      </c>
      <c r="K84" s="29">
        <v>0</v>
      </c>
      <c r="L84" s="29">
        <v>0</v>
      </c>
      <c r="M84" s="29">
        <v>0</v>
      </c>
      <c r="N84" s="29">
        <v>0</v>
      </c>
      <c r="O84" s="29">
        <v>1.0223300000000001E-3</v>
      </c>
      <c r="P84" s="29">
        <v>0</v>
      </c>
      <c r="Q84" s="29">
        <f t="shared" si="34"/>
        <v>-3.7274870690051642E-16</v>
      </c>
      <c r="R84" s="29">
        <f t="shared" si="35"/>
        <v>0</v>
      </c>
      <c r="S84" s="31">
        <f t="shared" si="30"/>
        <v>0</v>
      </c>
      <c r="T84" s="29" t="s">
        <v>32</v>
      </c>
    </row>
    <row r="85" spans="1:20" s="1" customFormat="1" ht="53.25" customHeight="1" x14ac:dyDescent="0.25">
      <c r="A85" s="26" t="s">
        <v>157</v>
      </c>
      <c r="B85" s="34" t="s">
        <v>181</v>
      </c>
      <c r="C85" s="30" t="s">
        <v>182</v>
      </c>
      <c r="D85" s="29">
        <v>421.18882439999999</v>
      </c>
      <c r="E85" s="29">
        <v>0</v>
      </c>
      <c r="F85" s="29">
        <f t="shared" si="36"/>
        <v>421.18882439999999</v>
      </c>
      <c r="G85" s="30">
        <v>22.362479999999998</v>
      </c>
      <c r="H85" s="29">
        <f t="shared" si="33"/>
        <v>22.362479659999998</v>
      </c>
      <c r="I85" s="29">
        <v>0</v>
      </c>
      <c r="J85" s="29">
        <v>0.88487810999999994</v>
      </c>
      <c r="K85" s="29">
        <v>0</v>
      </c>
      <c r="L85" s="29">
        <v>0</v>
      </c>
      <c r="M85" s="29">
        <v>0</v>
      </c>
      <c r="N85" s="29">
        <v>0</v>
      </c>
      <c r="O85" s="29">
        <v>22.362479999999998</v>
      </c>
      <c r="P85" s="29">
        <v>21.477601549999999</v>
      </c>
      <c r="Q85" s="29">
        <f t="shared" si="34"/>
        <v>398.82634473999997</v>
      </c>
      <c r="R85" s="29">
        <f t="shared" si="35"/>
        <v>-3.3999999971001671E-7</v>
      </c>
      <c r="S85" s="31">
        <f t="shared" si="30"/>
        <v>-1.5204038179576537E-8</v>
      </c>
      <c r="T85" s="29" t="s">
        <v>32</v>
      </c>
    </row>
    <row r="86" spans="1:20" s="1" customFormat="1" ht="31.5" x14ac:dyDescent="0.25">
      <c r="A86" s="26" t="s">
        <v>157</v>
      </c>
      <c r="B86" s="34" t="s">
        <v>183</v>
      </c>
      <c r="C86" s="30" t="s">
        <v>184</v>
      </c>
      <c r="D86" s="29">
        <v>128.70497159999999</v>
      </c>
      <c r="E86" s="29">
        <v>78.11999999999999</v>
      </c>
      <c r="F86" s="29">
        <v>50.584971600000003</v>
      </c>
      <c r="G86" s="30">
        <v>50.584971600000003</v>
      </c>
      <c r="H86" s="29">
        <f t="shared" si="33"/>
        <v>50.584971600000003</v>
      </c>
      <c r="I86" s="29">
        <v>0</v>
      </c>
      <c r="J86" s="29">
        <v>50.584971600000003</v>
      </c>
      <c r="K86" s="29">
        <v>0</v>
      </c>
      <c r="L86" s="29">
        <v>0</v>
      </c>
      <c r="M86" s="29">
        <v>0</v>
      </c>
      <c r="N86" s="29">
        <v>0</v>
      </c>
      <c r="O86" s="29">
        <v>50.584971600000003</v>
      </c>
      <c r="P86" s="29">
        <v>0</v>
      </c>
      <c r="Q86" s="29">
        <f t="shared" si="34"/>
        <v>0</v>
      </c>
      <c r="R86" s="29">
        <f t="shared" si="35"/>
        <v>0</v>
      </c>
      <c r="S86" s="31">
        <f t="shared" si="30"/>
        <v>0</v>
      </c>
      <c r="T86" s="29" t="s">
        <v>32</v>
      </c>
    </row>
    <row r="87" spans="1:20" s="1" customFormat="1" ht="31.5" x14ac:dyDescent="0.25">
      <c r="A87" s="26" t="s">
        <v>157</v>
      </c>
      <c r="B87" s="34" t="s">
        <v>185</v>
      </c>
      <c r="C87" s="28" t="s">
        <v>186</v>
      </c>
      <c r="D87" s="29">
        <v>1053.6003191016</v>
      </c>
      <c r="E87" s="29">
        <v>399.44859148</v>
      </c>
      <c r="F87" s="29">
        <f t="shared" si="36"/>
        <v>654.1517276216</v>
      </c>
      <c r="G87" s="30">
        <v>136.46914274</v>
      </c>
      <c r="H87" s="29">
        <f t="shared" si="33"/>
        <v>136.46914274</v>
      </c>
      <c r="I87" s="29">
        <v>4.3</v>
      </c>
      <c r="J87" s="29">
        <v>48.66338747999999</v>
      </c>
      <c r="K87" s="29">
        <v>18.96</v>
      </c>
      <c r="L87" s="29">
        <v>64.829844489999999</v>
      </c>
      <c r="M87" s="29">
        <v>102.70080403</v>
      </c>
      <c r="N87" s="29">
        <v>22.975910769999999</v>
      </c>
      <c r="O87" s="29">
        <f>G87-I87-K87-M87</f>
        <v>10.508338709999975</v>
      </c>
      <c r="P87" s="29">
        <v>0</v>
      </c>
      <c r="Q87" s="29">
        <f t="shared" si="34"/>
        <v>517.68258488159995</v>
      </c>
      <c r="R87" s="29">
        <f t="shared" si="35"/>
        <v>0</v>
      </c>
      <c r="S87" s="31">
        <f t="shared" si="30"/>
        <v>0</v>
      </c>
      <c r="T87" s="29" t="s">
        <v>32</v>
      </c>
    </row>
    <row r="88" spans="1:20" s="1" customFormat="1" ht="31.5" x14ac:dyDescent="0.25">
      <c r="A88" s="18" t="s">
        <v>187</v>
      </c>
      <c r="B88" s="22" t="s">
        <v>188</v>
      </c>
      <c r="C88" s="20" t="s">
        <v>31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21">
        <v>0</v>
      </c>
      <c r="T88" s="7" t="s">
        <v>32</v>
      </c>
    </row>
    <row r="89" spans="1:20" s="1" customFormat="1" ht="31.5" x14ac:dyDescent="0.25">
      <c r="A89" s="18" t="s">
        <v>189</v>
      </c>
      <c r="B89" s="22" t="s">
        <v>190</v>
      </c>
      <c r="C89" s="20" t="s">
        <v>31</v>
      </c>
      <c r="D89" s="7">
        <f t="shared" ref="D89:R89" si="37">SUM(D90:D106)</f>
        <v>2979.3190414822925</v>
      </c>
      <c r="E89" s="7">
        <f t="shared" si="37"/>
        <v>940.54810924999992</v>
      </c>
      <c r="F89" s="7">
        <f t="shared" si="37"/>
        <v>2038.7709322322924</v>
      </c>
      <c r="G89" s="7">
        <f t="shared" si="37"/>
        <v>331.75965503845401</v>
      </c>
      <c r="H89" s="7">
        <f t="shared" si="37"/>
        <v>295.2734538900001</v>
      </c>
      <c r="I89" s="7">
        <f t="shared" si="37"/>
        <v>17.560781519999995</v>
      </c>
      <c r="J89" s="7">
        <f t="shared" si="37"/>
        <v>23.595238639999994</v>
      </c>
      <c r="K89" s="7">
        <f t="shared" si="37"/>
        <v>81.721662009999989</v>
      </c>
      <c r="L89" s="7">
        <f t="shared" si="37"/>
        <v>105.24658839</v>
      </c>
      <c r="M89" s="7">
        <f t="shared" si="37"/>
        <v>165.35721412573429</v>
      </c>
      <c r="N89" s="7">
        <f t="shared" si="37"/>
        <v>93.305489159999993</v>
      </c>
      <c r="O89" s="7">
        <f t="shared" si="37"/>
        <v>67.119997382719788</v>
      </c>
      <c r="P89" s="7">
        <f t="shared" si="37"/>
        <v>73.126137699999987</v>
      </c>
      <c r="Q89" s="7">
        <f t="shared" si="37"/>
        <v>1743.4974783422927</v>
      </c>
      <c r="R89" s="7">
        <f t="shared" si="37"/>
        <v>-36.486201148454057</v>
      </c>
      <c r="S89" s="21">
        <f t="shared" si="30"/>
        <v>-0.10997781253487547</v>
      </c>
      <c r="T89" s="7" t="s">
        <v>32</v>
      </c>
    </row>
    <row r="90" spans="1:20" s="1" customFormat="1" ht="56.25" customHeight="1" x14ac:dyDescent="0.25">
      <c r="A90" s="26" t="s">
        <v>189</v>
      </c>
      <c r="B90" s="34" t="s">
        <v>191</v>
      </c>
      <c r="C90" s="28" t="s">
        <v>192</v>
      </c>
      <c r="D90" s="29">
        <v>171.55086451259996</v>
      </c>
      <c r="E90" s="29">
        <v>95.313412360000001</v>
      </c>
      <c r="F90" s="29">
        <f t="shared" ref="F90:F106" si="38">D90-E90</f>
        <v>76.237452152599957</v>
      </c>
      <c r="G90" s="30">
        <v>0.98826191999999902</v>
      </c>
      <c r="H90" s="29">
        <f t="shared" ref="H90:H106" si="39">J90+L90+N90+P90</f>
        <v>0.98826192000000002</v>
      </c>
      <c r="I90" s="29">
        <v>0.98826191999999902</v>
      </c>
      <c r="J90" s="29">
        <f>988.26192/1000</f>
        <v>0.98826192000000002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f t="shared" ref="Q90:Q106" si="40">F90-H90</f>
        <v>75.249190232599958</v>
      </c>
      <c r="R90" s="29">
        <f>H90-(I90+K90+M90+O90)</f>
        <v>9.9920072216264089E-16</v>
      </c>
      <c r="S90" s="31">
        <f t="shared" si="30"/>
        <v>1.0110687277747602E-15</v>
      </c>
      <c r="T90" s="43" t="s">
        <v>32</v>
      </c>
    </row>
    <row r="91" spans="1:20" s="1" customFormat="1" ht="56.25" customHeight="1" x14ac:dyDescent="0.25">
      <c r="A91" s="26" t="s">
        <v>189</v>
      </c>
      <c r="B91" s="34" t="s">
        <v>193</v>
      </c>
      <c r="C91" s="28" t="s">
        <v>194</v>
      </c>
      <c r="D91" s="29">
        <v>313.75069999999994</v>
      </c>
      <c r="E91" s="29">
        <v>33.563279510000001</v>
      </c>
      <c r="F91" s="29">
        <f t="shared" si="38"/>
        <v>280.18742048999991</v>
      </c>
      <c r="G91" s="30">
        <v>30.552279200000001</v>
      </c>
      <c r="H91" s="29">
        <f t="shared" si="39"/>
        <v>26.169381639999997</v>
      </c>
      <c r="I91" s="29">
        <v>0</v>
      </c>
      <c r="J91" s="29">
        <f>52.87586/1000</f>
        <v>5.2875860000000004E-2</v>
      </c>
      <c r="K91" s="29">
        <v>8.1807359399999999</v>
      </c>
      <c r="L91" s="29">
        <v>8.0548570599999998</v>
      </c>
      <c r="M91" s="29">
        <v>12.44637255</v>
      </c>
      <c r="N91" s="29">
        <v>5.42911666</v>
      </c>
      <c r="O91" s="29">
        <f>G91-I91-K91-M91</f>
        <v>9.9251707100000033</v>
      </c>
      <c r="P91" s="29">
        <f>12632.53206/1000</f>
        <v>12.632532059999999</v>
      </c>
      <c r="Q91" s="29">
        <f t="shared" si="40"/>
        <v>254.01803884999993</v>
      </c>
      <c r="R91" s="29">
        <f>H91-(I91+K91+M91+O91)</f>
        <v>-4.3828975600000035</v>
      </c>
      <c r="S91" s="31">
        <f t="shared" si="30"/>
        <v>-0.14345566598514206</v>
      </c>
      <c r="T91" s="43" t="s">
        <v>195</v>
      </c>
    </row>
    <row r="92" spans="1:20" s="1" customFormat="1" ht="56.25" customHeight="1" x14ac:dyDescent="0.25">
      <c r="A92" s="26" t="s">
        <v>189</v>
      </c>
      <c r="B92" s="34" t="s">
        <v>196</v>
      </c>
      <c r="C92" s="28" t="s">
        <v>197</v>
      </c>
      <c r="D92" s="29">
        <v>18.432605930000001</v>
      </c>
      <c r="E92" s="29">
        <v>1.6385659299999999</v>
      </c>
      <c r="F92" s="29">
        <f t="shared" si="38"/>
        <v>16.794040000000003</v>
      </c>
      <c r="G92" s="30">
        <v>16.794040000000003</v>
      </c>
      <c r="H92" s="29">
        <f t="shared" si="39"/>
        <v>14.934736520000001</v>
      </c>
      <c r="I92" s="29">
        <v>0</v>
      </c>
      <c r="J92" s="29">
        <f>1.07643/1000</f>
        <v>1.07643E-3</v>
      </c>
      <c r="K92" s="29">
        <v>4.4334937999999999</v>
      </c>
      <c r="L92" s="29">
        <v>5.2874127399999997</v>
      </c>
      <c r="M92" s="29">
        <v>7.0359452000000005</v>
      </c>
      <c r="N92" s="29">
        <v>8.4131348700000004</v>
      </c>
      <c r="O92" s="29">
        <f>G92-I92-K92-M92</f>
        <v>5.3246010000000012</v>
      </c>
      <c r="P92" s="29">
        <f>1233.11248/1000</f>
        <v>1.23311248</v>
      </c>
      <c r="Q92" s="29">
        <f t="shared" si="40"/>
        <v>1.8593034800000012</v>
      </c>
      <c r="R92" s="29">
        <f>H92-(I92+K92+M92+O92)</f>
        <v>-1.8593034800000012</v>
      </c>
      <c r="S92" s="31">
        <f t="shared" si="30"/>
        <v>-0.11071210262688436</v>
      </c>
      <c r="T92" s="43" t="s">
        <v>195</v>
      </c>
    </row>
    <row r="93" spans="1:20" s="1" customFormat="1" ht="56.25" customHeight="1" x14ac:dyDescent="0.25">
      <c r="A93" s="26" t="s">
        <v>189</v>
      </c>
      <c r="B93" s="34" t="s">
        <v>198</v>
      </c>
      <c r="C93" s="28" t="s">
        <v>199</v>
      </c>
      <c r="D93" s="29">
        <v>186.41013648299997</v>
      </c>
      <c r="E93" s="29">
        <v>18.761166929999998</v>
      </c>
      <c r="F93" s="29">
        <f t="shared" si="38"/>
        <v>167.64896955299997</v>
      </c>
      <c r="G93" s="30">
        <v>10.025615158000001</v>
      </c>
      <c r="H93" s="29">
        <f t="shared" si="39"/>
        <v>9.2113325200000009</v>
      </c>
      <c r="I93" s="29">
        <v>0</v>
      </c>
      <c r="J93" s="29">
        <f>0.11078/1000</f>
        <v>1.1078000000000001E-4</v>
      </c>
      <c r="K93" s="29">
        <v>2.5380256399999999</v>
      </c>
      <c r="L93" s="29">
        <v>5.2876336200000003</v>
      </c>
      <c r="M93" s="29">
        <v>5.7540462100000003</v>
      </c>
      <c r="N93" s="29">
        <v>0.83124499000000007</v>
      </c>
      <c r="O93" s="29">
        <f>G93-I93-K93-M93</f>
        <v>1.7335433080000007</v>
      </c>
      <c r="P93" s="29">
        <f>3092.34313/1000</f>
        <v>3.0923431300000002</v>
      </c>
      <c r="Q93" s="29">
        <f t="shared" si="40"/>
        <v>158.43763703299996</v>
      </c>
      <c r="R93" s="29">
        <f>H93-(I93+K93+M93+O93)</f>
        <v>-0.81428263799999989</v>
      </c>
      <c r="S93" s="31">
        <f t="shared" si="30"/>
        <v>-8.1220216931051664E-2</v>
      </c>
      <c r="T93" s="43" t="s">
        <v>195</v>
      </c>
    </row>
    <row r="94" spans="1:20" s="1" customFormat="1" ht="56.25" customHeight="1" x14ac:dyDescent="0.25">
      <c r="A94" s="26" t="s">
        <v>189</v>
      </c>
      <c r="B94" s="34" t="s">
        <v>200</v>
      </c>
      <c r="C94" s="28" t="s">
        <v>201</v>
      </c>
      <c r="D94" s="29">
        <v>215.0130382774</v>
      </c>
      <c r="E94" s="29">
        <v>120.79395064000001</v>
      </c>
      <c r="F94" s="29">
        <f t="shared" si="38"/>
        <v>94.219087637399994</v>
      </c>
      <c r="G94" s="30">
        <v>30.373172048000008</v>
      </c>
      <c r="H94" s="29">
        <f t="shared" si="39"/>
        <v>32.116036049999998</v>
      </c>
      <c r="I94" s="29">
        <v>3.7251918099999997</v>
      </c>
      <c r="J94" s="29">
        <f>2592.18893/1000</f>
        <v>2.5921889299999998</v>
      </c>
      <c r="K94" s="29">
        <v>7.3742063</v>
      </c>
      <c r="L94" s="29">
        <f>6298.52373/1000</f>
        <v>6.2985237300000003</v>
      </c>
      <c r="M94" s="29">
        <v>14.673759780000001</v>
      </c>
      <c r="N94" s="29">
        <v>10.537934999999999</v>
      </c>
      <c r="O94" s="29">
        <f>G94-I94-K94-M94</f>
        <v>4.6000141580000076</v>
      </c>
      <c r="P94" s="29">
        <f>12687.38839/1000</f>
        <v>12.687388390000001</v>
      </c>
      <c r="Q94" s="29">
        <f t="shared" si="40"/>
        <v>62.103051587399996</v>
      </c>
      <c r="R94" s="29">
        <f>H94-(I94+K94+M94+O94)</f>
        <v>1.7428640019999904</v>
      </c>
      <c r="S94" s="31">
        <f t="shared" si="30"/>
        <v>5.7381691949911218E-2</v>
      </c>
      <c r="T94" s="43" t="s">
        <v>32</v>
      </c>
    </row>
    <row r="95" spans="1:20" s="1" customFormat="1" ht="56.25" customHeight="1" x14ac:dyDescent="0.25">
      <c r="A95" s="26" t="s">
        <v>189</v>
      </c>
      <c r="B95" s="34" t="s">
        <v>202</v>
      </c>
      <c r="C95" s="28" t="s">
        <v>203</v>
      </c>
      <c r="D95" s="29">
        <v>80.82277972</v>
      </c>
      <c r="E95" s="29">
        <v>61.016595169999995</v>
      </c>
      <c r="F95" s="29">
        <f t="shared" si="38"/>
        <v>19.806184550000005</v>
      </c>
      <c r="G95" s="30">
        <v>1.1617557599999964</v>
      </c>
      <c r="H95" s="29">
        <f t="shared" si="39"/>
        <v>1.1617557599999999</v>
      </c>
      <c r="I95" s="29">
        <v>1.1617557599999964</v>
      </c>
      <c r="J95" s="29">
        <f>1161.75576/1000</f>
        <v>1.1617557599999999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f t="shared" si="40"/>
        <v>18.644428790000006</v>
      </c>
      <c r="R95" s="29">
        <f t="shared" ref="R95:R132" si="41">H95-(I95+K95+M95+O95)</f>
        <v>3.5527136788005009E-15</v>
      </c>
      <c r="S95" s="31">
        <f t="shared" si="30"/>
        <v>3.0580555751240794E-15</v>
      </c>
      <c r="T95" s="30" t="s">
        <v>32</v>
      </c>
    </row>
    <row r="96" spans="1:20" s="1" customFormat="1" ht="56.25" customHeight="1" x14ac:dyDescent="0.25">
      <c r="A96" s="26" t="s">
        <v>189</v>
      </c>
      <c r="B96" s="34" t="s">
        <v>204</v>
      </c>
      <c r="C96" s="28" t="s">
        <v>205</v>
      </c>
      <c r="D96" s="29">
        <v>39.220567549999998</v>
      </c>
      <c r="E96" s="29">
        <v>38.43388143</v>
      </c>
      <c r="F96" s="29">
        <f t="shared" si="38"/>
        <v>0.78668611999999882</v>
      </c>
      <c r="G96" s="30">
        <v>0.78668611999999993</v>
      </c>
      <c r="H96" s="29">
        <f t="shared" si="39"/>
        <v>0.78668611999999993</v>
      </c>
      <c r="I96" s="29">
        <v>0.78668611999999993</v>
      </c>
      <c r="J96" s="29">
        <f>786.68612/1000</f>
        <v>0.78668611999999993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f t="shared" si="40"/>
        <v>-1.1102230246251565E-15</v>
      </c>
      <c r="R96" s="29">
        <f t="shared" si="41"/>
        <v>0</v>
      </c>
      <c r="S96" s="31">
        <f t="shared" si="30"/>
        <v>0</v>
      </c>
      <c r="T96" s="29" t="s">
        <v>32</v>
      </c>
    </row>
    <row r="97" spans="1:20" s="1" customFormat="1" ht="56.25" customHeight="1" x14ac:dyDescent="0.25">
      <c r="A97" s="26" t="s">
        <v>189</v>
      </c>
      <c r="B97" s="34" t="s">
        <v>206</v>
      </c>
      <c r="C97" s="28" t="s">
        <v>207</v>
      </c>
      <c r="D97" s="29">
        <v>19.989625669999999</v>
      </c>
      <c r="E97" s="29">
        <v>18.85125227</v>
      </c>
      <c r="F97" s="29">
        <f t="shared" si="38"/>
        <v>1.138373399999999</v>
      </c>
      <c r="G97" s="30">
        <v>1.1383733999999999</v>
      </c>
      <c r="H97" s="29">
        <f t="shared" si="39"/>
        <v>1.1383733999999999</v>
      </c>
      <c r="I97" s="29">
        <v>1.1383733999999999</v>
      </c>
      <c r="J97" s="29">
        <f>1138.3734/1000</f>
        <v>1.1383733999999999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f t="shared" si="40"/>
        <v>0</v>
      </c>
      <c r="R97" s="29">
        <f t="shared" si="41"/>
        <v>0</v>
      </c>
      <c r="S97" s="31">
        <f t="shared" si="30"/>
        <v>0</v>
      </c>
      <c r="T97" s="29" t="s">
        <v>32</v>
      </c>
    </row>
    <row r="98" spans="1:20" s="1" customFormat="1" ht="56.25" customHeight="1" x14ac:dyDescent="0.25">
      <c r="A98" s="26" t="s">
        <v>189</v>
      </c>
      <c r="B98" s="34" t="s">
        <v>208</v>
      </c>
      <c r="C98" s="28" t="s">
        <v>209</v>
      </c>
      <c r="D98" s="29">
        <v>167.343675074</v>
      </c>
      <c r="E98" s="29">
        <v>20.195947800000003</v>
      </c>
      <c r="F98" s="29">
        <f t="shared" si="38"/>
        <v>147.147727274</v>
      </c>
      <c r="G98" s="30">
        <v>63.633706042</v>
      </c>
      <c r="H98" s="29">
        <f t="shared" si="39"/>
        <v>55.951233179999996</v>
      </c>
      <c r="I98" s="29">
        <v>0.86721132000000001</v>
      </c>
      <c r="J98" s="29">
        <f>0.04839/1000</f>
        <v>4.8390000000000003E-5</v>
      </c>
      <c r="K98" s="29">
        <v>12.387426520000002</v>
      </c>
      <c r="L98" s="29">
        <v>25.238896709999999</v>
      </c>
      <c r="M98" s="29">
        <v>31.651875329999999</v>
      </c>
      <c r="N98" s="29">
        <v>15.28971106</v>
      </c>
      <c r="O98" s="29">
        <f>G98-I98-K98-M98</f>
        <v>18.727192872</v>
      </c>
      <c r="P98" s="29">
        <f>15422.57702/1000</f>
        <v>15.42257702</v>
      </c>
      <c r="Q98" s="29">
        <f t="shared" si="40"/>
        <v>91.196494094000002</v>
      </c>
      <c r="R98" s="29">
        <f t="shared" si="41"/>
        <v>-7.6824728620000045</v>
      </c>
      <c r="S98" s="31">
        <f t="shared" si="30"/>
        <v>-0.120729615479717</v>
      </c>
      <c r="T98" s="43" t="s">
        <v>195</v>
      </c>
    </row>
    <row r="99" spans="1:20" s="1" customFormat="1" ht="56.25" customHeight="1" x14ac:dyDescent="0.25">
      <c r="A99" s="26" t="s">
        <v>189</v>
      </c>
      <c r="B99" s="34" t="s">
        <v>210</v>
      </c>
      <c r="C99" s="28" t="s">
        <v>211</v>
      </c>
      <c r="D99" s="29">
        <v>17.847767000000001</v>
      </c>
      <c r="E99" s="29">
        <v>0</v>
      </c>
      <c r="F99" s="29">
        <f t="shared" si="38"/>
        <v>17.847767000000001</v>
      </c>
      <c r="G99" s="30">
        <v>17.847767000000001</v>
      </c>
      <c r="H99" s="29">
        <f t="shared" si="39"/>
        <v>15.71821327</v>
      </c>
      <c r="I99" s="29">
        <v>0</v>
      </c>
      <c r="J99" s="29">
        <f>9.91025/1000</f>
        <v>9.9102499999999989E-3</v>
      </c>
      <c r="K99" s="29">
        <v>4.7051898000000003</v>
      </c>
      <c r="L99" s="29">
        <v>5.6918303999999997</v>
      </c>
      <c r="M99" s="29">
        <v>7.8896348099999996</v>
      </c>
      <c r="N99" s="29">
        <v>7.3199757600000002</v>
      </c>
      <c r="O99" s="29">
        <f>G99-I99-K99-M99</f>
        <v>5.2529423900000021</v>
      </c>
      <c r="P99" s="29">
        <f>2696.49686/1000</f>
        <v>2.6964968600000003</v>
      </c>
      <c r="Q99" s="29">
        <f t="shared" si="40"/>
        <v>2.1295537300000014</v>
      </c>
      <c r="R99" s="29">
        <f t="shared" si="41"/>
        <v>-2.1295537300000014</v>
      </c>
      <c r="S99" s="31">
        <f t="shared" si="30"/>
        <v>-0.11931765637684542</v>
      </c>
      <c r="T99" s="43" t="s">
        <v>195</v>
      </c>
    </row>
    <row r="100" spans="1:20" s="1" customFormat="1" ht="56.25" customHeight="1" x14ac:dyDescent="0.25">
      <c r="A100" s="26" t="s">
        <v>189</v>
      </c>
      <c r="B100" s="34" t="s">
        <v>212</v>
      </c>
      <c r="C100" s="28" t="s">
        <v>213</v>
      </c>
      <c r="D100" s="29">
        <v>136.93549514</v>
      </c>
      <c r="E100" s="29">
        <v>64.946736799999996</v>
      </c>
      <c r="F100" s="29">
        <f t="shared" si="38"/>
        <v>71.988758340000004</v>
      </c>
      <c r="G100" s="30">
        <v>0.98072952000000002</v>
      </c>
      <c r="H100" s="29">
        <f t="shared" si="39"/>
        <v>0.98072952000000002</v>
      </c>
      <c r="I100" s="29">
        <v>0.98072952000000002</v>
      </c>
      <c r="J100" s="29">
        <f>980.72952/1000</f>
        <v>0.98072952000000002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f t="shared" si="40"/>
        <v>71.008028820000007</v>
      </c>
      <c r="R100" s="29">
        <f t="shared" si="41"/>
        <v>0</v>
      </c>
      <c r="S100" s="31">
        <f t="shared" si="30"/>
        <v>0</v>
      </c>
      <c r="T100" s="29" t="s">
        <v>32</v>
      </c>
    </row>
    <row r="101" spans="1:20" s="1" customFormat="1" ht="47.25" x14ac:dyDescent="0.25">
      <c r="A101" s="26" t="s">
        <v>189</v>
      </c>
      <c r="B101" s="34" t="s">
        <v>214</v>
      </c>
      <c r="C101" s="28" t="s">
        <v>215</v>
      </c>
      <c r="D101" s="29">
        <v>171.46098276097325</v>
      </c>
      <c r="E101" s="29">
        <v>20.50012151</v>
      </c>
      <c r="F101" s="29">
        <f t="shared" si="38"/>
        <v>150.96086125097327</v>
      </c>
      <c r="G101" s="30">
        <v>33.100599386834077</v>
      </c>
      <c r="H101" s="29">
        <f t="shared" si="39"/>
        <v>29.687673499999995</v>
      </c>
      <c r="I101" s="29">
        <v>0</v>
      </c>
      <c r="J101" s="29">
        <f>8126.9831/1000</f>
        <v>8.1269831000000003</v>
      </c>
      <c r="K101" s="29">
        <v>10.29394162</v>
      </c>
      <c r="L101" s="29">
        <v>12.518976159999999</v>
      </c>
      <c r="M101" s="29">
        <v>18.86421116</v>
      </c>
      <c r="N101" s="29">
        <v>2.9561552099999999</v>
      </c>
      <c r="O101" s="29">
        <f>G101-I101-K101-M101</f>
        <v>3.9424466068340784</v>
      </c>
      <c r="P101" s="29">
        <f>6085.55903/1000</f>
        <v>6.0855590300000006</v>
      </c>
      <c r="Q101" s="29">
        <f t="shared" si="40"/>
        <v>121.27318775097328</v>
      </c>
      <c r="R101" s="29">
        <f t="shared" si="41"/>
        <v>-3.4129258868340813</v>
      </c>
      <c r="S101" s="31">
        <f t="shared" si="30"/>
        <v>-0.10310767629759565</v>
      </c>
      <c r="T101" s="29" t="s">
        <v>86</v>
      </c>
    </row>
    <row r="102" spans="1:20" s="1" customFormat="1" ht="71.25" customHeight="1" x14ac:dyDescent="0.25">
      <c r="A102" s="26" t="s">
        <v>189</v>
      </c>
      <c r="B102" s="34" t="s">
        <v>216</v>
      </c>
      <c r="C102" s="28" t="s">
        <v>217</v>
      </c>
      <c r="D102" s="29">
        <v>131.079796784</v>
      </c>
      <c r="E102" s="29">
        <v>120.26512955</v>
      </c>
      <c r="F102" s="29">
        <f t="shared" si="38"/>
        <v>10.814667233999998</v>
      </c>
      <c r="G102" s="30">
        <v>10.043907234000001</v>
      </c>
      <c r="H102" s="29">
        <f t="shared" si="39"/>
        <v>8.8760820500000008</v>
      </c>
      <c r="I102" s="29">
        <v>0</v>
      </c>
      <c r="J102" s="29">
        <v>0</v>
      </c>
      <c r="K102" s="29">
        <v>2.6190760900000001</v>
      </c>
      <c r="L102" s="29">
        <v>3.46278161</v>
      </c>
      <c r="M102" s="29">
        <v>4.8301509400000002</v>
      </c>
      <c r="N102" s="29">
        <v>5.0818736399999995</v>
      </c>
      <c r="O102" s="29">
        <f>G102-I102-K102-M102</f>
        <v>2.5946802040000003</v>
      </c>
      <c r="P102" s="29">
        <f>331.4268/1000</f>
        <v>0.33142680000000002</v>
      </c>
      <c r="Q102" s="29">
        <f t="shared" si="40"/>
        <v>1.9385851839999972</v>
      </c>
      <c r="R102" s="29">
        <f t="shared" si="41"/>
        <v>-1.1678251839999998</v>
      </c>
      <c r="S102" s="31">
        <f t="shared" si="30"/>
        <v>-0.11627200020792225</v>
      </c>
      <c r="T102" s="29" t="s">
        <v>86</v>
      </c>
    </row>
    <row r="103" spans="1:20" s="1" customFormat="1" ht="47.25" x14ac:dyDescent="0.25">
      <c r="A103" s="26" t="s">
        <v>189</v>
      </c>
      <c r="B103" s="34" t="s">
        <v>218</v>
      </c>
      <c r="C103" s="28" t="s">
        <v>219</v>
      </c>
      <c r="D103" s="29">
        <v>282.31409908300003</v>
      </c>
      <c r="E103" s="29">
        <v>131.28150421999999</v>
      </c>
      <c r="F103" s="29">
        <f t="shared" si="38"/>
        <v>151.03259486300004</v>
      </c>
      <c r="G103" s="30">
        <v>33.545047536088767</v>
      </c>
      <c r="H103" s="29">
        <f t="shared" si="39"/>
        <v>29.62259048</v>
      </c>
      <c r="I103" s="29">
        <v>2.5861716700000001</v>
      </c>
      <c r="J103" s="29">
        <f>2365.31486/1000</f>
        <v>2.3653148599999998</v>
      </c>
      <c r="K103" s="29">
        <v>7.9352954900000006</v>
      </c>
      <c r="L103" s="29">
        <v>9.0897581600000006</v>
      </c>
      <c r="M103" s="29">
        <v>17.689082800000001</v>
      </c>
      <c r="N103" s="29">
        <v>16.032099410000001</v>
      </c>
      <c r="O103" s="29">
        <f>G103-I103-K103-M103</f>
        <v>5.334497576088765</v>
      </c>
      <c r="P103" s="29">
        <f>2135.41805/1000</f>
        <v>2.1354180500000002</v>
      </c>
      <c r="Q103" s="29">
        <f t="shared" si="40"/>
        <v>121.41000438300004</v>
      </c>
      <c r="R103" s="29">
        <f t="shared" si="41"/>
        <v>-3.922457056088767</v>
      </c>
      <c r="S103" s="31">
        <f t="shared" si="30"/>
        <v>-0.11693103287061586</v>
      </c>
      <c r="T103" s="29" t="s">
        <v>86</v>
      </c>
    </row>
    <row r="104" spans="1:20" s="1" customFormat="1" ht="47.25" x14ac:dyDescent="0.25">
      <c r="A104" s="26" t="s">
        <v>189</v>
      </c>
      <c r="B104" s="34" t="s">
        <v>220</v>
      </c>
      <c r="C104" s="28" t="s">
        <v>221</v>
      </c>
      <c r="D104" s="29">
        <v>551.9275702356</v>
      </c>
      <c r="E104" s="29">
        <v>186.18836367</v>
      </c>
      <c r="F104" s="29">
        <f t="shared" si="38"/>
        <v>365.7392065656</v>
      </c>
      <c r="G104" s="30">
        <v>33.346129417796924</v>
      </c>
      <c r="H104" s="29">
        <f t="shared" si="39"/>
        <v>26.964172210000001</v>
      </c>
      <c r="I104" s="29">
        <v>5.3263999999999996</v>
      </c>
      <c r="J104" s="29">
        <f>5272.86013/1000</f>
        <v>5.2728601299999998</v>
      </c>
      <c r="K104" s="29">
        <v>6.88240417</v>
      </c>
      <c r="L104" s="29">
        <v>8.6274495800000004</v>
      </c>
      <c r="M104" s="29">
        <v>14.75705293</v>
      </c>
      <c r="N104" s="29">
        <v>6.8411840399999999</v>
      </c>
      <c r="O104" s="29">
        <f>G104-I104-K104-M104</f>
        <v>6.3802723177969227</v>
      </c>
      <c r="P104" s="29">
        <f>6222.67846/1000</f>
        <v>6.22267846</v>
      </c>
      <c r="Q104" s="29">
        <f t="shared" si="40"/>
        <v>338.77503435559998</v>
      </c>
      <c r="R104" s="29">
        <f t="shared" si="41"/>
        <v>-6.3819572077969227</v>
      </c>
      <c r="S104" s="31">
        <f t="shared" si="30"/>
        <v>-0.19138524678042107</v>
      </c>
      <c r="T104" s="29" t="s">
        <v>86</v>
      </c>
    </row>
    <row r="105" spans="1:20" s="1" customFormat="1" ht="58.5" customHeight="1" x14ac:dyDescent="0.25">
      <c r="A105" s="26" t="s">
        <v>189</v>
      </c>
      <c r="B105" s="36" t="s">
        <v>222</v>
      </c>
      <c r="C105" s="30" t="s">
        <v>223</v>
      </c>
      <c r="D105" s="29">
        <v>130.44159499599999</v>
      </c>
      <c r="E105" s="29">
        <v>8.7982014599999996</v>
      </c>
      <c r="F105" s="29">
        <f t="shared" si="38"/>
        <v>121.64339353599999</v>
      </c>
      <c r="G105" s="30">
        <v>15.709397020000001</v>
      </c>
      <c r="H105" s="29">
        <f t="shared" si="39"/>
        <v>13.06425761</v>
      </c>
      <c r="I105" s="29">
        <v>0</v>
      </c>
      <c r="J105" s="29">
        <f>16.3776/1000</f>
        <v>1.6377600000000003E-2</v>
      </c>
      <c r="K105" s="29">
        <v>3.0075661399999998</v>
      </c>
      <c r="L105" s="29">
        <v>5.9621557599999999</v>
      </c>
      <c r="M105" s="29">
        <v>9.3971946400000004</v>
      </c>
      <c r="N105" s="29">
        <v>5.6916072099999999</v>
      </c>
      <c r="O105" s="29">
        <f>G105-I105-K105-M105</f>
        <v>3.3046362400000007</v>
      </c>
      <c r="P105" s="29">
        <f>1394.11704/1000</f>
        <v>1.39411704</v>
      </c>
      <c r="Q105" s="29">
        <f t="shared" si="40"/>
        <v>108.57913592599999</v>
      </c>
      <c r="R105" s="29">
        <f t="shared" si="41"/>
        <v>-2.6451394100000005</v>
      </c>
      <c r="S105" s="31">
        <f t="shared" si="30"/>
        <v>-0.16837943599187236</v>
      </c>
      <c r="T105" s="29" t="s">
        <v>86</v>
      </c>
    </row>
    <row r="106" spans="1:20" s="1" customFormat="1" ht="47.25" x14ac:dyDescent="0.25">
      <c r="A106" s="26" t="s">
        <v>189</v>
      </c>
      <c r="B106" s="36" t="s">
        <v>224</v>
      </c>
      <c r="C106" s="30" t="s">
        <v>225</v>
      </c>
      <c r="D106" s="29">
        <v>344.77774226571955</v>
      </c>
      <c r="E106" s="29">
        <v>0</v>
      </c>
      <c r="F106" s="29">
        <f t="shared" si="38"/>
        <v>344.77774226571955</v>
      </c>
      <c r="G106" s="30">
        <v>31.732188275734281</v>
      </c>
      <c r="H106" s="29">
        <f t="shared" si="39"/>
        <v>27.901938140000002</v>
      </c>
      <c r="I106" s="29">
        <v>0</v>
      </c>
      <c r="J106" s="29">
        <f>101.68559/1000</f>
        <v>0.10168559000000001</v>
      </c>
      <c r="K106" s="29">
        <v>11.364300499999999</v>
      </c>
      <c r="L106" s="29">
        <v>9.7263128600000002</v>
      </c>
      <c r="M106" s="29">
        <f>G106-I106-K106</f>
        <v>20.367887775734282</v>
      </c>
      <c r="N106" s="29">
        <v>8.881451310000001</v>
      </c>
      <c r="O106" s="29">
        <v>0</v>
      </c>
      <c r="P106" s="29">
        <f>9192.48838/1000</f>
        <v>9.1924883800000003</v>
      </c>
      <c r="Q106" s="29">
        <f t="shared" si="40"/>
        <v>316.87580412571953</v>
      </c>
      <c r="R106" s="29">
        <f t="shared" si="41"/>
        <v>-3.8302501357342784</v>
      </c>
      <c r="S106" s="31">
        <f t="shared" si="30"/>
        <v>-0.12070551524690419</v>
      </c>
      <c r="T106" s="29" t="s">
        <v>86</v>
      </c>
    </row>
    <row r="107" spans="1:20" s="1" customFormat="1" ht="31.5" x14ac:dyDescent="0.25">
      <c r="A107" s="18" t="s">
        <v>226</v>
      </c>
      <c r="B107" s="22" t="s">
        <v>227</v>
      </c>
      <c r="C107" s="20" t="s">
        <v>31</v>
      </c>
      <c r="D107" s="7">
        <f t="shared" ref="D107:R107" si="42">SUM(D108:D132)</f>
        <v>3189.4709461297639</v>
      </c>
      <c r="E107" s="7">
        <f t="shared" si="42"/>
        <v>610.94488724000007</v>
      </c>
      <c r="F107" s="7">
        <f t="shared" si="42"/>
        <v>2578.526058889765</v>
      </c>
      <c r="G107" s="7">
        <f t="shared" si="42"/>
        <v>355.92639792289754</v>
      </c>
      <c r="H107" s="7">
        <f t="shared" si="42"/>
        <v>248.66239819999998</v>
      </c>
      <c r="I107" s="7">
        <f t="shared" si="42"/>
        <v>8.9935508619999958</v>
      </c>
      <c r="J107" s="7">
        <f t="shared" si="42"/>
        <v>45.541351269999986</v>
      </c>
      <c r="K107" s="7">
        <f t="shared" si="42"/>
        <v>14.006023000000001</v>
      </c>
      <c r="L107" s="7">
        <f t="shared" si="42"/>
        <v>27.507162540000003</v>
      </c>
      <c r="M107" s="7">
        <f t="shared" si="42"/>
        <v>57.161939060000009</v>
      </c>
      <c r="N107" s="7">
        <f t="shared" si="42"/>
        <v>71.669371240000004</v>
      </c>
      <c r="O107" s="7">
        <f t="shared" si="42"/>
        <v>275.76488500090005</v>
      </c>
      <c r="P107" s="7">
        <f t="shared" si="42"/>
        <v>103.94451315000002</v>
      </c>
      <c r="Q107" s="7">
        <f t="shared" si="42"/>
        <v>2329.8636606897644</v>
      </c>
      <c r="R107" s="7">
        <f t="shared" si="42"/>
        <v>-107.2639997229</v>
      </c>
      <c r="S107" s="21">
        <f>R107/(I107+K107+M107+O107)</f>
        <v>-0.30136567658051394</v>
      </c>
      <c r="T107" s="7" t="s">
        <v>32</v>
      </c>
    </row>
    <row r="108" spans="1:20" s="1" customFormat="1" ht="54.75" customHeight="1" x14ac:dyDescent="0.25">
      <c r="A108" s="26" t="s">
        <v>226</v>
      </c>
      <c r="B108" s="34" t="s">
        <v>228</v>
      </c>
      <c r="C108" s="30" t="s">
        <v>229</v>
      </c>
      <c r="D108" s="29">
        <v>293.55357750220003</v>
      </c>
      <c r="E108" s="29">
        <v>76.357946229999996</v>
      </c>
      <c r="F108" s="29">
        <f>D108-E108</f>
        <v>217.19563127220005</v>
      </c>
      <c r="G108" s="30">
        <v>1.1639999999999999</v>
      </c>
      <c r="H108" s="29">
        <f t="shared" ref="H108:H126" si="43">J108+L108+N108+P108</f>
        <v>0.31619207999999999</v>
      </c>
      <c r="I108" s="29">
        <v>0.29099999999999998</v>
      </c>
      <c r="J108" s="29">
        <v>0.28089158999999997</v>
      </c>
      <c r="K108" s="29">
        <v>0.29099999999999998</v>
      </c>
      <c r="L108" s="29">
        <v>0.28089159000000008</v>
      </c>
      <c r="M108" s="29">
        <v>0.29099999999999998</v>
      </c>
      <c r="N108" s="29">
        <v>0.18726105999999998</v>
      </c>
      <c r="O108" s="29">
        <v>0.29099999999999998</v>
      </c>
      <c r="P108" s="29">
        <v>-0.43285216000000004</v>
      </c>
      <c r="Q108" s="29">
        <f t="shared" ref="Q108:Q132" si="44">F108-H108</f>
        <v>216.87943919220004</v>
      </c>
      <c r="R108" s="29">
        <f t="shared" si="41"/>
        <v>-0.84780791999999994</v>
      </c>
      <c r="S108" s="31">
        <f t="shared" si="30"/>
        <v>-0.72835731958762884</v>
      </c>
      <c r="T108" s="29" t="s">
        <v>134</v>
      </c>
    </row>
    <row r="109" spans="1:20" s="1" customFormat="1" ht="51.75" customHeight="1" x14ac:dyDescent="0.25">
      <c r="A109" s="26" t="s">
        <v>226</v>
      </c>
      <c r="B109" s="34" t="s">
        <v>230</v>
      </c>
      <c r="C109" s="28" t="s">
        <v>231</v>
      </c>
      <c r="D109" s="29">
        <v>94.194123047999994</v>
      </c>
      <c r="E109" s="29">
        <v>3.9088828800000002</v>
      </c>
      <c r="F109" s="29">
        <f>D109-E109</f>
        <v>90.285240168000001</v>
      </c>
      <c r="G109" s="30">
        <v>90.143596967999997</v>
      </c>
      <c r="H109" s="29">
        <f t="shared" si="43"/>
        <v>63.042282920000005</v>
      </c>
      <c r="I109" s="29">
        <v>0</v>
      </c>
      <c r="J109" s="29">
        <v>4.7642490799999999</v>
      </c>
      <c r="K109" s="29">
        <v>0</v>
      </c>
      <c r="L109" s="29">
        <v>11.915632780000001</v>
      </c>
      <c r="M109" s="29">
        <v>0</v>
      </c>
      <c r="N109" s="29">
        <v>38.216618660000002</v>
      </c>
      <c r="O109" s="29">
        <v>90.143596967999997</v>
      </c>
      <c r="P109" s="29">
        <v>8.1457823999999999</v>
      </c>
      <c r="Q109" s="29">
        <f t="shared" si="44"/>
        <v>27.242957247999996</v>
      </c>
      <c r="R109" s="29">
        <f t="shared" si="41"/>
        <v>-27.101314047999992</v>
      </c>
      <c r="S109" s="31">
        <f t="shared" si="30"/>
        <v>-0.30064602433848592</v>
      </c>
      <c r="T109" s="29" t="s">
        <v>232</v>
      </c>
    </row>
    <row r="110" spans="1:20" s="1" customFormat="1" ht="31.5" x14ac:dyDescent="0.25">
      <c r="A110" s="26" t="s">
        <v>226</v>
      </c>
      <c r="B110" s="38" t="s">
        <v>233</v>
      </c>
      <c r="C110" s="29" t="s">
        <v>234</v>
      </c>
      <c r="D110" s="28">
        <v>224.08759464800002</v>
      </c>
      <c r="E110" s="29">
        <v>1.0138309999999999</v>
      </c>
      <c r="F110" s="29">
        <f>D110-E110</f>
        <v>223.07376364800001</v>
      </c>
      <c r="G110" s="30">
        <v>4.1461689979999994</v>
      </c>
      <c r="H110" s="29">
        <f t="shared" si="43"/>
        <v>4.1835789999999999</v>
      </c>
      <c r="I110" s="29">
        <v>0</v>
      </c>
      <c r="J110" s="29">
        <v>1.5949516100000001</v>
      </c>
      <c r="K110" s="29">
        <v>0</v>
      </c>
      <c r="L110" s="29">
        <v>2.5886273899999996</v>
      </c>
      <c r="M110" s="29">
        <v>0</v>
      </c>
      <c r="N110" s="29">
        <v>0</v>
      </c>
      <c r="O110" s="29">
        <v>4.1461689979999994</v>
      </c>
      <c r="P110" s="29">
        <v>0</v>
      </c>
      <c r="Q110" s="29">
        <f t="shared" si="44"/>
        <v>218.890184648</v>
      </c>
      <c r="R110" s="29">
        <f t="shared" si="41"/>
        <v>3.7410002000000553E-2</v>
      </c>
      <c r="S110" s="31">
        <f t="shared" si="30"/>
        <v>9.0227875462978308E-3</v>
      </c>
      <c r="T110" s="29" t="s">
        <v>32</v>
      </c>
    </row>
    <row r="111" spans="1:20" s="1" customFormat="1" ht="31.5" x14ac:dyDescent="0.25">
      <c r="A111" s="26" t="s">
        <v>226</v>
      </c>
      <c r="B111" s="34" t="s">
        <v>235</v>
      </c>
      <c r="C111" s="28" t="s">
        <v>236</v>
      </c>
      <c r="D111" s="29">
        <v>186.44236232999998</v>
      </c>
      <c r="E111" s="29">
        <v>186.39707372999999</v>
      </c>
      <c r="F111" s="29">
        <v>4.5288600000000005E-2</v>
      </c>
      <c r="G111" s="30">
        <v>4.5288600000000005E-2</v>
      </c>
      <c r="H111" s="29">
        <f t="shared" si="43"/>
        <v>4.5288600000000005E-2</v>
      </c>
      <c r="I111" s="29">
        <v>4.5288600000000005E-2</v>
      </c>
      <c r="J111" s="29">
        <v>4.5288600000000005E-2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f t="shared" si="44"/>
        <v>0</v>
      </c>
      <c r="R111" s="29">
        <f t="shared" si="41"/>
        <v>0</v>
      </c>
      <c r="S111" s="31">
        <f t="shared" si="30"/>
        <v>0</v>
      </c>
      <c r="T111" s="29" t="s">
        <v>237</v>
      </c>
    </row>
    <row r="112" spans="1:20" s="1" customFormat="1" x14ac:dyDescent="0.25">
      <c r="A112" s="26" t="s">
        <v>226</v>
      </c>
      <c r="B112" s="34" t="s">
        <v>238</v>
      </c>
      <c r="C112" s="28" t="s">
        <v>239</v>
      </c>
      <c r="D112" s="29">
        <v>8.595600000000001</v>
      </c>
      <c r="E112" s="29">
        <f>D112-F112</f>
        <v>0</v>
      </c>
      <c r="F112" s="29">
        <v>8.595600000000001</v>
      </c>
      <c r="G112" s="30">
        <v>8.4377340239999992</v>
      </c>
      <c r="H112" s="29">
        <f t="shared" si="43"/>
        <v>6.0923197000000009</v>
      </c>
      <c r="I112" s="29">
        <v>0</v>
      </c>
      <c r="J112" s="29">
        <v>4.9320000000000004</v>
      </c>
      <c r="K112" s="29">
        <v>0</v>
      </c>
      <c r="L112" s="29">
        <v>0.5636629000000003</v>
      </c>
      <c r="M112" s="29">
        <v>0</v>
      </c>
      <c r="N112" s="29">
        <v>0</v>
      </c>
      <c r="O112" s="29">
        <v>8.4377340239999992</v>
      </c>
      <c r="P112" s="29">
        <v>0.59665679999999999</v>
      </c>
      <c r="Q112" s="29">
        <f t="shared" si="44"/>
        <v>2.5032803000000001</v>
      </c>
      <c r="R112" s="29">
        <f t="shared" si="41"/>
        <v>-2.3454143239999983</v>
      </c>
      <c r="S112" s="31">
        <f t="shared" si="30"/>
        <v>-0.27796732124155404</v>
      </c>
      <c r="T112" s="29" t="s">
        <v>240</v>
      </c>
    </row>
    <row r="113" spans="1:20" s="1" customFormat="1" x14ac:dyDescent="0.25">
      <c r="A113" s="26" t="s">
        <v>226</v>
      </c>
      <c r="B113" s="34" t="s">
        <v>241</v>
      </c>
      <c r="C113" s="28" t="s">
        <v>242</v>
      </c>
      <c r="D113" s="29">
        <v>4.7375999999999996</v>
      </c>
      <c r="E113" s="29">
        <f t="shared" ref="E113:E114" si="45">D113-F113</f>
        <v>0</v>
      </c>
      <c r="F113" s="29">
        <v>4.7375999999999996</v>
      </c>
      <c r="G113" s="30">
        <v>4.6506248560000003</v>
      </c>
      <c r="H113" s="29">
        <f t="shared" si="43"/>
        <v>2.7429336000000002</v>
      </c>
      <c r="I113" s="29">
        <v>0</v>
      </c>
      <c r="J113" s="29">
        <v>2.4660000000000002</v>
      </c>
      <c r="K113" s="29">
        <v>0</v>
      </c>
      <c r="L113" s="29">
        <v>0</v>
      </c>
      <c r="M113" s="29">
        <v>0</v>
      </c>
      <c r="N113" s="29">
        <v>0</v>
      </c>
      <c r="O113" s="29">
        <v>4.6506248560000003</v>
      </c>
      <c r="P113" s="29">
        <v>0.2769336</v>
      </c>
      <c r="Q113" s="29">
        <f t="shared" si="44"/>
        <v>1.9946663999999994</v>
      </c>
      <c r="R113" s="29">
        <f t="shared" si="41"/>
        <v>-1.9076912560000001</v>
      </c>
      <c r="S113" s="31">
        <f t="shared" si="30"/>
        <v>-0.41020106223764613</v>
      </c>
      <c r="T113" s="29" t="s">
        <v>240</v>
      </c>
    </row>
    <row r="114" spans="1:20" s="1" customFormat="1" x14ac:dyDescent="0.25">
      <c r="A114" s="26" t="s">
        <v>226</v>
      </c>
      <c r="B114" s="34" t="s">
        <v>243</v>
      </c>
      <c r="C114" s="28" t="s">
        <v>244</v>
      </c>
      <c r="D114" s="29">
        <v>14.303202801999999</v>
      </c>
      <c r="E114" s="29">
        <f t="shared" si="45"/>
        <v>11.52491659</v>
      </c>
      <c r="F114" s="29">
        <v>2.7782862119999994</v>
      </c>
      <c r="G114" s="30">
        <v>2.7290883008</v>
      </c>
      <c r="H114" s="29">
        <f t="shared" si="43"/>
        <v>2.3723376000000003</v>
      </c>
      <c r="I114" s="29">
        <v>0</v>
      </c>
      <c r="J114" s="29">
        <v>9.9023100000000003E-2</v>
      </c>
      <c r="K114" s="29">
        <v>0</v>
      </c>
      <c r="L114" s="29">
        <v>1.90158329</v>
      </c>
      <c r="M114" s="29">
        <v>0</v>
      </c>
      <c r="N114" s="29">
        <v>1E-8</v>
      </c>
      <c r="O114" s="29">
        <v>2.7290883008</v>
      </c>
      <c r="P114" s="29">
        <v>0.37173119999999998</v>
      </c>
      <c r="Q114" s="29">
        <f t="shared" si="44"/>
        <v>0.4059486119999991</v>
      </c>
      <c r="R114" s="29">
        <f t="shared" si="41"/>
        <v>-0.35675070079999971</v>
      </c>
      <c r="S114" s="31">
        <f t="shared" si="30"/>
        <v>-0.13072156760022108</v>
      </c>
      <c r="T114" s="29" t="s">
        <v>240</v>
      </c>
    </row>
    <row r="115" spans="1:20" s="1" customFormat="1" ht="69" customHeight="1" x14ac:dyDescent="0.25">
      <c r="A115" s="26" t="s">
        <v>226</v>
      </c>
      <c r="B115" s="34" t="s">
        <v>245</v>
      </c>
      <c r="C115" s="30" t="s">
        <v>246</v>
      </c>
      <c r="D115" s="29">
        <v>392.27368778248439</v>
      </c>
      <c r="E115" s="29">
        <v>55.531246360000004</v>
      </c>
      <c r="F115" s="29">
        <f t="shared" ref="F115:F130" si="46">D115-E115</f>
        <v>336.74244142248438</v>
      </c>
      <c r="G115" s="30">
        <v>21.69</v>
      </c>
      <c r="H115" s="29">
        <f t="shared" si="43"/>
        <v>18.748606519999999</v>
      </c>
      <c r="I115" s="29">
        <v>0</v>
      </c>
      <c r="J115" s="29">
        <v>0</v>
      </c>
      <c r="K115" s="29">
        <v>0</v>
      </c>
      <c r="L115" s="29">
        <v>1.8581903900000001</v>
      </c>
      <c r="M115" s="29">
        <v>2.88</v>
      </c>
      <c r="N115" s="29">
        <v>5.7956625400000004</v>
      </c>
      <c r="O115" s="29">
        <f>G115-I115-K115-M115</f>
        <v>18.810000000000002</v>
      </c>
      <c r="P115" s="29">
        <v>11.09475359</v>
      </c>
      <c r="Q115" s="29">
        <f t="shared" si="44"/>
        <v>317.99383490248437</v>
      </c>
      <c r="R115" s="29">
        <f t="shared" si="41"/>
        <v>-2.9413934800000021</v>
      </c>
      <c r="S115" s="31">
        <f t="shared" si="30"/>
        <v>-0.13561057999077925</v>
      </c>
      <c r="T115" s="29" t="s">
        <v>247</v>
      </c>
    </row>
    <row r="116" spans="1:20" s="1" customFormat="1" ht="42" customHeight="1" x14ac:dyDescent="0.25">
      <c r="A116" s="26" t="s">
        <v>226</v>
      </c>
      <c r="B116" s="42" t="s">
        <v>248</v>
      </c>
      <c r="C116" s="30" t="s">
        <v>249</v>
      </c>
      <c r="D116" s="29">
        <v>155.23289857</v>
      </c>
      <c r="E116" s="29">
        <v>64.164339229999996</v>
      </c>
      <c r="F116" s="29">
        <f t="shared" si="46"/>
        <v>91.068559340000007</v>
      </c>
      <c r="G116" s="30">
        <v>15.57387593</v>
      </c>
      <c r="H116" s="29">
        <f t="shared" si="43"/>
        <v>14.971727789999999</v>
      </c>
      <c r="I116" s="29">
        <v>1.402953262</v>
      </c>
      <c r="J116" s="29">
        <v>1.4888756999999992</v>
      </c>
      <c r="K116" s="29">
        <v>0</v>
      </c>
      <c r="L116" s="29">
        <v>1.7781169100000007</v>
      </c>
      <c r="M116" s="29">
        <v>0.16014618</v>
      </c>
      <c r="N116" s="29">
        <v>4.5324598199999997</v>
      </c>
      <c r="O116" s="29">
        <f>G116-I116-K116-M116</f>
        <v>14.010776487999999</v>
      </c>
      <c r="P116" s="29">
        <v>7.1722753599999995</v>
      </c>
      <c r="Q116" s="29">
        <f t="shared" si="44"/>
        <v>76.096831550000005</v>
      </c>
      <c r="R116" s="29">
        <f t="shared" si="41"/>
        <v>-0.60214814000000061</v>
      </c>
      <c r="S116" s="31">
        <f t="shared" si="30"/>
        <v>-3.8663987224919455E-2</v>
      </c>
      <c r="T116" s="29" t="s">
        <v>240</v>
      </c>
    </row>
    <row r="117" spans="1:20" s="1" customFormat="1" ht="31.5" x14ac:dyDescent="0.25">
      <c r="A117" s="26" t="s">
        <v>226</v>
      </c>
      <c r="B117" s="34" t="s">
        <v>250</v>
      </c>
      <c r="C117" s="28" t="s">
        <v>251</v>
      </c>
      <c r="D117" s="29">
        <v>116.17660000000001</v>
      </c>
      <c r="E117" s="29">
        <v>0.64900000000000002</v>
      </c>
      <c r="F117" s="29">
        <f t="shared" si="46"/>
        <v>115.52760000000001</v>
      </c>
      <c r="G117" s="30">
        <v>15.997200000000001</v>
      </c>
      <c r="H117" s="29">
        <f t="shared" si="43"/>
        <v>15.49460307</v>
      </c>
      <c r="I117" s="29">
        <v>0</v>
      </c>
      <c r="J117" s="29">
        <v>0.14846000000000001</v>
      </c>
      <c r="K117" s="29">
        <v>0</v>
      </c>
      <c r="L117" s="29">
        <v>1.57758124</v>
      </c>
      <c r="M117" s="29">
        <v>2.4</v>
      </c>
      <c r="N117" s="29">
        <v>2.3456125299999999</v>
      </c>
      <c r="O117" s="29">
        <f>G117-I117-K117-M117</f>
        <v>13.597200000000001</v>
      </c>
      <c r="P117" s="29">
        <v>11.422949300000001</v>
      </c>
      <c r="Q117" s="29">
        <f t="shared" si="44"/>
        <v>100.03299693000001</v>
      </c>
      <c r="R117" s="29">
        <f t="shared" si="41"/>
        <v>-0.50259693000000105</v>
      </c>
      <c r="S117" s="31">
        <f t="shared" si="30"/>
        <v>-3.1417806241092257E-2</v>
      </c>
      <c r="T117" s="29" t="s">
        <v>240</v>
      </c>
    </row>
    <row r="118" spans="1:20" s="1" customFormat="1" ht="31.5" x14ac:dyDescent="0.25">
      <c r="A118" s="26" t="s">
        <v>226</v>
      </c>
      <c r="B118" s="34" t="s">
        <v>252</v>
      </c>
      <c r="C118" s="30" t="s">
        <v>253</v>
      </c>
      <c r="D118" s="29">
        <v>227.411779336</v>
      </c>
      <c r="E118" s="29">
        <v>20.02756582</v>
      </c>
      <c r="F118" s="29">
        <f t="shared" si="46"/>
        <v>207.38421351599999</v>
      </c>
      <c r="G118" s="30">
        <v>30.621108996</v>
      </c>
      <c r="H118" s="29">
        <f t="shared" si="43"/>
        <v>26.914224269999998</v>
      </c>
      <c r="I118" s="29">
        <v>0.153109</v>
      </c>
      <c r="J118" s="29">
        <v>0.15379998999999997</v>
      </c>
      <c r="K118" s="29">
        <v>0</v>
      </c>
      <c r="L118" s="29">
        <v>3.24310901</v>
      </c>
      <c r="M118" s="29">
        <v>0</v>
      </c>
      <c r="N118" s="29">
        <v>9.1557301199999994</v>
      </c>
      <c r="O118" s="29">
        <v>30.467999996</v>
      </c>
      <c r="P118" s="29">
        <v>14.361585150000002</v>
      </c>
      <c r="Q118" s="29">
        <f t="shared" si="44"/>
        <v>180.46998924599998</v>
      </c>
      <c r="R118" s="29">
        <f t="shared" si="41"/>
        <v>-3.706884726000002</v>
      </c>
      <c r="S118" s="31">
        <f t="shared" si="30"/>
        <v>-0.1210565145267674</v>
      </c>
      <c r="T118" s="29" t="s">
        <v>240</v>
      </c>
    </row>
    <row r="119" spans="1:20" s="1" customFormat="1" ht="47.25" x14ac:dyDescent="0.25">
      <c r="A119" s="26" t="s">
        <v>226</v>
      </c>
      <c r="B119" s="34" t="s">
        <v>254</v>
      </c>
      <c r="C119" s="30" t="s">
        <v>255</v>
      </c>
      <c r="D119" s="29">
        <v>175.98054405599999</v>
      </c>
      <c r="E119" s="29">
        <v>1.7994999999999999</v>
      </c>
      <c r="F119" s="29">
        <f t="shared" si="46"/>
        <v>174.18104405599999</v>
      </c>
      <c r="G119" s="30">
        <v>16.838000000000001</v>
      </c>
      <c r="H119" s="29">
        <f t="shared" si="43"/>
        <v>15.9527561</v>
      </c>
      <c r="I119" s="29">
        <v>0</v>
      </c>
      <c r="J119" s="29">
        <v>0</v>
      </c>
      <c r="K119" s="29">
        <v>0</v>
      </c>
      <c r="L119" s="29">
        <v>1.57226566</v>
      </c>
      <c r="M119" s="29">
        <v>2.4</v>
      </c>
      <c r="N119" s="29">
        <v>0.61020799999999997</v>
      </c>
      <c r="O119" s="29">
        <f>G119-I119-K119-M119</f>
        <v>14.438000000000001</v>
      </c>
      <c r="P119" s="29">
        <v>13.770282440000001</v>
      </c>
      <c r="Q119" s="29">
        <f t="shared" si="44"/>
        <v>158.228287956</v>
      </c>
      <c r="R119" s="29">
        <f t="shared" si="41"/>
        <v>-0.88524390000000075</v>
      </c>
      <c r="S119" s="31">
        <f t="shared" si="30"/>
        <v>-5.2574171516807267E-2</v>
      </c>
      <c r="T119" s="29" t="s">
        <v>32</v>
      </c>
    </row>
    <row r="120" spans="1:20" s="1" customFormat="1" ht="31.5" x14ac:dyDescent="0.25">
      <c r="A120" s="26" t="s">
        <v>226</v>
      </c>
      <c r="B120" s="34" t="s">
        <v>256</v>
      </c>
      <c r="C120" s="30" t="s">
        <v>257</v>
      </c>
      <c r="D120" s="29">
        <v>141.23333166999998</v>
      </c>
      <c r="E120" s="29">
        <v>31.33457202</v>
      </c>
      <c r="F120" s="29">
        <f t="shared" si="46"/>
        <v>109.89875964999999</v>
      </c>
      <c r="G120" s="30">
        <v>9.3501373460000003</v>
      </c>
      <c r="H120" s="29">
        <f t="shared" si="43"/>
        <v>9.3736425400000005</v>
      </c>
      <c r="I120" s="29">
        <v>0.75999999999999635</v>
      </c>
      <c r="J120" s="29">
        <v>8.2477957800000006</v>
      </c>
      <c r="K120" s="29">
        <v>0</v>
      </c>
      <c r="L120" s="29">
        <v>0</v>
      </c>
      <c r="M120" s="29">
        <v>0</v>
      </c>
      <c r="N120" s="29">
        <v>0</v>
      </c>
      <c r="O120" s="29">
        <f>G120-I120-K120-M120</f>
        <v>8.5901373460000041</v>
      </c>
      <c r="P120" s="29">
        <v>1.1258467599999999</v>
      </c>
      <c r="Q120" s="29">
        <f t="shared" si="44"/>
        <v>100.52511710999998</v>
      </c>
      <c r="R120" s="29">
        <f t="shared" si="41"/>
        <v>2.3505194000000174E-2</v>
      </c>
      <c r="S120" s="31">
        <f t="shared" si="30"/>
        <v>2.5138875644490637E-3</v>
      </c>
      <c r="T120" s="29" t="s">
        <v>32</v>
      </c>
    </row>
    <row r="121" spans="1:20" s="1" customFormat="1" ht="31.5" x14ac:dyDescent="0.25">
      <c r="A121" s="26" t="s">
        <v>226</v>
      </c>
      <c r="B121" s="34" t="s">
        <v>258</v>
      </c>
      <c r="C121" s="28" t="s">
        <v>259</v>
      </c>
      <c r="D121" s="29">
        <v>422.33309861999999</v>
      </c>
      <c r="E121" s="29">
        <v>38.656462160000004</v>
      </c>
      <c r="F121" s="29">
        <f t="shared" si="46"/>
        <v>383.67663646</v>
      </c>
      <c r="G121" s="30">
        <v>35.06242228</v>
      </c>
      <c r="H121" s="29">
        <f t="shared" si="43"/>
        <v>41.107822769999999</v>
      </c>
      <c r="I121" s="29">
        <v>1.6392</v>
      </c>
      <c r="J121" s="29">
        <v>18.967793889999999</v>
      </c>
      <c r="K121" s="29">
        <v>0</v>
      </c>
      <c r="L121" s="29">
        <v>0</v>
      </c>
      <c r="M121" s="29">
        <v>2.88</v>
      </c>
      <c r="N121" s="29">
        <v>3.3852348600000002</v>
      </c>
      <c r="O121" s="29">
        <f>G121-I121-K121-M121</f>
        <v>30.543222279999998</v>
      </c>
      <c r="P121" s="29">
        <v>18.754794020000002</v>
      </c>
      <c r="Q121" s="29">
        <f t="shared" si="44"/>
        <v>342.56881369000001</v>
      </c>
      <c r="R121" s="29">
        <f t="shared" si="41"/>
        <v>6.0454004899999987</v>
      </c>
      <c r="S121" s="31">
        <f t="shared" si="30"/>
        <v>0.17241822147149152</v>
      </c>
      <c r="T121" s="29" t="s">
        <v>237</v>
      </c>
    </row>
    <row r="122" spans="1:20" s="1" customFormat="1" ht="31.5" x14ac:dyDescent="0.25">
      <c r="A122" s="26" t="s">
        <v>226</v>
      </c>
      <c r="B122" s="34" t="s">
        <v>260</v>
      </c>
      <c r="C122" s="28" t="s">
        <v>261</v>
      </c>
      <c r="D122" s="29">
        <v>29.717951399999997</v>
      </c>
      <c r="E122" s="29">
        <v>2.6579514</v>
      </c>
      <c r="F122" s="29">
        <f t="shared" si="46"/>
        <v>27.059999999999995</v>
      </c>
      <c r="G122" s="30">
        <v>27.06</v>
      </c>
      <c r="H122" s="29">
        <f t="shared" si="43"/>
        <v>0</v>
      </c>
      <c r="I122" s="29">
        <v>0</v>
      </c>
      <c r="J122" s="29">
        <v>0</v>
      </c>
      <c r="K122" s="29">
        <v>4.4420000000000002</v>
      </c>
      <c r="L122" s="29">
        <v>0</v>
      </c>
      <c r="M122" s="29">
        <v>20.797000000000001</v>
      </c>
      <c r="N122" s="29">
        <v>0</v>
      </c>
      <c r="O122" s="29">
        <v>1.821</v>
      </c>
      <c r="P122" s="29">
        <v>0</v>
      </c>
      <c r="Q122" s="29">
        <f t="shared" si="44"/>
        <v>27.059999999999995</v>
      </c>
      <c r="R122" s="29">
        <f t="shared" si="41"/>
        <v>-27.060000000000002</v>
      </c>
      <c r="S122" s="31">
        <f t="shared" si="30"/>
        <v>-1</v>
      </c>
      <c r="T122" s="29" t="s">
        <v>1213</v>
      </c>
    </row>
    <row r="123" spans="1:20" s="1" customFormat="1" ht="47.25" x14ac:dyDescent="0.25">
      <c r="A123" s="26" t="s">
        <v>226</v>
      </c>
      <c r="B123" s="34" t="s">
        <v>262</v>
      </c>
      <c r="C123" s="30" t="s">
        <v>263</v>
      </c>
      <c r="D123" s="29">
        <v>43.735175999999996</v>
      </c>
      <c r="E123" s="29">
        <v>0</v>
      </c>
      <c r="F123" s="29">
        <f t="shared" si="46"/>
        <v>43.735175999999996</v>
      </c>
      <c r="G123" s="30">
        <v>0.438</v>
      </c>
      <c r="H123" s="29">
        <f t="shared" si="43"/>
        <v>0.438</v>
      </c>
      <c r="I123" s="29">
        <v>0</v>
      </c>
      <c r="J123" s="29">
        <v>0.14741606000000002</v>
      </c>
      <c r="K123" s="29">
        <v>0</v>
      </c>
      <c r="L123" s="29">
        <v>0</v>
      </c>
      <c r="M123" s="29">
        <v>0</v>
      </c>
      <c r="N123" s="29">
        <v>0</v>
      </c>
      <c r="O123" s="29">
        <v>0.438</v>
      </c>
      <c r="P123" s="29">
        <v>0.29058393999999999</v>
      </c>
      <c r="Q123" s="29">
        <f t="shared" si="44"/>
        <v>43.297175999999993</v>
      </c>
      <c r="R123" s="29">
        <f t="shared" si="41"/>
        <v>0</v>
      </c>
      <c r="S123" s="31">
        <f t="shared" si="30"/>
        <v>0</v>
      </c>
      <c r="T123" s="29" t="s">
        <v>32</v>
      </c>
    </row>
    <row r="124" spans="1:20" s="1" customFormat="1" ht="31.5" x14ac:dyDescent="0.25">
      <c r="A124" s="32" t="s">
        <v>226</v>
      </c>
      <c r="B124" s="40" t="s">
        <v>264</v>
      </c>
      <c r="C124" s="41" t="s">
        <v>265</v>
      </c>
      <c r="D124" s="29">
        <v>4.0105544679999996</v>
      </c>
      <c r="E124" s="29">
        <v>0</v>
      </c>
      <c r="F124" s="29">
        <f t="shared" si="46"/>
        <v>4.0105544679999996</v>
      </c>
      <c r="G124" s="30">
        <v>1.771128612</v>
      </c>
      <c r="H124" s="29">
        <f t="shared" si="43"/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f>G124-I124-K124-M124</f>
        <v>1.771128612</v>
      </c>
      <c r="P124" s="29">
        <v>0</v>
      </c>
      <c r="Q124" s="29">
        <f t="shared" si="44"/>
        <v>4.0105544679999996</v>
      </c>
      <c r="R124" s="29">
        <f t="shared" si="41"/>
        <v>-1.771128612</v>
      </c>
      <c r="S124" s="31">
        <f t="shared" si="30"/>
        <v>-1</v>
      </c>
      <c r="T124" s="29" t="s">
        <v>266</v>
      </c>
    </row>
    <row r="125" spans="1:20" s="1" customFormat="1" ht="31.5" x14ac:dyDescent="0.25">
      <c r="A125" s="41" t="s">
        <v>226</v>
      </c>
      <c r="B125" s="40" t="s">
        <v>267</v>
      </c>
      <c r="C125" s="41" t="s">
        <v>268</v>
      </c>
      <c r="D125" s="29">
        <v>83.624159645999995</v>
      </c>
      <c r="E125" s="29">
        <v>36.585623839999997</v>
      </c>
      <c r="F125" s="29">
        <f t="shared" si="46"/>
        <v>47.038535805999999</v>
      </c>
      <c r="G125" s="30">
        <v>34.277477509999997</v>
      </c>
      <c r="H125" s="29">
        <f t="shared" si="43"/>
        <v>23.474267349999998</v>
      </c>
      <c r="I125" s="29">
        <v>1.4</v>
      </c>
      <c r="J125" s="29">
        <v>0.30880258999999999</v>
      </c>
      <c r="K125" s="29">
        <v>5.2402230000000003</v>
      </c>
      <c r="L125" s="29">
        <v>9.5000000000000001E-2</v>
      </c>
      <c r="M125" s="29">
        <v>16.673504340000001</v>
      </c>
      <c r="N125" s="29">
        <v>7.4403636399999993</v>
      </c>
      <c r="O125" s="29">
        <f>G125-I125-K125-M125</f>
        <v>10.963750169999997</v>
      </c>
      <c r="P125" s="29">
        <v>15.630101119999999</v>
      </c>
      <c r="Q125" s="29">
        <f t="shared" si="44"/>
        <v>23.564268456000001</v>
      </c>
      <c r="R125" s="29">
        <f t="shared" si="41"/>
        <v>-10.803210159999999</v>
      </c>
      <c r="S125" s="31">
        <f t="shared" si="30"/>
        <v>-0.3151693457270392</v>
      </c>
      <c r="T125" s="29" t="s">
        <v>269</v>
      </c>
    </row>
    <row r="126" spans="1:20" s="1" customFormat="1" ht="47.25" x14ac:dyDescent="0.25">
      <c r="A126" s="26" t="s">
        <v>226</v>
      </c>
      <c r="B126" s="27" t="s">
        <v>270</v>
      </c>
      <c r="C126" s="28" t="s">
        <v>271</v>
      </c>
      <c r="D126" s="29">
        <v>76.560210158918991</v>
      </c>
      <c r="E126" s="29">
        <v>3.2821865300000002</v>
      </c>
      <c r="F126" s="29">
        <f t="shared" si="46"/>
        <v>73.278023628918987</v>
      </c>
      <c r="G126" s="30">
        <v>1.44</v>
      </c>
      <c r="H126" s="29">
        <f t="shared" si="43"/>
        <v>0.11977800000000001</v>
      </c>
      <c r="I126" s="29">
        <v>0</v>
      </c>
      <c r="J126" s="29">
        <v>0</v>
      </c>
      <c r="K126" s="29">
        <v>0.1</v>
      </c>
      <c r="L126" s="29">
        <v>0</v>
      </c>
      <c r="M126" s="29">
        <v>1.34</v>
      </c>
      <c r="N126" s="29">
        <v>0</v>
      </c>
      <c r="O126" s="29">
        <v>0</v>
      </c>
      <c r="P126" s="29">
        <v>0.11977800000000001</v>
      </c>
      <c r="Q126" s="29">
        <f t="shared" si="44"/>
        <v>73.158245628918991</v>
      </c>
      <c r="R126" s="29">
        <f t="shared" si="41"/>
        <v>-1.3202220000000002</v>
      </c>
      <c r="S126" s="31">
        <f t="shared" si="30"/>
        <v>-0.91682083333333342</v>
      </c>
      <c r="T126" s="29" t="s">
        <v>272</v>
      </c>
    </row>
    <row r="127" spans="1:20" s="1" customFormat="1" ht="81.75" customHeight="1" x14ac:dyDescent="0.25">
      <c r="A127" s="26" t="s">
        <v>226</v>
      </c>
      <c r="B127" s="27" t="s">
        <v>273</v>
      </c>
      <c r="C127" s="28" t="s">
        <v>274</v>
      </c>
      <c r="D127" s="29" t="s">
        <v>32</v>
      </c>
      <c r="E127" s="29" t="s">
        <v>32</v>
      </c>
      <c r="F127" s="29" t="s">
        <v>32</v>
      </c>
      <c r="G127" s="30" t="s">
        <v>32</v>
      </c>
      <c r="H127" s="29">
        <v>0</v>
      </c>
      <c r="I127" s="29" t="s">
        <v>32</v>
      </c>
      <c r="J127" s="29">
        <v>0</v>
      </c>
      <c r="K127" s="29" t="s">
        <v>32</v>
      </c>
      <c r="L127" s="29">
        <v>0</v>
      </c>
      <c r="M127" s="29" t="s">
        <v>32</v>
      </c>
      <c r="N127" s="29">
        <v>0</v>
      </c>
      <c r="O127" s="29" t="s">
        <v>32</v>
      </c>
      <c r="P127" s="29">
        <v>0</v>
      </c>
      <c r="Q127" s="29" t="s">
        <v>32</v>
      </c>
      <c r="R127" s="29" t="s">
        <v>32</v>
      </c>
      <c r="S127" s="31" t="s">
        <v>32</v>
      </c>
      <c r="T127" s="29" t="s">
        <v>275</v>
      </c>
    </row>
    <row r="128" spans="1:20" s="1" customFormat="1" ht="59.25" customHeight="1" x14ac:dyDescent="0.25">
      <c r="A128" s="26" t="s">
        <v>226</v>
      </c>
      <c r="B128" s="27" t="s">
        <v>276</v>
      </c>
      <c r="C128" s="28" t="s">
        <v>277</v>
      </c>
      <c r="D128" s="29">
        <v>77.563980892000004</v>
      </c>
      <c r="E128" s="29">
        <v>3.2485529999999998</v>
      </c>
      <c r="F128" s="29">
        <f t="shared" si="46"/>
        <v>74.315427892000002</v>
      </c>
      <c r="G128" s="30">
        <v>14.575088540000001</v>
      </c>
      <c r="H128" s="29">
        <f>J128+L128+N128+P128</f>
        <v>0</v>
      </c>
      <c r="I128" s="29">
        <v>3.302</v>
      </c>
      <c r="J128" s="29">
        <v>0</v>
      </c>
      <c r="K128" s="29">
        <v>3.9328000000000003</v>
      </c>
      <c r="L128" s="29">
        <v>0</v>
      </c>
      <c r="M128" s="29">
        <f>G128-I128-K128</f>
        <v>7.3402885400000013</v>
      </c>
      <c r="N128" s="29">
        <v>0</v>
      </c>
      <c r="O128" s="29">
        <v>0</v>
      </c>
      <c r="P128" s="29">
        <v>0</v>
      </c>
      <c r="Q128" s="29">
        <f t="shared" si="44"/>
        <v>74.315427892000002</v>
      </c>
      <c r="R128" s="29">
        <f t="shared" si="41"/>
        <v>-14.575088540000001</v>
      </c>
      <c r="S128" s="31">
        <f t="shared" si="30"/>
        <v>-1</v>
      </c>
      <c r="T128" s="29" t="s">
        <v>278</v>
      </c>
    </row>
    <row r="129" spans="1:20" s="1" customFormat="1" ht="31.5" x14ac:dyDescent="0.25">
      <c r="A129" s="26" t="s">
        <v>226</v>
      </c>
      <c r="B129" s="27" t="s">
        <v>279</v>
      </c>
      <c r="C129" s="28" t="s">
        <v>280</v>
      </c>
      <c r="D129" s="29">
        <v>6.4834396051611192</v>
      </c>
      <c r="E129" s="29">
        <v>0</v>
      </c>
      <c r="F129" s="29">
        <f t="shared" si="46"/>
        <v>6.4834396051611192</v>
      </c>
      <c r="G129" s="30">
        <v>6.4834396051611192</v>
      </c>
      <c r="H129" s="29">
        <f>J129+L129+N129+P129</f>
        <v>0.52786294999999994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6.4834396051600001</v>
      </c>
      <c r="P129" s="29">
        <f>527.86295/1000</f>
        <v>0.52786294999999994</v>
      </c>
      <c r="Q129" s="29">
        <f t="shared" si="44"/>
        <v>5.9555766551611189</v>
      </c>
      <c r="R129" s="29">
        <f t="shared" si="41"/>
        <v>-5.9555766551599998</v>
      </c>
      <c r="S129" s="31">
        <f t="shared" si="30"/>
        <v>-0.91858288468055016</v>
      </c>
      <c r="T129" s="29" t="s">
        <v>281</v>
      </c>
    </row>
    <row r="130" spans="1:20" s="1" customFormat="1" ht="31.5" x14ac:dyDescent="0.25">
      <c r="A130" s="26" t="s">
        <v>226</v>
      </c>
      <c r="B130" s="27" t="s">
        <v>282</v>
      </c>
      <c r="C130" s="28" t="s">
        <v>283</v>
      </c>
      <c r="D130" s="29">
        <v>63.468014903999993</v>
      </c>
      <c r="E130" s="29">
        <v>0</v>
      </c>
      <c r="F130" s="29">
        <f t="shared" si="46"/>
        <v>63.468014903999993</v>
      </c>
      <c r="G130" s="30">
        <v>2.1375475469364242</v>
      </c>
      <c r="H130" s="29">
        <f>J130+L130+N130+P130</f>
        <v>0.65300000000000002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2.13754754694</v>
      </c>
      <c r="P130" s="29">
        <v>0.65300000000000002</v>
      </c>
      <c r="Q130" s="29">
        <f t="shared" si="44"/>
        <v>62.815014903999995</v>
      </c>
      <c r="R130" s="29">
        <f t="shared" si="41"/>
        <v>-1.48454754694</v>
      </c>
      <c r="S130" s="31">
        <f t="shared" ref="S130:S132" si="47">R130/(I130+K130+M130+O130)</f>
        <v>-0.69450971935814931</v>
      </c>
      <c r="T130" s="29" t="s">
        <v>232</v>
      </c>
    </row>
    <row r="131" spans="1:20" s="1" customFormat="1" ht="31.5" x14ac:dyDescent="0.25">
      <c r="A131" s="26" t="s">
        <v>226</v>
      </c>
      <c r="B131" s="27" t="s">
        <v>284</v>
      </c>
      <c r="C131" s="28" t="s">
        <v>285</v>
      </c>
      <c r="D131" s="29">
        <v>35.916899819999998</v>
      </c>
      <c r="E131" s="29">
        <f>D131-F131</f>
        <v>34.79803158</v>
      </c>
      <c r="F131" s="29">
        <v>1.1188682400000001</v>
      </c>
      <c r="G131" s="30">
        <v>1.1188682400000001</v>
      </c>
      <c r="H131" s="29">
        <f>J131+L131+N131+P131</f>
        <v>1.1188682400000001</v>
      </c>
      <c r="I131" s="29">
        <v>0</v>
      </c>
      <c r="J131" s="29">
        <v>1.1188682400000001</v>
      </c>
      <c r="K131" s="29">
        <v>0</v>
      </c>
      <c r="L131" s="29">
        <v>0</v>
      </c>
      <c r="M131" s="29">
        <v>0</v>
      </c>
      <c r="N131" s="29">
        <v>0</v>
      </c>
      <c r="O131" s="29">
        <v>1.1188682400000001</v>
      </c>
      <c r="P131" s="29">
        <v>0</v>
      </c>
      <c r="Q131" s="29">
        <f t="shared" si="44"/>
        <v>0</v>
      </c>
      <c r="R131" s="29">
        <f t="shared" si="41"/>
        <v>0</v>
      </c>
      <c r="S131" s="31">
        <f t="shared" si="47"/>
        <v>0</v>
      </c>
      <c r="T131" s="29" t="s">
        <v>32</v>
      </c>
    </row>
    <row r="132" spans="1:20" s="1" customFormat="1" ht="126" x14ac:dyDescent="0.25">
      <c r="A132" s="26" t="s">
        <v>226</v>
      </c>
      <c r="B132" s="38" t="s">
        <v>286</v>
      </c>
      <c r="C132" s="28" t="s">
        <v>287</v>
      </c>
      <c r="D132" s="29">
        <v>311.83455887099996</v>
      </c>
      <c r="E132" s="29">
        <f>D132-F132</f>
        <v>39.00720487000001</v>
      </c>
      <c r="F132" s="29">
        <v>272.82735400099995</v>
      </c>
      <c r="G132" s="30">
        <v>10.17560157</v>
      </c>
      <c r="H132" s="29">
        <f>J132+L132+N132+P132</f>
        <v>0.97230510000000003</v>
      </c>
      <c r="I132" s="29">
        <v>0</v>
      </c>
      <c r="J132" s="29">
        <f>777.13504/1000</f>
        <v>0.77713504</v>
      </c>
      <c r="K132" s="29">
        <v>0</v>
      </c>
      <c r="L132" s="29">
        <v>0.13250138</v>
      </c>
      <c r="M132" s="29">
        <v>0</v>
      </c>
      <c r="N132" s="29">
        <v>2.2000000000000001E-4</v>
      </c>
      <c r="O132" s="29">
        <v>10.17560157</v>
      </c>
      <c r="P132" s="29">
        <f>62.44868/1000</f>
        <v>6.2448680000000006E-2</v>
      </c>
      <c r="Q132" s="29">
        <f t="shared" si="44"/>
        <v>271.85504890099992</v>
      </c>
      <c r="R132" s="29">
        <f t="shared" si="41"/>
        <v>-9.2032964699999997</v>
      </c>
      <c r="S132" s="31">
        <f t="shared" si="47"/>
        <v>-0.90444740850835026</v>
      </c>
      <c r="T132" s="29" t="s">
        <v>288</v>
      </c>
    </row>
    <row r="133" spans="1:20" s="1" customFormat="1" ht="47.25" x14ac:dyDescent="0.25">
      <c r="A133" s="18" t="s">
        <v>289</v>
      </c>
      <c r="B133" s="22" t="s">
        <v>290</v>
      </c>
      <c r="C133" s="20" t="s">
        <v>31</v>
      </c>
      <c r="D133" s="7">
        <f t="shared" ref="D133:R133" si="48">D134</f>
        <v>26.510318116000001</v>
      </c>
      <c r="E133" s="7">
        <f t="shared" si="48"/>
        <v>0.12227547999999899</v>
      </c>
      <c r="F133" s="7">
        <f t="shared" si="48"/>
        <v>26.388042636000002</v>
      </c>
      <c r="G133" s="7">
        <f t="shared" si="48"/>
        <v>1.3212426360000002</v>
      </c>
      <c r="H133" s="7">
        <f t="shared" si="48"/>
        <v>1.6094611999999999</v>
      </c>
      <c r="I133" s="7">
        <f t="shared" si="48"/>
        <v>0</v>
      </c>
      <c r="J133" s="7">
        <f t="shared" si="48"/>
        <v>0</v>
      </c>
      <c r="K133" s="7">
        <f t="shared" si="48"/>
        <v>0</v>
      </c>
      <c r="L133" s="7">
        <f t="shared" si="48"/>
        <v>0</v>
      </c>
      <c r="M133" s="7">
        <f t="shared" si="48"/>
        <v>0</v>
      </c>
      <c r="N133" s="7">
        <f t="shared" si="48"/>
        <v>0</v>
      </c>
      <c r="O133" s="7">
        <f t="shared" si="48"/>
        <v>1.3212426360000002</v>
      </c>
      <c r="P133" s="7">
        <f t="shared" si="48"/>
        <v>1.6094611999999999</v>
      </c>
      <c r="Q133" s="7">
        <f t="shared" si="48"/>
        <v>24.778581436000003</v>
      </c>
      <c r="R133" s="7">
        <f t="shared" si="48"/>
        <v>0.28821856399999968</v>
      </c>
      <c r="S133" s="21">
        <f>R133/(I133+K133+M133+O133)</f>
        <v>0.21814204003631596</v>
      </c>
      <c r="T133" s="7" t="s">
        <v>32</v>
      </c>
    </row>
    <row r="134" spans="1:20" s="1" customFormat="1" x14ac:dyDescent="0.25">
      <c r="A134" s="18" t="s">
        <v>291</v>
      </c>
      <c r="B134" s="22" t="s">
        <v>292</v>
      </c>
      <c r="C134" s="20" t="s">
        <v>31</v>
      </c>
      <c r="D134" s="7">
        <f t="shared" ref="D134:R134" si="49">D135+D136</f>
        <v>26.510318116000001</v>
      </c>
      <c r="E134" s="7">
        <f t="shared" si="49"/>
        <v>0.12227547999999899</v>
      </c>
      <c r="F134" s="7">
        <f t="shared" si="49"/>
        <v>26.388042636000002</v>
      </c>
      <c r="G134" s="7">
        <f t="shared" si="49"/>
        <v>1.3212426360000002</v>
      </c>
      <c r="H134" s="7">
        <f t="shared" si="49"/>
        <v>1.6094611999999999</v>
      </c>
      <c r="I134" s="7">
        <f t="shared" si="49"/>
        <v>0</v>
      </c>
      <c r="J134" s="7">
        <f t="shared" si="49"/>
        <v>0</v>
      </c>
      <c r="K134" s="7">
        <f t="shared" si="49"/>
        <v>0</v>
      </c>
      <c r="L134" s="7">
        <f t="shared" si="49"/>
        <v>0</v>
      </c>
      <c r="M134" s="7">
        <f t="shared" si="49"/>
        <v>0</v>
      </c>
      <c r="N134" s="7">
        <f t="shared" si="49"/>
        <v>0</v>
      </c>
      <c r="O134" s="7">
        <f t="shared" si="49"/>
        <v>1.3212426360000002</v>
      </c>
      <c r="P134" s="7">
        <f t="shared" si="49"/>
        <v>1.6094611999999999</v>
      </c>
      <c r="Q134" s="7">
        <f t="shared" si="49"/>
        <v>24.778581436000003</v>
      </c>
      <c r="R134" s="7">
        <f t="shared" si="49"/>
        <v>0.28821856399999968</v>
      </c>
      <c r="S134" s="21">
        <f t="shared" ref="S134:S144" si="50">R134/(I134+K134+M134+O134)</f>
        <v>0.21814204003631596</v>
      </c>
      <c r="T134" s="7" t="s">
        <v>32</v>
      </c>
    </row>
    <row r="135" spans="1:20" s="1" customFormat="1" ht="47.25" x14ac:dyDescent="0.25">
      <c r="A135" s="18" t="s">
        <v>293</v>
      </c>
      <c r="B135" s="19" t="s">
        <v>294</v>
      </c>
      <c r="C135" s="20" t="s">
        <v>31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21">
        <v>0</v>
      </c>
      <c r="T135" s="7" t="s">
        <v>32</v>
      </c>
    </row>
    <row r="136" spans="1:20" s="1" customFormat="1" ht="47.25" x14ac:dyDescent="0.25">
      <c r="A136" s="22" t="s">
        <v>295</v>
      </c>
      <c r="B136" s="22" t="s">
        <v>296</v>
      </c>
      <c r="C136" s="20" t="s">
        <v>31</v>
      </c>
      <c r="D136" s="7">
        <f t="shared" ref="D136:R136" si="51">SUM(D137)</f>
        <v>26.510318116000001</v>
      </c>
      <c r="E136" s="7">
        <f t="shared" si="51"/>
        <v>0.12227547999999899</v>
      </c>
      <c r="F136" s="7">
        <f t="shared" si="51"/>
        <v>26.388042636000002</v>
      </c>
      <c r="G136" s="7">
        <f t="shared" si="51"/>
        <v>1.3212426360000002</v>
      </c>
      <c r="H136" s="7">
        <f t="shared" si="51"/>
        <v>1.6094611999999999</v>
      </c>
      <c r="I136" s="7">
        <f t="shared" si="51"/>
        <v>0</v>
      </c>
      <c r="J136" s="7">
        <f t="shared" si="51"/>
        <v>0</v>
      </c>
      <c r="K136" s="7">
        <f t="shared" si="51"/>
        <v>0</v>
      </c>
      <c r="L136" s="7">
        <f t="shared" si="51"/>
        <v>0</v>
      </c>
      <c r="M136" s="7">
        <f t="shared" si="51"/>
        <v>0</v>
      </c>
      <c r="N136" s="7">
        <f t="shared" si="51"/>
        <v>0</v>
      </c>
      <c r="O136" s="7">
        <f t="shared" si="51"/>
        <v>1.3212426360000002</v>
      </c>
      <c r="P136" s="7">
        <f t="shared" si="51"/>
        <v>1.6094611999999999</v>
      </c>
      <c r="Q136" s="7">
        <f t="shared" si="51"/>
        <v>24.778581436000003</v>
      </c>
      <c r="R136" s="7">
        <f t="shared" si="51"/>
        <v>0.28821856399999968</v>
      </c>
      <c r="S136" s="21">
        <f t="shared" si="50"/>
        <v>0.21814204003631596</v>
      </c>
      <c r="T136" s="7" t="s">
        <v>32</v>
      </c>
    </row>
    <row r="137" spans="1:20" s="1" customFormat="1" ht="47.25" x14ac:dyDescent="0.25">
      <c r="A137" s="26" t="s">
        <v>295</v>
      </c>
      <c r="B137" s="38" t="s">
        <v>297</v>
      </c>
      <c r="C137" s="28" t="s">
        <v>298</v>
      </c>
      <c r="D137" s="29">
        <v>26.510318116000001</v>
      </c>
      <c r="E137" s="29">
        <f>D137-F137</f>
        <v>0.12227547999999899</v>
      </c>
      <c r="F137" s="29">
        <v>26.388042636000002</v>
      </c>
      <c r="G137" s="30">
        <v>1.3212426360000002</v>
      </c>
      <c r="H137" s="29">
        <f>J137+L137+N137+P137</f>
        <v>1.6094611999999999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1.3212426360000002</v>
      </c>
      <c r="P137" s="29">
        <f>1609.4612/1000</f>
        <v>1.6094611999999999</v>
      </c>
      <c r="Q137" s="29">
        <f>F137-H137</f>
        <v>24.778581436000003</v>
      </c>
      <c r="R137" s="29">
        <f t="shared" ref="R137" si="52">H137-(I137+K137+M137+O137)</f>
        <v>0.28821856399999968</v>
      </c>
      <c r="S137" s="31">
        <f t="shared" si="50"/>
        <v>0.21814204003631596</v>
      </c>
      <c r="T137" s="29" t="s">
        <v>97</v>
      </c>
    </row>
    <row r="138" spans="1:20" s="1" customFormat="1" x14ac:dyDescent="0.25">
      <c r="A138" s="18" t="s">
        <v>299</v>
      </c>
      <c r="B138" s="44" t="s">
        <v>300</v>
      </c>
      <c r="C138" s="25" t="s">
        <v>31</v>
      </c>
      <c r="D138" s="7">
        <v>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21">
        <v>0</v>
      </c>
      <c r="T138" s="7" t="s">
        <v>32</v>
      </c>
    </row>
    <row r="139" spans="1:20" s="1" customFormat="1" ht="47.25" x14ac:dyDescent="0.25">
      <c r="A139" s="18" t="s">
        <v>301</v>
      </c>
      <c r="B139" s="44" t="s">
        <v>294</v>
      </c>
      <c r="C139" s="25" t="s">
        <v>31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21">
        <v>0</v>
      </c>
      <c r="T139" s="7" t="s">
        <v>32</v>
      </c>
    </row>
    <row r="140" spans="1:20" s="1" customFormat="1" ht="47.25" x14ac:dyDescent="0.25">
      <c r="A140" s="18" t="s">
        <v>302</v>
      </c>
      <c r="B140" s="44" t="s">
        <v>296</v>
      </c>
      <c r="C140" s="25" t="s">
        <v>31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21">
        <v>0</v>
      </c>
      <c r="T140" s="7" t="s">
        <v>32</v>
      </c>
    </row>
    <row r="141" spans="1:20" s="1" customFormat="1" x14ac:dyDescent="0.25">
      <c r="A141" s="20" t="s">
        <v>303</v>
      </c>
      <c r="B141" s="22" t="s">
        <v>304</v>
      </c>
      <c r="C141" s="20" t="s">
        <v>31</v>
      </c>
      <c r="D141" s="7">
        <f t="shared" ref="D141:R141" si="53">SUM(D148,D145,D143,D142)</f>
        <v>5843.3054421013721</v>
      </c>
      <c r="E141" s="7">
        <f t="shared" si="53"/>
        <v>1108.4827597400001</v>
      </c>
      <c r="F141" s="7">
        <f t="shared" si="53"/>
        <v>4734.8226823613722</v>
      </c>
      <c r="G141" s="7">
        <f t="shared" si="53"/>
        <v>1300.0993815404822</v>
      </c>
      <c r="H141" s="7">
        <f t="shared" si="53"/>
        <v>749.82475271999988</v>
      </c>
      <c r="I141" s="7">
        <f t="shared" si="53"/>
        <v>37.024932969999995</v>
      </c>
      <c r="J141" s="7">
        <f t="shared" si="53"/>
        <v>104.97494499999999</v>
      </c>
      <c r="K141" s="7">
        <f t="shared" si="53"/>
        <v>91.17275798</v>
      </c>
      <c r="L141" s="7">
        <f t="shared" si="53"/>
        <v>233.89289124999999</v>
      </c>
      <c r="M141" s="7">
        <f t="shared" si="53"/>
        <v>92.378723059999984</v>
      </c>
      <c r="N141" s="7">
        <f t="shared" si="53"/>
        <v>224.05303749000001</v>
      </c>
      <c r="O141" s="7">
        <f t="shared" si="53"/>
        <v>1079.5229675304824</v>
      </c>
      <c r="P141" s="7">
        <f t="shared" si="53"/>
        <v>186.90387898</v>
      </c>
      <c r="Q141" s="7">
        <f t="shared" si="53"/>
        <v>3984.9979296413717</v>
      </c>
      <c r="R141" s="7">
        <f t="shared" si="53"/>
        <v>-550.27462882048235</v>
      </c>
      <c r="S141" s="21">
        <f t="shared" si="50"/>
        <v>-0.42325581923472971</v>
      </c>
      <c r="T141" s="7" t="s">
        <v>32</v>
      </c>
    </row>
    <row r="142" spans="1:20" s="1" customFormat="1" ht="31.5" x14ac:dyDescent="0.25">
      <c r="A142" s="18" t="s">
        <v>305</v>
      </c>
      <c r="B142" s="22" t="s">
        <v>306</v>
      </c>
      <c r="C142" s="20" t="s">
        <v>31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21">
        <v>0</v>
      </c>
      <c r="T142" s="7" t="s">
        <v>32</v>
      </c>
    </row>
    <row r="143" spans="1:20" s="1" customFormat="1" x14ac:dyDescent="0.25">
      <c r="A143" s="18" t="s">
        <v>307</v>
      </c>
      <c r="B143" s="22" t="s">
        <v>308</v>
      </c>
      <c r="C143" s="20" t="s">
        <v>31</v>
      </c>
      <c r="D143" s="7">
        <f t="shared" ref="D143:R143" si="54">SUM(D144)</f>
        <v>676.55467158400006</v>
      </c>
      <c r="E143" s="7">
        <f t="shared" si="54"/>
        <v>26.236181039999998</v>
      </c>
      <c r="F143" s="7">
        <f t="shared" si="54"/>
        <v>650.31849054400004</v>
      </c>
      <c r="G143" s="7">
        <f t="shared" si="54"/>
        <v>345.19847269048233</v>
      </c>
      <c r="H143" s="7">
        <f t="shared" si="54"/>
        <v>3.6187061300000001</v>
      </c>
      <c r="I143" s="7">
        <f t="shared" si="54"/>
        <v>0.71111404</v>
      </c>
      <c r="J143" s="7">
        <f t="shared" si="54"/>
        <v>1.5</v>
      </c>
      <c r="K143" s="7">
        <f t="shared" si="54"/>
        <v>0.71111404</v>
      </c>
      <c r="L143" s="7">
        <f t="shared" si="54"/>
        <v>0</v>
      </c>
      <c r="M143" s="7">
        <f t="shared" si="54"/>
        <v>2.9375345100000003</v>
      </c>
      <c r="N143" s="7">
        <f t="shared" si="54"/>
        <v>1.3536514799999999</v>
      </c>
      <c r="O143" s="7">
        <f t="shared" si="54"/>
        <v>340.83871010048239</v>
      </c>
      <c r="P143" s="7">
        <f t="shared" si="54"/>
        <v>0.76505465000000006</v>
      </c>
      <c r="Q143" s="7">
        <f t="shared" si="54"/>
        <v>646.69978441400008</v>
      </c>
      <c r="R143" s="7">
        <f t="shared" si="54"/>
        <v>-341.57976656048237</v>
      </c>
      <c r="S143" s="21">
        <f t="shared" si="50"/>
        <v>-0.98951702740224845</v>
      </c>
      <c r="T143" s="7" t="s">
        <v>32</v>
      </c>
    </row>
    <row r="144" spans="1:20" s="1" customFormat="1" ht="31.5" x14ac:dyDescent="0.25">
      <c r="A144" s="26" t="s">
        <v>307</v>
      </c>
      <c r="B144" s="38" t="s">
        <v>309</v>
      </c>
      <c r="C144" s="28" t="s">
        <v>310</v>
      </c>
      <c r="D144" s="29">
        <v>676.55467158400006</v>
      </c>
      <c r="E144" s="29">
        <v>26.236181039999998</v>
      </c>
      <c r="F144" s="29">
        <f>D144-E144</f>
        <v>650.31849054400004</v>
      </c>
      <c r="G144" s="30">
        <v>345.19847269048233</v>
      </c>
      <c r="H144" s="29">
        <f>J144+L144+N144+P144</f>
        <v>3.6187061300000001</v>
      </c>
      <c r="I144" s="29">
        <v>0.71111404</v>
      </c>
      <c r="J144" s="29">
        <v>1.5</v>
      </c>
      <c r="K144" s="29">
        <v>0.71111404</v>
      </c>
      <c r="L144" s="29">
        <v>0</v>
      </c>
      <c r="M144" s="29">
        <v>2.9375345100000003</v>
      </c>
      <c r="N144" s="29">
        <v>1.3536514799999999</v>
      </c>
      <c r="O144" s="29">
        <f>G144-I144-K144-M144</f>
        <v>340.83871010048239</v>
      </c>
      <c r="P144" s="29">
        <v>0.76505465000000006</v>
      </c>
      <c r="Q144" s="29">
        <f>F144-H144</f>
        <v>646.69978441400008</v>
      </c>
      <c r="R144" s="29">
        <f t="shared" ref="R144" si="55">H144-(I144+K144+M144+O144)</f>
        <v>-341.57976656048237</v>
      </c>
      <c r="S144" s="31">
        <f t="shared" si="50"/>
        <v>-0.98951702740224845</v>
      </c>
      <c r="T144" s="29" t="s">
        <v>311</v>
      </c>
    </row>
    <row r="145" spans="1:20" s="1" customFormat="1" x14ac:dyDescent="0.25">
      <c r="A145" s="18" t="s">
        <v>312</v>
      </c>
      <c r="B145" s="22" t="s">
        <v>313</v>
      </c>
      <c r="C145" s="20" t="s">
        <v>31</v>
      </c>
      <c r="D145" s="7">
        <f t="shared" ref="D145:R145" si="56">SUM(D146:D147)</f>
        <v>977.12877177200016</v>
      </c>
      <c r="E145" s="7">
        <f t="shared" si="56"/>
        <v>400.29217977999997</v>
      </c>
      <c r="F145" s="7">
        <f t="shared" si="56"/>
        <v>576.83659199200008</v>
      </c>
      <c r="G145" s="7">
        <f t="shared" si="56"/>
        <v>497.84874087399999</v>
      </c>
      <c r="H145" s="7">
        <f t="shared" si="56"/>
        <v>345.49025960999995</v>
      </c>
      <c r="I145" s="7">
        <f t="shared" si="56"/>
        <v>30.895913369999999</v>
      </c>
      <c r="J145" s="7">
        <f t="shared" si="56"/>
        <v>37.353401079999998</v>
      </c>
      <c r="K145" s="7">
        <f t="shared" si="56"/>
        <v>74.879919360000002</v>
      </c>
      <c r="L145" s="7">
        <f t="shared" si="56"/>
        <v>137.86912734999999</v>
      </c>
      <c r="M145" s="7">
        <f t="shared" si="56"/>
        <v>87.065426839999972</v>
      </c>
      <c r="N145" s="7">
        <f t="shared" si="56"/>
        <v>97.364489630000008</v>
      </c>
      <c r="O145" s="7">
        <f t="shared" si="56"/>
        <v>305.00748130399995</v>
      </c>
      <c r="P145" s="7">
        <f t="shared" si="56"/>
        <v>72.903241550000004</v>
      </c>
      <c r="Q145" s="7">
        <f t="shared" si="56"/>
        <v>231.34633238200018</v>
      </c>
      <c r="R145" s="7">
        <f t="shared" si="56"/>
        <v>-152.35848126399998</v>
      </c>
      <c r="S145" s="21">
        <f>R145/(I145+K145+M145+O145)</f>
        <v>-0.30603367801337927</v>
      </c>
      <c r="T145" s="7" t="s">
        <v>32</v>
      </c>
    </row>
    <row r="146" spans="1:20" s="1" customFormat="1" ht="58.5" customHeight="1" x14ac:dyDescent="0.25">
      <c r="A146" s="26" t="s">
        <v>312</v>
      </c>
      <c r="B146" s="38" t="s">
        <v>314</v>
      </c>
      <c r="C146" s="28" t="s">
        <v>315</v>
      </c>
      <c r="D146" s="29">
        <v>800.69383988200013</v>
      </c>
      <c r="E146" s="29">
        <v>373.52520129999999</v>
      </c>
      <c r="F146" s="29">
        <f>D146-E146</f>
        <v>427.16863858200014</v>
      </c>
      <c r="G146" s="30">
        <v>395.14759430200002</v>
      </c>
      <c r="H146" s="29">
        <f>J146+L146+N146+P146</f>
        <v>276.54743441999995</v>
      </c>
      <c r="I146" s="29">
        <v>26.27726711</v>
      </c>
      <c r="J146" s="29">
        <v>27.235472699999999</v>
      </c>
      <c r="K146" s="29">
        <v>42.534428500000004</v>
      </c>
      <c r="L146" s="29">
        <v>104.29801410999998</v>
      </c>
      <c r="M146" s="29">
        <v>56.694426839999977</v>
      </c>
      <c r="N146" s="29">
        <v>82.569723740000001</v>
      </c>
      <c r="O146" s="29">
        <f>G146-I146-K146-M146</f>
        <v>269.641471852</v>
      </c>
      <c r="P146" s="29">
        <v>62.444223870000002</v>
      </c>
      <c r="Q146" s="29">
        <f>F146-H146</f>
        <v>150.6212041620002</v>
      </c>
      <c r="R146" s="29">
        <f t="shared" ref="R146:R147" si="57">H146-(I146+K146+M146+O146)</f>
        <v>-118.60015988200001</v>
      </c>
      <c r="S146" s="31">
        <f t="shared" ref="S146:S147" si="58">R146/(I146+K146+M146+O146)</f>
        <v>-0.30014141954096607</v>
      </c>
      <c r="T146" s="42" t="s">
        <v>316</v>
      </c>
    </row>
    <row r="147" spans="1:20" s="1" customFormat="1" ht="47.25" x14ac:dyDescent="0.25">
      <c r="A147" s="26" t="s">
        <v>312</v>
      </c>
      <c r="B147" s="40" t="s">
        <v>317</v>
      </c>
      <c r="C147" s="29" t="s">
        <v>318</v>
      </c>
      <c r="D147" s="29">
        <v>176.43493188999997</v>
      </c>
      <c r="E147" s="29">
        <v>26.766978479999999</v>
      </c>
      <c r="F147" s="29">
        <f>D147-E147</f>
        <v>149.66795340999997</v>
      </c>
      <c r="G147" s="30">
        <v>102.70114657199997</v>
      </c>
      <c r="H147" s="29">
        <f>J147+L147+N147+P147</f>
        <v>68.942825189999994</v>
      </c>
      <c r="I147" s="29">
        <v>4.6186462599999993</v>
      </c>
      <c r="J147" s="29">
        <f>10117.92838/1000</f>
        <v>10.117928379999999</v>
      </c>
      <c r="K147" s="29">
        <v>32.345490859999998</v>
      </c>
      <c r="L147" s="29">
        <v>33.571113240000003</v>
      </c>
      <c r="M147" s="29">
        <v>30.370999999999999</v>
      </c>
      <c r="N147" s="29">
        <v>14.794765890000001</v>
      </c>
      <c r="O147" s="29">
        <f>G147-I147-K147-M147</f>
        <v>35.366009451999972</v>
      </c>
      <c r="P147" s="29">
        <f>10459.01768/1000</f>
        <v>10.459017680000001</v>
      </c>
      <c r="Q147" s="29">
        <f>F147-H147</f>
        <v>80.725128219999974</v>
      </c>
      <c r="R147" s="29">
        <f t="shared" si="57"/>
        <v>-33.758321381999977</v>
      </c>
      <c r="S147" s="31">
        <f t="shared" si="58"/>
        <v>-0.32870442549863127</v>
      </c>
      <c r="T147" s="29" t="s">
        <v>319</v>
      </c>
    </row>
    <row r="148" spans="1:20" s="1" customFormat="1" x14ac:dyDescent="0.25">
      <c r="A148" s="18" t="s">
        <v>320</v>
      </c>
      <c r="B148" s="22" t="s">
        <v>321</v>
      </c>
      <c r="C148" s="20" t="s">
        <v>31</v>
      </c>
      <c r="D148" s="7">
        <f t="shared" ref="D148:R148" si="59">SUM(D149:D154)</f>
        <v>4189.6219987453724</v>
      </c>
      <c r="E148" s="7">
        <f t="shared" si="59"/>
        <v>681.95439892000002</v>
      </c>
      <c r="F148" s="7">
        <f t="shared" si="59"/>
        <v>3507.6675998253718</v>
      </c>
      <c r="G148" s="7">
        <f t="shared" si="59"/>
        <v>457.05216797600002</v>
      </c>
      <c r="H148" s="7">
        <f t="shared" si="59"/>
        <v>400.71578698000002</v>
      </c>
      <c r="I148" s="7">
        <f t="shared" si="59"/>
        <v>5.4179055599999995</v>
      </c>
      <c r="J148" s="7">
        <f t="shared" si="59"/>
        <v>66.121543919999993</v>
      </c>
      <c r="K148" s="7">
        <f t="shared" si="59"/>
        <v>15.581724579999998</v>
      </c>
      <c r="L148" s="7">
        <f t="shared" si="59"/>
        <v>96.023763899999992</v>
      </c>
      <c r="M148" s="7">
        <f t="shared" si="59"/>
        <v>2.3757617099999999</v>
      </c>
      <c r="N148" s="7">
        <f t="shared" si="59"/>
        <v>125.33489638</v>
      </c>
      <c r="O148" s="7">
        <f t="shared" si="59"/>
        <v>433.67677612600005</v>
      </c>
      <c r="P148" s="7">
        <f t="shared" si="59"/>
        <v>113.23558278</v>
      </c>
      <c r="Q148" s="7">
        <f t="shared" si="59"/>
        <v>3106.9518128453715</v>
      </c>
      <c r="R148" s="7">
        <f t="shared" si="59"/>
        <v>-56.336380996000038</v>
      </c>
      <c r="S148" s="21">
        <f>R148/(I148+K148+M148+O148)</f>
        <v>-0.12326028611893224</v>
      </c>
      <c r="T148" s="7" t="s">
        <v>32</v>
      </c>
    </row>
    <row r="149" spans="1:20" s="1" customFormat="1" ht="31.5" x14ac:dyDescent="0.25">
      <c r="A149" s="26" t="s">
        <v>320</v>
      </c>
      <c r="B149" s="38" t="s">
        <v>322</v>
      </c>
      <c r="C149" s="28" t="s">
        <v>323</v>
      </c>
      <c r="D149" s="29">
        <v>1791.0005641759719</v>
      </c>
      <c r="E149" s="29">
        <v>64.642270920000001</v>
      </c>
      <c r="F149" s="29">
        <f t="shared" ref="F149:F154" si="60">D149-E149</f>
        <v>1726.3582932559718</v>
      </c>
      <c r="G149" s="30">
        <v>0.66205886999999997</v>
      </c>
      <c r="H149" s="29">
        <f t="shared" ref="H149:H154" si="61">J149+L149+N149+P149</f>
        <v>4.1437539999999995E-2</v>
      </c>
      <c r="I149" s="29">
        <v>0.16551471000000001</v>
      </c>
      <c r="J149" s="29">
        <v>1.035939E-2</v>
      </c>
      <c r="K149" s="29">
        <v>0.16551471000000001</v>
      </c>
      <c r="L149" s="29">
        <v>1.035939E-2</v>
      </c>
      <c r="M149" s="29">
        <v>0.16551471000000001</v>
      </c>
      <c r="N149" s="29">
        <v>1.035939E-2</v>
      </c>
      <c r="O149" s="29">
        <v>0.16551473999999999</v>
      </c>
      <c r="P149" s="29">
        <v>1.035937E-2</v>
      </c>
      <c r="Q149" s="29">
        <f t="shared" ref="Q149:Q154" si="62">F149-H149</f>
        <v>1726.3168557159718</v>
      </c>
      <c r="R149" s="29">
        <f t="shared" ref="R149:R154" si="63">H149-(I149+K149+M149+O149)</f>
        <v>-0.62062133000000008</v>
      </c>
      <c r="S149" s="31">
        <f t="shared" ref="S149:S206" si="64">R149/(I149+K149+M149+O149)</f>
        <v>-0.93741109457532079</v>
      </c>
      <c r="T149" s="29" t="s">
        <v>134</v>
      </c>
    </row>
    <row r="150" spans="1:20" s="1" customFormat="1" ht="31.5" x14ac:dyDescent="0.25">
      <c r="A150" s="26" t="s">
        <v>320</v>
      </c>
      <c r="B150" s="36" t="s">
        <v>324</v>
      </c>
      <c r="C150" s="28" t="s">
        <v>325</v>
      </c>
      <c r="D150" s="29">
        <v>467.23246633999997</v>
      </c>
      <c r="E150" s="29">
        <v>341.62047317999998</v>
      </c>
      <c r="F150" s="29">
        <f t="shared" si="60"/>
        <v>125.61199316</v>
      </c>
      <c r="G150" s="30">
        <v>55.433871599999996</v>
      </c>
      <c r="H150" s="29">
        <f t="shared" si="61"/>
        <v>36.118156060000004</v>
      </c>
      <c r="I150" s="29">
        <v>3.04214385</v>
      </c>
      <c r="J150" s="29">
        <v>12.67948208</v>
      </c>
      <c r="K150" s="29">
        <v>13.205962869999999</v>
      </c>
      <c r="L150" s="29">
        <v>8.9668854000000007</v>
      </c>
      <c r="M150" s="29">
        <v>0</v>
      </c>
      <c r="N150" s="29">
        <v>7.9166881199999999</v>
      </c>
      <c r="O150" s="29">
        <f>G150-I150-K150-M150</f>
        <v>39.185764879999994</v>
      </c>
      <c r="P150" s="29">
        <v>6.5551004599999994</v>
      </c>
      <c r="Q150" s="29">
        <f t="shared" si="62"/>
        <v>89.493837099999993</v>
      </c>
      <c r="R150" s="29">
        <f t="shared" si="63"/>
        <v>-19.315715539999985</v>
      </c>
      <c r="S150" s="31">
        <f t="shared" si="64"/>
        <v>-0.34844608508275271</v>
      </c>
      <c r="T150" s="29" t="s">
        <v>326</v>
      </c>
    </row>
    <row r="151" spans="1:20" s="1" customFormat="1" ht="47.25" x14ac:dyDescent="0.25">
      <c r="A151" s="26" t="s">
        <v>320</v>
      </c>
      <c r="B151" s="36" t="s">
        <v>327</v>
      </c>
      <c r="C151" s="28" t="s">
        <v>328</v>
      </c>
      <c r="D151" s="29">
        <v>276.1959566868</v>
      </c>
      <c r="E151" s="29">
        <v>59.210399750000001</v>
      </c>
      <c r="F151" s="29">
        <f t="shared" si="60"/>
        <v>216.98555693680001</v>
      </c>
      <c r="G151" s="30">
        <v>0.32572800000000002</v>
      </c>
      <c r="H151" s="29">
        <f t="shared" si="61"/>
        <v>8.7027719999999989E-2</v>
      </c>
      <c r="I151" s="29">
        <v>8.1432000000000004E-2</v>
      </c>
      <c r="J151" s="29">
        <v>7.7311770000000002E-2</v>
      </c>
      <c r="K151" s="29">
        <v>8.1432000000000004E-2</v>
      </c>
      <c r="L151" s="29">
        <v>7.7311770000000002E-2</v>
      </c>
      <c r="M151" s="29">
        <v>8.1432000000000004E-2</v>
      </c>
      <c r="N151" s="29">
        <v>5.1541179999999999E-2</v>
      </c>
      <c r="O151" s="29">
        <v>8.1432000000000004E-2</v>
      </c>
      <c r="P151" s="29">
        <v>-0.11913700000000001</v>
      </c>
      <c r="Q151" s="29">
        <f t="shared" si="62"/>
        <v>216.8985292168</v>
      </c>
      <c r="R151" s="29">
        <f t="shared" si="63"/>
        <v>-0.23870028000000004</v>
      </c>
      <c r="S151" s="31">
        <f t="shared" si="64"/>
        <v>-0.73282088122605371</v>
      </c>
      <c r="T151" s="29" t="s">
        <v>329</v>
      </c>
    </row>
    <row r="152" spans="1:20" s="1" customFormat="1" ht="47.25" x14ac:dyDescent="0.25">
      <c r="A152" s="26" t="s">
        <v>320</v>
      </c>
      <c r="B152" s="36" t="s">
        <v>330</v>
      </c>
      <c r="C152" s="30" t="s">
        <v>331</v>
      </c>
      <c r="D152" s="29">
        <v>399.24958771199999</v>
      </c>
      <c r="E152" s="29">
        <v>151.92841749000002</v>
      </c>
      <c r="F152" s="29">
        <f t="shared" si="60"/>
        <v>247.32117022199998</v>
      </c>
      <c r="G152" s="30">
        <v>0.84577026999999994</v>
      </c>
      <c r="H152" s="29">
        <f t="shared" si="61"/>
        <v>0.10303408</v>
      </c>
      <c r="I152" s="29">
        <v>3.2814999999999997E-2</v>
      </c>
      <c r="J152" s="29">
        <v>2.5758509999999998E-2</v>
      </c>
      <c r="K152" s="29">
        <v>3.2814999999999997E-2</v>
      </c>
      <c r="L152" s="29">
        <v>2.5758510000000005E-2</v>
      </c>
      <c r="M152" s="29">
        <v>3.2814999999999997E-2</v>
      </c>
      <c r="N152" s="29">
        <v>2.5758510000000002E-2</v>
      </c>
      <c r="O152" s="29">
        <f>G152-I152-K152-M152</f>
        <v>0.74732526999999982</v>
      </c>
      <c r="P152" s="29">
        <v>2.5758549999999998E-2</v>
      </c>
      <c r="Q152" s="29">
        <f t="shared" si="62"/>
        <v>247.21813614199999</v>
      </c>
      <c r="R152" s="29">
        <f t="shared" si="63"/>
        <v>-0.7427361899999998</v>
      </c>
      <c r="S152" s="31">
        <f t="shared" si="64"/>
        <v>-0.87817722654167063</v>
      </c>
      <c r="T152" s="29" t="s">
        <v>134</v>
      </c>
    </row>
    <row r="153" spans="1:20" s="1" customFormat="1" ht="39" customHeight="1" x14ac:dyDescent="0.25">
      <c r="A153" s="26" t="s">
        <v>320</v>
      </c>
      <c r="B153" s="36" t="s">
        <v>332</v>
      </c>
      <c r="C153" s="28" t="s">
        <v>333</v>
      </c>
      <c r="D153" s="29">
        <v>509.85245379000003</v>
      </c>
      <c r="E153" s="29">
        <v>63.171889210000003</v>
      </c>
      <c r="F153" s="29">
        <f t="shared" si="60"/>
        <v>446.68056458000001</v>
      </c>
      <c r="G153" s="30">
        <v>399.18705069999999</v>
      </c>
      <c r="H153" s="29">
        <f t="shared" si="61"/>
        <v>364.30896562999999</v>
      </c>
      <c r="I153" s="29">
        <v>1.9359999999999999</v>
      </c>
      <c r="J153" s="29">
        <v>53.328632169999999</v>
      </c>
      <c r="K153" s="29">
        <v>1.9359999999999999</v>
      </c>
      <c r="L153" s="29">
        <v>86.943448829999994</v>
      </c>
      <c r="M153" s="29">
        <v>1.9359999999999999</v>
      </c>
      <c r="N153" s="29">
        <v>117.33054918000001</v>
      </c>
      <c r="O153" s="29">
        <f>G153-I153-K153-M153</f>
        <v>393.37905070000005</v>
      </c>
      <c r="P153" s="29">
        <v>106.70633545</v>
      </c>
      <c r="Q153" s="29">
        <f t="shared" si="62"/>
        <v>82.371598950000021</v>
      </c>
      <c r="R153" s="29">
        <f t="shared" si="63"/>
        <v>-34.878085070000054</v>
      </c>
      <c r="S153" s="31">
        <f t="shared" si="64"/>
        <v>-8.7372786789649368E-2</v>
      </c>
      <c r="T153" s="29" t="s">
        <v>334</v>
      </c>
    </row>
    <row r="154" spans="1:20" s="1" customFormat="1" ht="40.5" customHeight="1" x14ac:dyDescent="0.25">
      <c r="A154" s="26" t="s">
        <v>320</v>
      </c>
      <c r="B154" s="36" t="s">
        <v>335</v>
      </c>
      <c r="C154" s="28" t="s">
        <v>336</v>
      </c>
      <c r="D154" s="29">
        <v>746.09097004059981</v>
      </c>
      <c r="E154" s="29">
        <v>1.38094837</v>
      </c>
      <c r="F154" s="29">
        <f t="shared" si="60"/>
        <v>744.71002167059976</v>
      </c>
      <c r="G154" s="30">
        <v>0.59768853600000005</v>
      </c>
      <c r="H154" s="29">
        <f t="shared" si="61"/>
        <v>5.716595E-2</v>
      </c>
      <c r="I154" s="29">
        <v>0.16</v>
      </c>
      <c r="J154" s="29">
        <v>0</v>
      </c>
      <c r="K154" s="29">
        <v>0.16</v>
      </c>
      <c r="L154" s="29">
        <v>0</v>
      </c>
      <c r="M154" s="29">
        <v>0.16</v>
      </c>
      <c r="N154" s="29">
        <v>0</v>
      </c>
      <c r="O154" s="29">
        <f>G154-I154-K154-M154</f>
        <v>0.11768853599999998</v>
      </c>
      <c r="P154" s="29">
        <v>5.716595E-2</v>
      </c>
      <c r="Q154" s="29">
        <f t="shared" si="62"/>
        <v>744.65285572059975</v>
      </c>
      <c r="R154" s="29">
        <f t="shared" si="63"/>
        <v>-0.54052258599999992</v>
      </c>
      <c r="S154" s="31">
        <f t="shared" si="64"/>
        <v>-0.90435494984966547</v>
      </c>
      <c r="T154" s="29" t="s">
        <v>337</v>
      </c>
    </row>
    <row r="155" spans="1:20" s="1" customFormat="1" ht="31.5" x14ac:dyDescent="0.25">
      <c r="A155" s="18" t="s">
        <v>338</v>
      </c>
      <c r="B155" s="19" t="s">
        <v>339</v>
      </c>
      <c r="C155" s="20" t="s">
        <v>31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21">
        <v>0</v>
      </c>
      <c r="T155" s="7" t="s">
        <v>32</v>
      </c>
    </row>
    <row r="156" spans="1:20" s="1" customFormat="1" x14ac:dyDescent="0.25">
      <c r="A156" s="18" t="s">
        <v>340</v>
      </c>
      <c r="B156" s="19" t="s">
        <v>341</v>
      </c>
      <c r="C156" s="20" t="s">
        <v>31</v>
      </c>
      <c r="D156" s="7">
        <f>SUM(D157:D159,D160:D201,D202:D204)</f>
        <v>601.11085014680498</v>
      </c>
      <c r="E156" s="7">
        <f t="shared" ref="E156:R156" si="65">SUM(E157:E159,E160:E201,E202:E204)</f>
        <v>282.44079335000004</v>
      </c>
      <c r="F156" s="7">
        <f t="shared" si="65"/>
        <v>318.67005679680523</v>
      </c>
      <c r="G156" s="7">
        <f>SUM(G157:G159,G160:G201,G202:G204)</f>
        <v>288.5248489008053</v>
      </c>
      <c r="H156" s="7">
        <f>SUM(H157:H159,H160:H201,H202:H204)</f>
        <v>263.50093344999993</v>
      </c>
      <c r="I156" s="7">
        <f t="shared" si="65"/>
        <v>0.77775599999999989</v>
      </c>
      <c r="J156" s="7">
        <f t="shared" si="65"/>
        <v>45.472674249999997</v>
      </c>
      <c r="K156" s="7">
        <f t="shared" si="65"/>
        <v>156.569258658</v>
      </c>
      <c r="L156" s="7">
        <f t="shared" si="65"/>
        <v>68.520405289999985</v>
      </c>
      <c r="M156" s="7">
        <f t="shared" si="65"/>
        <v>33.53557369</v>
      </c>
      <c r="N156" s="7">
        <f t="shared" si="65"/>
        <v>140.2136988</v>
      </c>
      <c r="O156" s="7">
        <f t="shared" si="65"/>
        <v>97.642260552810001</v>
      </c>
      <c r="P156" s="7">
        <f t="shared" si="65"/>
        <v>9.2941551099999984</v>
      </c>
      <c r="Q156" s="7">
        <f t="shared" si="65"/>
        <v>55.250243346805142</v>
      </c>
      <c r="R156" s="7">
        <f t="shared" si="65"/>
        <v>-25.105035450809979</v>
      </c>
      <c r="S156" s="21">
        <f t="shared" si="64"/>
        <v>-8.7011692568083332E-2</v>
      </c>
      <c r="T156" s="7" t="s">
        <v>32</v>
      </c>
    </row>
    <row r="157" spans="1:20" s="1" customFormat="1" ht="47.25" x14ac:dyDescent="0.25">
      <c r="A157" s="26" t="s">
        <v>340</v>
      </c>
      <c r="B157" s="27" t="s">
        <v>342</v>
      </c>
      <c r="C157" s="28" t="s">
        <v>343</v>
      </c>
      <c r="D157" s="29">
        <v>13.761409</v>
      </c>
      <c r="E157" s="29">
        <f>D157-F157</f>
        <v>4.8714980200000007</v>
      </c>
      <c r="F157" s="29">
        <v>8.8899109799999998</v>
      </c>
      <c r="G157" s="30">
        <v>8.8899109799999998</v>
      </c>
      <c r="H157" s="29">
        <f t="shared" ref="H157:H204" si="66">J157+L157+N157+P157</f>
        <v>8.8899109799999998</v>
      </c>
      <c r="I157" s="29">
        <v>0</v>
      </c>
      <c r="J157" s="29">
        <v>0</v>
      </c>
      <c r="K157" s="29">
        <v>0</v>
      </c>
      <c r="L157" s="29">
        <v>8.8899109799999998</v>
      </c>
      <c r="M157" s="29">
        <v>0</v>
      </c>
      <c r="N157" s="29">
        <v>0</v>
      </c>
      <c r="O157" s="29">
        <v>8.8899109799999998</v>
      </c>
      <c r="P157" s="29">
        <v>0</v>
      </c>
      <c r="Q157" s="29">
        <f>F157-H157</f>
        <v>0</v>
      </c>
      <c r="R157" s="29">
        <f t="shared" ref="R157:R204" si="67">H157-(I157+K157+M157+O157)</f>
        <v>0</v>
      </c>
      <c r="S157" s="31">
        <f t="shared" si="64"/>
        <v>0</v>
      </c>
      <c r="T157" s="30" t="s">
        <v>32</v>
      </c>
    </row>
    <row r="158" spans="1:20" s="1" customFormat="1" ht="31.5" x14ac:dyDescent="0.25">
      <c r="A158" s="26" t="s">
        <v>340</v>
      </c>
      <c r="B158" s="34" t="s">
        <v>344</v>
      </c>
      <c r="C158" s="28" t="s">
        <v>345</v>
      </c>
      <c r="D158" s="29">
        <v>306.13191286999995</v>
      </c>
      <c r="E158" s="29">
        <v>114.60035280999999</v>
      </c>
      <c r="F158" s="29">
        <f t="shared" ref="F158:F177" si="68">D158-E158</f>
        <v>191.53156005999995</v>
      </c>
      <c r="G158" s="30">
        <v>191.53156005999998</v>
      </c>
      <c r="H158" s="29">
        <f t="shared" si="66"/>
        <v>178.50655904999999</v>
      </c>
      <c r="I158" s="29">
        <v>0</v>
      </c>
      <c r="J158" s="29">
        <v>17.768626439999998</v>
      </c>
      <c r="K158" s="29">
        <v>156.569258658</v>
      </c>
      <c r="L158" s="29">
        <v>38.588312839999993</v>
      </c>
      <c r="M158" s="29">
        <v>0</v>
      </c>
      <c r="N158" s="29">
        <v>119.62663325</v>
      </c>
      <c r="O158" s="29">
        <f>G158-I158-K158-M158</f>
        <v>34.96230140199998</v>
      </c>
      <c r="P158" s="29">
        <v>2.5229865199999999</v>
      </c>
      <c r="Q158" s="29">
        <f>F158-H158</f>
        <v>13.025001009999954</v>
      </c>
      <c r="R158" s="29">
        <f t="shared" si="67"/>
        <v>-13.025001009999983</v>
      </c>
      <c r="S158" s="31">
        <f t="shared" si="64"/>
        <v>-6.8004463629491224E-2</v>
      </c>
      <c r="T158" s="30" t="s">
        <v>32</v>
      </c>
    </row>
    <row r="159" spans="1:20" s="1" customFormat="1" ht="31.5" x14ac:dyDescent="0.25">
      <c r="A159" s="26" t="s">
        <v>340</v>
      </c>
      <c r="B159" s="34" t="s">
        <v>346</v>
      </c>
      <c r="C159" s="28" t="s">
        <v>347</v>
      </c>
      <c r="D159" s="29" t="s">
        <v>32</v>
      </c>
      <c r="E159" s="29" t="s">
        <v>32</v>
      </c>
      <c r="F159" s="29" t="s">
        <v>32</v>
      </c>
      <c r="G159" s="30" t="s">
        <v>32</v>
      </c>
      <c r="H159" s="29">
        <f t="shared" si="66"/>
        <v>0</v>
      </c>
      <c r="I159" s="29" t="s">
        <v>32</v>
      </c>
      <c r="J159" s="29">
        <v>0</v>
      </c>
      <c r="K159" s="29" t="s">
        <v>32</v>
      </c>
      <c r="L159" s="29">
        <v>0</v>
      </c>
      <c r="M159" s="29" t="s">
        <v>32</v>
      </c>
      <c r="N159" s="29">
        <v>0</v>
      </c>
      <c r="O159" s="29" t="s">
        <v>32</v>
      </c>
      <c r="P159" s="29">
        <v>0</v>
      </c>
      <c r="Q159" s="29" t="s">
        <v>32</v>
      </c>
      <c r="R159" s="29" t="s">
        <v>32</v>
      </c>
      <c r="S159" s="31" t="s">
        <v>32</v>
      </c>
      <c r="T159" s="30" t="s">
        <v>348</v>
      </c>
    </row>
    <row r="160" spans="1:20" s="1" customFormat="1" ht="31.5" x14ac:dyDescent="0.25">
      <c r="A160" s="26" t="s">
        <v>340</v>
      </c>
      <c r="B160" s="34" t="s">
        <v>349</v>
      </c>
      <c r="C160" s="28" t="s">
        <v>350</v>
      </c>
      <c r="D160" s="29">
        <v>0.32815662400000001</v>
      </c>
      <c r="E160" s="29">
        <v>9.6146620000000002E-2</v>
      </c>
      <c r="F160" s="29">
        <f t="shared" si="68"/>
        <v>0.23201000399999999</v>
      </c>
      <c r="G160" s="30">
        <v>0.23201000399999999</v>
      </c>
      <c r="H160" s="29">
        <f t="shared" si="66"/>
        <v>0.11553713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  <c r="N160" s="29">
        <v>0.11553713</v>
      </c>
      <c r="O160" s="29">
        <v>0.23201000400000002</v>
      </c>
      <c r="P160" s="29">
        <v>0</v>
      </c>
      <c r="Q160" s="29">
        <f t="shared" ref="Q160:Q177" si="69">F160-H160</f>
        <v>0.11647287399999999</v>
      </c>
      <c r="R160" s="29">
        <f t="shared" si="67"/>
        <v>-0.11647287400000002</v>
      </c>
      <c r="S160" s="31">
        <f t="shared" si="64"/>
        <v>-0.5020166026978734</v>
      </c>
      <c r="T160" s="30" t="s">
        <v>351</v>
      </c>
    </row>
    <row r="161" spans="1:20" s="1" customFormat="1" ht="31.5" x14ac:dyDescent="0.25">
      <c r="A161" s="26" t="s">
        <v>340</v>
      </c>
      <c r="B161" s="34" t="s">
        <v>352</v>
      </c>
      <c r="C161" s="30" t="s">
        <v>353</v>
      </c>
      <c r="D161" s="29">
        <v>0.61406694399999995</v>
      </c>
      <c r="E161" s="29">
        <v>0.32124999999999998</v>
      </c>
      <c r="F161" s="29">
        <f t="shared" si="68"/>
        <v>0.29281694399999997</v>
      </c>
      <c r="G161" s="30">
        <v>0.29281694399999997</v>
      </c>
      <c r="H161" s="29">
        <f t="shared" si="66"/>
        <v>0.2164596</v>
      </c>
      <c r="I161" s="29">
        <v>0</v>
      </c>
      <c r="J161" s="29">
        <v>0</v>
      </c>
      <c r="K161" s="29">
        <v>0</v>
      </c>
      <c r="L161" s="29">
        <v>0</v>
      </c>
      <c r="M161" s="29">
        <v>0</v>
      </c>
      <c r="N161" s="29">
        <v>0</v>
      </c>
      <c r="O161" s="29">
        <v>0.29281694399999997</v>
      </c>
      <c r="P161" s="29">
        <v>0.2164596</v>
      </c>
      <c r="Q161" s="29">
        <f t="shared" si="69"/>
        <v>7.6357343999999966E-2</v>
      </c>
      <c r="R161" s="29">
        <f t="shared" si="67"/>
        <v>-7.6357343999999966E-2</v>
      </c>
      <c r="S161" s="31">
        <f t="shared" si="64"/>
        <v>-0.26076818833270787</v>
      </c>
      <c r="T161" s="30" t="s">
        <v>354</v>
      </c>
    </row>
    <row r="162" spans="1:20" s="1" customFormat="1" ht="31.5" x14ac:dyDescent="0.25">
      <c r="A162" s="26" t="s">
        <v>340</v>
      </c>
      <c r="B162" s="34" t="s">
        <v>355</v>
      </c>
      <c r="C162" s="30" t="s">
        <v>356</v>
      </c>
      <c r="D162" s="29">
        <v>0.56540904000000003</v>
      </c>
      <c r="E162" s="29">
        <v>0.32731440000000001</v>
      </c>
      <c r="F162" s="29">
        <f t="shared" si="68"/>
        <v>0.23809464000000002</v>
      </c>
      <c r="G162" s="30">
        <v>0.23809464</v>
      </c>
      <c r="H162" s="29">
        <f t="shared" si="66"/>
        <v>0.24089760000000002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  <c r="N162" s="29">
        <v>0</v>
      </c>
      <c r="O162" s="29">
        <v>0.23809464</v>
      </c>
      <c r="P162" s="29">
        <v>0.24089760000000002</v>
      </c>
      <c r="Q162" s="29">
        <f t="shared" si="69"/>
        <v>-2.8029599999999932E-3</v>
      </c>
      <c r="R162" s="29">
        <f t="shared" si="67"/>
        <v>2.802960000000021E-3</v>
      </c>
      <c r="S162" s="31">
        <f t="shared" si="64"/>
        <v>1.1772461572423558E-2</v>
      </c>
      <c r="T162" s="29" t="s">
        <v>154</v>
      </c>
    </row>
    <row r="163" spans="1:20" s="1" customFormat="1" ht="31.5" x14ac:dyDescent="0.25">
      <c r="A163" s="26" t="s">
        <v>340</v>
      </c>
      <c r="B163" s="34" t="s">
        <v>357</v>
      </c>
      <c r="C163" s="30" t="s">
        <v>358</v>
      </c>
      <c r="D163" s="29">
        <v>1.0455741362052</v>
      </c>
      <c r="E163" s="29">
        <v>0</v>
      </c>
      <c r="F163" s="29">
        <f t="shared" si="68"/>
        <v>1.0455741362052</v>
      </c>
      <c r="G163" s="30">
        <v>1.0455741362052</v>
      </c>
      <c r="H163" s="29">
        <f t="shared" si="66"/>
        <v>1.1000003999999999</v>
      </c>
      <c r="I163" s="29">
        <v>0</v>
      </c>
      <c r="J163" s="29">
        <v>0</v>
      </c>
      <c r="K163" s="29">
        <v>0</v>
      </c>
      <c r="L163" s="29">
        <v>1.1000003999999999</v>
      </c>
      <c r="M163" s="29">
        <v>0</v>
      </c>
      <c r="N163" s="29">
        <v>0</v>
      </c>
      <c r="O163" s="29">
        <v>1.0455741362099999</v>
      </c>
      <c r="P163" s="29">
        <v>0</v>
      </c>
      <c r="Q163" s="29">
        <f t="shared" si="69"/>
        <v>-5.4426263794799867E-2</v>
      </c>
      <c r="R163" s="29">
        <f t="shared" si="67"/>
        <v>5.4426263789999929E-2</v>
      </c>
      <c r="S163" s="31">
        <f t="shared" si="64"/>
        <v>5.2053949983197179E-2</v>
      </c>
      <c r="T163" s="29" t="s">
        <v>154</v>
      </c>
    </row>
    <row r="164" spans="1:20" s="1" customFormat="1" ht="31.5" x14ac:dyDescent="0.25">
      <c r="A164" s="26" t="s">
        <v>340</v>
      </c>
      <c r="B164" s="34" t="s">
        <v>359</v>
      </c>
      <c r="C164" s="30" t="s">
        <v>360</v>
      </c>
      <c r="D164" s="29">
        <v>0.60713146620000003</v>
      </c>
      <c r="E164" s="29">
        <v>0</v>
      </c>
      <c r="F164" s="29">
        <f t="shared" si="68"/>
        <v>0.60713146620000003</v>
      </c>
      <c r="G164" s="30">
        <v>0.60713146620000003</v>
      </c>
      <c r="H164" s="29">
        <f t="shared" si="66"/>
        <v>0.65499960000000002</v>
      </c>
      <c r="I164" s="29">
        <v>0</v>
      </c>
      <c r="J164" s="29">
        <v>0</v>
      </c>
      <c r="K164" s="29">
        <v>0</v>
      </c>
      <c r="L164" s="29">
        <v>0.65499960000000002</v>
      </c>
      <c r="M164" s="29">
        <v>0</v>
      </c>
      <c r="N164" s="29">
        <v>0</v>
      </c>
      <c r="O164" s="29">
        <v>0.60713146620000003</v>
      </c>
      <c r="P164" s="29">
        <v>0</v>
      </c>
      <c r="Q164" s="29">
        <f t="shared" si="69"/>
        <v>-4.786813379999999E-2</v>
      </c>
      <c r="R164" s="29">
        <f t="shared" si="67"/>
        <v>4.786813379999999E-2</v>
      </c>
      <c r="S164" s="31">
        <f t="shared" si="64"/>
        <v>7.8843111360384285E-2</v>
      </c>
      <c r="T164" s="29" t="s">
        <v>154</v>
      </c>
    </row>
    <row r="165" spans="1:20" s="1" customFormat="1" ht="31.5" x14ac:dyDescent="0.25">
      <c r="A165" s="26" t="s">
        <v>340</v>
      </c>
      <c r="B165" s="34" t="s">
        <v>361</v>
      </c>
      <c r="C165" s="30" t="s">
        <v>362</v>
      </c>
      <c r="D165" s="29">
        <v>0.11493762134400001</v>
      </c>
      <c r="E165" s="29">
        <v>0</v>
      </c>
      <c r="F165" s="29">
        <f t="shared" si="68"/>
        <v>0.11493762134400001</v>
      </c>
      <c r="G165" s="30">
        <v>0.11493762134400001</v>
      </c>
      <c r="H165" s="29">
        <f t="shared" si="66"/>
        <v>0.1530996</v>
      </c>
      <c r="I165" s="29">
        <v>0</v>
      </c>
      <c r="J165" s="29">
        <v>0</v>
      </c>
      <c r="K165" s="29">
        <v>0</v>
      </c>
      <c r="L165" s="29">
        <v>0</v>
      </c>
      <c r="M165" s="29">
        <v>0</v>
      </c>
      <c r="N165" s="29">
        <v>0</v>
      </c>
      <c r="O165" s="29">
        <v>0.11493762134</v>
      </c>
      <c r="P165" s="29">
        <v>0.1530996</v>
      </c>
      <c r="Q165" s="29">
        <f t="shared" si="69"/>
        <v>-3.816197865599999E-2</v>
      </c>
      <c r="R165" s="29">
        <f t="shared" si="67"/>
        <v>3.8161978659999998E-2</v>
      </c>
      <c r="S165" s="31">
        <f t="shared" si="64"/>
        <v>0.33202338986215874</v>
      </c>
      <c r="T165" s="29" t="s">
        <v>363</v>
      </c>
    </row>
    <row r="166" spans="1:20" s="1" customFormat="1" ht="31.5" x14ac:dyDescent="0.25">
      <c r="A166" s="26" t="s">
        <v>340</v>
      </c>
      <c r="B166" s="34" t="s">
        <v>364</v>
      </c>
      <c r="C166" s="30" t="s">
        <v>365</v>
      </c>
      <c r="D166" s="29">
        <v>0.76530214799999996</v>
      </c>
      <c r="E166" s="29">
        <v>0</v>
      </c>
      <c r="F166" s="29">
        <f t="shared" si="68"/>
        <v>0.76530214799999996</v>
      </c>
      <c r="G166" s="30">
        <v>0.76530214799999996</v>
      </c>
      <c r="H166" s="29">
        <f t="shared" si="66"/>
        <v>0.50545439999999997</v>
      </c>
      <c r="I166" s="29">
        <v>0</v>
      </c>
      <c r="J166" s="29">
        <v>0</v>
      </c>
      <c r="K166" s="29">
        <v>0</v>
      </c>
      <c r="L166" s="29">
        <v>0</v>
      </c>
      <c r="M166" s="29">
        <v>0</v>
      </c>
      <c r="N166" s="29">
        <v>0</v>
      </c>
      <c r="O166" s="29">
        <v>0.76530214799999996</v>
      </c>
      <c r="P166" s="29">
        <v>0.50545439999999997</v>
      </c>
      <c r="Q166" s="29">
        <f t="shared" si="69"/>
        <v>0.25984774799999999</v>
      </c>
      <c r="R166" s="29">
        <f t="shared" si="67"/>
        <v>-0.25984774799999999</v>
      </c>
      <c r="S166" s="31">
        <f t="shared" si="64"/>
        <v>-0.33953615402631798</v>
      </c>
      <c r="T166" s="29" t="s">
        <v>240</v>
      </c>
    </row>
    <row r="167" spans="1:20" s="1" customFormat="1" ht="31.5" x14ac:dyDescent="0.25">
      <c r="A167" s="26" t="s">
        <v>340</v>
      </c>
      <c r="B167" s="34" t="s">
        <v>366</v>
      </c>
      <c r="C167" s="30" t="s">
        <v>367</v>
      </c>
      <c r="D167" s="29">
        <v>1.019466</v>
      </c>
      <c r="E167" s="29">
        <v>0</v>
      </c>
      <c r="F167" s="29">
        <f t="shared" si="68"/>
        <v>1.019466</v>
      </c>
      <c r="G167" s="30">
        <v>1.019466</v>
      </c>
      <c r="H167" s="29">
        <f t="shared" si="66"/>
        <v>1.1000003999999999</v>
      </c>
      <c r="I167" s="29">
        <v>0</v>
      </c>
      <c r="J167" s="29">
        <v>0</v>
      </c>
      <c r="K167" s="29">
        <v>0</v>
      </c>
      <c r="L167" s="29">
        <v>1.1000003999999999</v>
      </c>
      <c r="M167" s="29">
        <v>0</v>
      </c>
      <c r="N167" s="29">
        <v>0</v>
      </c>
      <c r="O167" s="29">
        <v>1.019466</v>
      </c>
      <c r="P167" s="29">
        <v>0</v>
      </c>
      <c r="Q167" s="29">
        <f t="shared" si="69"/>
        <v>-8.0534399999999895E-2</v>
      </c>
      <c r="R167" s="29">
        <f t="shared" si="67"/>
        <v>8.0534399999999895E-2</v>
      </c>
      <c r="S167" s="31">
        <f t="shared" si="64"/>
        <v>7.8996651187974776E-2</v>
      </c>
      <c r="T167" s="29" t="s">
        <v>154</v>
      </c>
    </row>
    <row r="168" spans="1:20" s="1" customFormat="1" ht="31.5" x14ac:dyDescent="0.25">
      <c r="A168" s="26" t="s">
        <v>340</v>
      </c>
      <c r="B168" s="34" t="s">
        <v>368</v>
      </c>
      <c r="C168" s="30" t="s">
        <v>369</v>
      </c>
      <c r="D168" s="29">
        <v>0.33482407200000003</v>
      </c>
      <c r="E168" s="29">
        <v>0</v>
      </c>
      <c r="F168" s="29">
        <f t="shared" si="68"/>
        <v>0.33482407200000003</v>
      </c>
      <c r="G168" s="30">
        <v>0.33482407200000003</v>
      </c>
      <c r="H168" s="29">
        <f t="shared" si="66"/>
        <v>0.35000039999999999</v>
      </c>
      <c r="I168" s="29">
        <v>0</v>
      </c>
      <c r="J168" s="29">
        <v>0</v>
      </c>
      <c r="K168" s="29">
        <v>0</v>
      </c>
      <c r="L168" s="29">
        <v>0</v>
      </c>
      <c r="M168" s="29">
        <v>0</v>
      </c>
      <c r="N168" s="29">
        <v>0</v>
      </c>
      <c r="O168" s="29">
        <v>0.33482407200000003</v>
      </c>
      <c r="P168" s="29">
        <v>0.35000039999999999</v>
      </c>
      <c r="Q168" s="29">
        <f t="shared" si="69"/>
        <v>-1.5176327999999961E-2</v>
      </c>
      <c r="R168" s="29">
        <f t="shared" si="67"/>
        <v>1.5176327999999961E-2</v>
      </c>
      <c r="S168" s="31">
        <f t="shared" si="64"/>
        <v>4.5326275107244858E-2</v>
      </c>
      <c r="T168" s="29" t="s">
        <v>154</v>
      </c>
    </row>
    <row r="169" spans="1:20" s="1" customFormat="1" x14ac:dyDescent="0.25">
      <c r="A169" s="26" t="s">
        <v>340</v>
      </c>
      <c r="B169" s="34" t="s">
        <v>370</v>
      </c>
      <c r="C169" s="30" t="s">
        <v>371</v>
      </c>
      <c r="D169" s="29">
        <v>0.13252071420000003</v>
      </c>
      <c r="E169" s="29">
        <v>0</v>
      </c>
      <c r="F169" s="29">
        <f t="shared" si="68"/>
        <v>0.13252071420000003</v>
      </c>
      <c r="G169" s="30">
        <v>0.13252071420000003</v>
      </c>
      <c r="H169" s="29">
        <f t="shared" si="66"/>
        <v>0.11640164</v>
      </c>
      <c r="I169" s="29">
        <v>0</v>
      </c>
      <c r="J169" s="29">
        <v>0</v>
      </c>
      <c r="K169" s="29">
        <v>0</v>
      </c>
      <c r="L169" s="29">
        <v>0</v>
      </c>
      <c r="M169" s="29">
        <v>0</v>
      </c>
      <c r="N169" s="29">
        <v>0.11640164</v>
      </c>
      <c r="O169" s="29">
        <v>0.13252071419999997</v>
      </c>
      <c r="P169" s="29">
        <v>0</v>
      </c>
      <c r="Q169" s="29">
        <f t="shared" si="69"/>
        <v>1.6119074200000028E-2</v>
      </c>
      <c r="R169" s="29">
        <f t="shared" si="67"/>
        <v>-1.6119074199999972E-2</v>
      </c>
      <c r="S169" s="31">
        <f t="shared" si="64"/>
        <v>-0.12163437465084213</v>
      </c>
      <c r="T169" s="29" t="s">
        <v>240</v>
      </c>
    </row>
    <row r="170" spans="1:20" s="1" customFormat="1" ht="31.5" x14ac:dyDescent="0.25">
      <c r="A170" s="26" t="s">
        <v>340</v>
      </c>
      <c r="B170" s="34" t="s">
        <v>372</v>
      </c>
      <c r="C170" s="30" t="s">
        <v>373</v>
      </c>
      <c r="D170" s="29">
        <v>0.15226218</v>
      </c>
      <c r="E170" s="29">
        <v>0</v>
      </c>
      <c r="F170" s="29">
        <f t="shared" si="68"/>
        <v>0.15226218</v>
      </c>
      <c r="G170" s="30">
        <v>0.15226218</v>
      </c>
      <c r="H170" s="29">
        <f t="shared" si="66"/>
        <v>0.1632432</v>
      </c>
      <c r="I170" s="29">
        <v>0</v>
      </c>
      <c r="J170" s="29">
        <v>0</v>
      </c>
      <c r="K170" s="29">
        <v>0</v>
      </c>
      <c r="L170" s="29">
        <v>0</v>
      </c>
      <c r="M170" s="29">
        <v>0</v>
      </c>
      <c r="N170" s="29">
        <v>0</v>
      </c>
      <c r="O170" s="29">
        <v>0.15226218</v>
      </c>
      <c r="P170" s="29">
        <v>0.1632432</v>
      </c>
      <c r="Q170" s="29">
        <f t="shared" si="69"/>
        <v>-1.0981020000000008E-2</v>
      </c>
      <c r="R170" s="29">
        <f t="shared" si="67"/>
        <v>1.0981020000000008E-2</v>
      </c>
      <c r="S170" s="31">
        <f t="shared" si="64"/>
        <v>7.2119156575848373E-2</v>
      </c>
      <c r="T170" s="29" t="s">
        <v>154</v>
      </c>
    </row>
    <row r="171" spans="1:20" s="1" customFormat="1" ht="31.5" x14ac:dyDescent="0.25">
      <c r="A171" s="26" t="s">
        <v>340</v>
      </c>
      <c r="B171" s="34" t="s">
        <v>374</v>
      </c>
      <c r="C171" s="30" t="s">
        <v>375</v>
      </c>
      <c r="D171" s="29">
        <v>0.37312455600000005</v>
      </c>
      <c r="E171" s="29">
        <v>0</v>
      </c>
      <c r="F171" s="29">
        <f t="shared" si="68"/>
        <v>0.37312455600000005</v>
      </c>
      <c r="G171" s="30">
        <v>0.37312455600000005</v>
      </c>
      <c r="H171" s="29">
        <f t="shared" si="66"/>
        <v>0.30854113999999999</v>
      </c>
      <c r="I171" s="29">
        <v>0</v>
      </c>
      <c r="J171" s="29">
        <v>0</v>
      </c>
      <c r="K171" s="29">
        <v>0</v>
      </c>
      <c r="L171" s="29">
        <v>0</v>
      </c>
      <c r="M171" s="29">
        <v>0</v>
      </c>
      <c r="N171" s="29">
        <v>0.30854113999999999</v>
      </c>
      <c r="O171" s="29">
        <v>0.373124556</v>
      </c>
      <c r="P171" s="29">
        <v>0</v>
      </c>
      <c r="Q171" s="29">
        <f t="shared" si="69"/>
        <v>6.458341600000006E-2</v>
      </c>
      <c r="R171" s="29">
        <f t="shared" si="67"/>
        <v>-6.4583416000000005E-2</v>
      </c>
      <c r="S171" s="31">
        <f t="shared" si="64"/>
        <v>-0.17308808804317882</v>
      </c>
      <c r="T171" s="29" t="s">
        <v>240</v>
      </c>
    </row>
    <row r="172" spans="1:20" s="1" customFormat="1" ht="31.5" x14ac:dyDescent="0.25">
      <c r="A172" s="26" t="s">
        <v>340</v>
      </c>
      <c r="B172" s="34" t="s">
        <v>376</v>
      </c>
      <c r="C172" s="30" t="s">
        <v>377</v>
      </c>
      <c r="D172" s="29">
        <v>0.13163095199999997</v>
      </c>
      <c r="E172" s="29">
        <v>0</v>
      </c>
      <c r="F172" s="29">
        <f t="shared" si="68"/>
        <v>0.13163095199999997</v>
      </c>
      <c r="G172" s="30">
        <v>0.13163095199999997</v>
      </c>
      <c r="H172" s="29">
        <f t="shared" si="66"/>
        <v>0.12840000000000001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  <c r="N172" s="29">
        <v>0</v>
      </c>
      <c r="O172" s="29">
        <v>0.131630952</v>
      </c>
      <c r="P172" s="29">
        <v>0.12840000000000001</v>
      </c>
      <c r="Q172" s="29">
        <f t="shared" si="69"/>
        <v>3.2309519999999536E-3</v>
      </c>
      <c r="R172" s="29">
        <f t="shared" si="67"/>
        <v>-3.2309519999999814E-3</v>
      </c>
      <c r="S172" s="31">
        <f t="shared" si="64"/>
        <v>-2.4545533940983588E-2</v>
      </c>
      <c r="T172" s="29" t="s">
        <v>32</v>
      </c>
    </row>
    <row r="173" spans="1:20" s="1" customFormat="1" ht="31.5" x14ac:dyDescent="0.25">
      <c r="A173" s="26" t="s">
        <v>340</v>
      </c>
      <c r="B173" s="34" t="s">
        <v>378</v>
      </c>
      <c r="C173" s="30" t="s">
        <v>379</v>
      </c>
      <c r="D173" s="29">
        <v>0.35253791999999995</v>
      </c>
      <c r="E173" s="29">
        <v>0</v>
      </c>
      <c r="F173" s="29">
        <f t="shared" si="68"/>
        <v>0.35253791999999995</v>
      </c>
      <c r="G173" s="30">
        <v>0.35253791999999995</v>
      </c>
      <c r="H173" s="29">
        <f t="shared" si="66"/>
        <v>0.36471870000000001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>
        <v>0.36471870000000001</v>
      </c>
      <c r="O173" s="29">
        <v>0.35253792</v>
      </c>
      <c r="P173" s="29">
        <v>0</v>
      </c>
      <c r="Q173" s="29">
        <f t="shared" si="69"/>
        <v>-1.2180780000000058E-2</v>
      </c>
      <c r="R173" s="29">
        <f t="shared" si="67"/>
        <v>1.2180780000000002E-2</v>
      </c>
      <c r="S173" s="31">
        <f t="shared" si="64"/>
        <v>3.4551687375928244E-2</v>
      </c>
      <c r="T173" s="29" t="s">
        <v>154</v>
      </c>
    </row>
    <row r="174" spans="1:20" s="1" customFormat="1" ht="31.5" x14ac:dyDescent="0.25">
      <c r="A174" s="26" t="s">
        <v>340</v>
      </c>
      <c r="B174" s="34" t="s">
        <v>380</v>
      </c>
      <c r="C174" s="30" t="s">
        <v>381</v>
      </c>
      <c r="D174" s="29">
        <v>0.10595869199999999</v>
      </c>
      <c r="E174" s="29">
        <v>0</v>
      </c>
      <c r="F174" s="29">
        <f t="shared" si="68"/>
        <v>0.10595869199999999</v>
      </c>
      <c r="G174" s="30">
        <v>0.10595869199999999</v>
      </c>
      <c r="H174" s="29">
        <f t="shared" si="66"/>
        <v>0.10557647000000001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29">
        <v>0.10557647000000001</v>
      </c>
      <c r="O174" s="29">
        <v>0.10595869199999999</v>
      </c>
      <c r="P174" s="29">
        <v>0</v>
      </c>
      <c r="Q174" s="29">
        <f t="shared" si="69"/>
        <v>3.8222199999998763E-4</v>
      </c>
      <c r="R174" s="29">
        <f t="shared" si="67"/>
        <v>-3.8222199999998763E-4</v>
      </c>
      <c r="S174" s="31">
        <f t="shared" si="64"/>
        <v>-3.6072736722720933E-3</v>
      </c>
      <c r="T174" s="29" t="s">
        <v>32</v>
      </c>
    </row>
    <row r="175" spans="1:20" s="1" customFormat="1" ht="31.5" x14ac:dyDescent="0.25">
      <c r="A175" s="26" t="s">
        <v>340</v>
      </c>
      <c r="B175" s="34" t="s">
        <v>382</v>
      </c>
      <c r="C175" s="30" t="s">
        <v>383</v>
      </c>
      <c r="D175" s="29">
        <v>0.2038932</v>
      </c>
      <c r="E175" s="29">
        <v>0</v>
      </c>
      <c r="F175" s="29">
        <f t="shared" si="68"/>
        <v>0.2038932</v>
      </c>
      <c r="G175" s="30">
        <v>0.2038932</v>
      </c>
      <c r="H175" s="29">
        <f t="shared" si="66"/>
        <v>0.20214769999999999</v>
      </c>
      <c r="I175" s="29">
        <v>0</v>
      </c>
      <c r="J175" s="29">
        <v>0</v>
      </c>
      <c r="K175" s="29">
        <v>0</v>
      </c>
      <c r="L175" s="29">
        <v>0</v>
      </c>
      <c r="M175" s="29">
        <v>0</v>
      </c>
      <c r="N175" s="29">
        <v>0</v>
      </c>
      <c r="O175" s="29">
        <v>0.2038932</v>
      </c>
      <c r="P175" s="29">
        <v>0.20214769999999999</v>
      </c>
      <c r="Q175" s="29">
        <f t="shared" si="69"/>
        <v>1.7455000000000109E-3</v>
      </c>
      <c r="R175" s="29">
        <f t="shared" si="67"/>
        <v>-1.7455000000000109E-3</v>
      </c>
      <c r="S175" s="31">
        <f t="shared" si="64"/>
        <v>-8.5608544080921327E-3</v>
      </c>
      <c r="T175" s="29" t="s">
        <v>32</v>
      </c>
    </row>
    <row r="176" spans="1:20" s="1" customFormat="1" ht="31.5" x14ac:dyDescent="0.25">
      <c r="A176" s="26" t="s">
        <v>340</v>
      </c>
      <c r="B176" s="34" t="s">
        <v>384</v>
      </c>
      <c r="C176" s="30" t="s">
        <v>385</v>
      </c>
      <c r="D176" s="29">
        <v>0.1177581888</v>
      </c>
      <c r="E176" s="29">
        <v>0</v>
      </c>
      <c r="F176" s="29">
        <f t="shared" si="68"/>
        <v>0.1177581888</v>
      </c>
      <c r="G176" s="30">
        <v>0.1177581888</v>
      </c>
      <c r="H176" s="29">
        <f t="shared" si="66"/>
        <v>0.11640165000000001</v>
      </c>
      <c r="I176" s="29">
        <v>0</v>
      </c>
      <c r="J176" s="29">
        <v>0</v>
      </c>
      <c r="K176" s="29">
        <v>0</v>
      </c>
      <c r="L176" s="29">
        <v>0</v>
      </c>
      <c r="M176" s="29">
        <v>0</v>
      </c>
      <c r="N176" s="29">
        <v>0.11640165000000001</v>
      </c>
      <c r="O176" s="29">
        <v>0.1177581888</v>
      </c>
      <c r="P176" s="29">
        <v>0</v>
      </c>
      <c r="Q176" s="29">
        <f t="shared" si="69"/>
        <v>1.3565387999999873E-3</v>
      </c>
      <c r="R176" s="29">
        <f t="shared" si="67"/>
        <v>-1.3565387999999873E-3</v>
      </c>
      <c r="S176" s="31">
        <f t="shared" si="64"/>
        <v>-1.1519698237749962E-2</v>
      </c>
      <c r="T176" s="29" t="s">
        <v>32</v>
      </c>
    </row>
    <row r="177" spans="1:20" s="1" customFormat="1" ht="31.5" x14ac:dyDescent="0.25">
      <c r="A177" s="26" t="s">
        <v>340</v>
      </c>
      <c r="B177" s="34" t="s">
        <v>386</v>
      </c>
      <c r="C177" s="30" t="s">
        <v>387</v>
      </c>
      <c r="D177" s="29">
        <v>0.144499135896</v>
      </c>
      <c r="E177" s="29">
        <v>0</v>
      </c>
      <c r="F177" s="29">
        <f t="shared" si="68"/>
        <v>0.144499135896</v>
      </c>
      <c r="G177" s="30">
        <v>0.144499135896</v>
      </c>
      <c r="H177" s="29">
        <f t="shared" si="66"/>
        <v>0.12565159000000001</v>
      </c>
      <c r="I177" s="29">
        <v>0</v>
      </c>
      <c r="J177" s="29">
        <v>0</v>
      </c>
      <c r="K177" s="29">
        <v>0</v>
      </c>
      <c r="L177" s="29">
        <v>0</v>
      </c>
      <c r="M177" s="29">
        <v>0</v>
      </c>
      <c r="N177" s="29">
        <v>0.12565159000000001</v>
      </c>
      <c r="O177" s="29">
        <v>0.14449913589999999</v>
      </c>
      <c r="P177" s="29">
        <v>0</v>
      </c>
      <c r="Q177" s="29">
        <f t="shared" si="69"/>
        <v>1.884754589599999E-2</v>
      </c>
      <c r="R177" s="29">
        <f t="shared" si="67"/>
        <v>-1.8847545899999985E-2</v>
      </c>
      <c r="S177" s="31">
        <f t="shared" si="64"/>
        <v>-0.13043362358265828</v>
      </c>
      <c r="T177" s="29" t="s">
        <v>240</v>
      </c>
    </row>
    <row r="178" spans="1:20" s="1" customFormat="1" ht="31.5" x14ac:dyDescent="0.25">
      <c r="A178" s="26" t="s">
        <v>340</v>
      </c>
      <c r="B178" s="34" t="s">
        <v>388</v>
      </c>
      <c r="C178" s="30" t="s">
        <v>389</v>
      </c>
      <c r="D178" s="29" t="s">
        <v>32</v>
      </c>
      <c r="E178" s="29" t="s">
        <v>32</v>
      </c>
      <c r="F178" s="29" t="s">
        <v>32</v>
      </c>
      <c r="G178" s="30" t="s">
        <v>32</v>
      </c>
      <c r="H178" s="29">
        <f t="shared" si="66"/>
        <v>8.1119999999999998E-2</v>
      </c>
      <c r="I178" s="29" t="s">
        <v>32</v>
      </c>
      <c r="J178" s="29">
        <v>0</v>
      </c>
      <c r="K178" s="29" t="s">
        <v>32</v>
      </c>
      <c r="L178" s="29">
        <v>0</v>
      </c>
      <c r="M178" s="29" t="s">
        <v>32</v>
      </c>
      <c r="N178" s="29">
        <v>8.1119999999999998E-2</v>
      </c>
      <c r="O178" s="29" t="s">
        <v>32</v>
      </c>
      <c r="P178" s="29">
        <v>0</v>
      </c>
      <c r="Q178" s="29" t="s">
        <v>32</v>
      </c>
      <c r="R178" s="29" t="s">
        <v>32</v>
      </c>
      <c r="S178" s="31" t="s">
        <v>32</v>
      </c>
      <c r="T178" s="29" t="s">
        <v>390</v>
      </c>
    </row>
    <row r="179" spans="1:20" s="1" customFormat="1" ht="47.25" x14ac:dyDescent="0.25">
      <c r="A179" s="26" t="s">
        <v>340</v>
      </c>
      <c r="B179" s="34" t="s">
        <v>391</v>
      </c>
      <c r="C179" s="30" t="s">
        <v>392</v>
      </c>
      <c r="D179" s="29">
        <v>0.46158999599999995</v>
      </c>
      <c r="E179" s="29">
        <v>0</v>
      </c>
      <c r="F179" s="29">
        <f t="shared" ref="F179:F183" si="70">D179-E179</f>
        <v>0.46158999599999995</v>
      </c>
      <c r="G179" s="30">
        <v>0.46158999599999995</v>
      </c>
      <c r="H179" s="29">
        <f t="shared" si="66"/>
        <v>0.17108186</v>
      </c>
      <c r="I179" s="29">
        <v>0</v>
      </c>
      <c r="J179" s="29">
        <v>0</v>
      </c>
      <c r="K179" s="29">
        <v>0</v>
      </c>
      <c r="L179" s="29">
        <v>0</v>
      </c>
      <c r="M179" s="29">
        <v>0</v>
      </c>
      <c r="N179" s="29">
        <v>0.17108186</v>
      </c>
      <c r="O179" s="29">
        <v>0.461589996</v>
      </c>
      <c r="P179" s="29">
        <v>0</v>
      </c>
      <c r="Q179" s="29">
        <f t="shared" ref="Q179:Q204" si="71">F179-H179</f>
        <v>0.29050813599999992</v>
      </c>
      <c r="R179" s="29">
        <f t="shared" si="67"/>
        <v>-0.29050813600000003</v>
      </c>
      <c r="S179" s="31">
        <f t="shared" si="64"/>
        <v>-0.62936402113879442</v>
      </c>
      <c r="T179" s="29" t="s">
        <v>240</v>
      </c>
    </row>
    <row r="180" spans="1:20" s="1" customFormat="1" ht="31.5" x14ac:dyDescent="0.25">
      <c r="A180" s="26" t="s">
        <v>340</v>
      </c>
      <c r="B180" s="34" t="s">
        <v>393</v>
      </c>
      <c r="C180" s="30" t="s">
        <v>394</v>
      </c>
      <c r="D180" s="29">
        <v>0.14544162360000001</v>
      </c>
      <c r="E180" s="29">
        <v>0</v>
      </c>
      <c r="F180" s="29">
        <f t="shared" si="70"/>
        <v>0.14544162360000001</v>
      </c>
      <c r="G180" s="30">
        <v>0.14544162360000001</v>
      </c>
      <c r="H180" s="29">
        <f t="shared" si="66"/>
        <v>0.13197058</v>
      </c>
      <c r="I180" s="29">
        <v>0</v>
      </c>
      <c r="J180" s="29">
        <v>0</v>
      </c>
      <c r="K180" s="29">
        <v>0</v>
      </c>
      <c r="L180" s="29">
        <v>0</v>
      </c>
      <c r="M180" s="29">
        <v>0</v>
      </c>
      <c r="N180" s="29">
        <v>0.13197058</v>
      </c>
      <c r="O180" s="29">
        <v>0.14544162360000001</v>
      </c>
      <c r="P180" s="29">
        <v>0</v>
      </c>
      <c r="Q180" s="29">
        <f t="shared" si="71"/>
        <v>1.347104360000001E-2</v>
      </c>
      <c r="R180" s="29">
        <f t="shared" si="67"/>
        <v>-1.347104360000001E-2</v>
      </c>
      <c r="S180" s="31">
        <f t="shared" si="64"/>
        <v>-9.2621653049258235E-2</v>
      </c>
      <c r="T180" s="29" t="s">
        <v>32</v>
      </c>
    </row>
    <row r="181" spans="1:20" s="1" customFormat="1" ht="31.5" x14ac:dyDescent="0.25">
      <c r="A181" s="26" t="s">
        <v>340</v>
      </c>
      <c r="B181" s="34" t="s">
        <v>395</v>
      </c>
      <c r="C181" s="30" t="s">
        <v>396</v>
      </c>
      <c r="D181" s="29">
        <v>6.417702900000001E-2</v>
      </c>
      <c r="E181" s="29">
        <v>0</v>
      </c>
      <c r="F181" s="29">
        <f t="shared" si="70"/>
        <v>6.417702900000001E-2</v>
      </c>
      <c r="G181" s="30">
        <v>6.417702900000001E-2</v>
      </c>
      <c r="H181" s="29">
        <f t="shared" si="66"/>
        <v>5.4804000000000005E-2</v>
      </c>
      <c r="I181" s="29">
        <v>0</v>
      </c>
      <c r="J181" s="29">
        <v>0</v>
      </c>
      <c r="K181" s="29">
        <v>0</v>
      </c>
      <c r="L181" s="29">
        <v>5.4804000000000005E-2</v>
      </c>
      <c r="M181" s="29">
        <v>0</v>
      </c>
      <c r="N181" s="29">
        <v>0</v>
      </c>
      <c r="O181" s="29">
        <v>6.417702900000001E-2</v>
      </c>
      <c r="P181" s="29">
        <v>0</v>
      </c>
      <c r="Q181" s="29">
        <f t="shared" si="71"/>
        <v>9.3730290000000049E-3</v>
      </c>
      <c r="R181" s="29">
        <f t="shared" si="67"/>
        <v>-9.3730290000000049E-3</v>
      </c>
      <c r="S181" s="31">
        <f t="shared" si="64"/>
        <v>-0.14604959353914629</v>
      </c>
      <c r="T181" s="29" t="s">
        <v>240</v>
      </c>
    </row>
    <row r="182" spans="1:20" s="1" customFormat="1" ht="31.5" x14ac:dyDescent="0.25">
      <c r="A182" s="26" t="s">
        <v>340</v>
      </c>
      <c r="B182" s="34" t="s">
        <v>397</v>
      </c>
      <c r="C182" s="30" t="s">
        <v>398</v>
      </c>
      <c r="D182" s="29">
        <v>1.4468644080000002</v>
      </c>
      <c r="E182" s="29">
        <v>0</v>
      </c>
      <c r="F182" s="29">
        <f t="shared" si="70"/>
        <v>1.4468644080000002</v>
      </c>
      <c r="G182" s="30">
        <v>1.4468644080000002</v>
      </c>
      <c r="H182" s="29">
        <f t="shared" si="66"/>
        <v>1.077</v>
      </c>
      <c r="I182" s="29">
        <v>0</v>
      </c>
      <c r="J182" s="29">
        <v>0</v>
      </c>
      <c r="K182" s="29">
        <v>0</v>
      </c>
      <c r="L182" s="29">
        <v>0</v>
      </c>
      <c r="M182" s="29">
        <v>0</v>
      </c>
      <c r="N182" s="29">
        <v>1.077</v>
      </c>
      <c r="O182" s="29">
        <v>1.4468644079999999</v>
      </c>
      <c r="P182" s="29">
        <v>0</v>
      </c>
      <c r="Q182" s="29">
        <f t="shared" si="71"/>
        <v>0.3698644080000002</v>
      </c>
      <c r="R182" s="29">
        <f t="shared" si="67"/>
        <v>-0.36986440799999998</v>
      </c>
      <c r="S182" s="31">
        <f t="shared" si="64"/>
        <v>-0.25563169980196238</v>
      </c>
      <c r="T182" s="29" t="s">
        <v>240</v>
      </c>
    </row>
    <row r="183" spans="1:20" s="1" customFormat="1" ht="66" customHeight="1" x14ac:dyDescent="0.25">
      <c r="A183" s="26" t="s">
        <v>340</v>
      </c>
      <c r="B183" s="34" t="s">
        <v>399</v>
      </c>
      <c r="C183" s="30" t="s">
        <v>400</v>
      </c>
      <c r="D183" s="29">
        <v>1.3297605375599999</v>
      </c>
      <c r="E183" s="29">
        <v>0</v>
      </c>
      <c r="F183" s="29">
        <f t="shared" si="70"/>
        <v>1.3297605375599999</v>
      </c>
      <c r="G183" s="30">
        <v>1.3297605375599999</v>
      </c>
      <c r="H183" s="29">
        <f t="shared" si="66"/>
        <v>1.3295999999999999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  <c r="N183" s="29">
        <v>1.3295999999999999</v>
      </c>
      <c r="O183" s="29">
        <v>1.3297605375600001</v>
      </c>
      <c r="P183" s="29">
        <v>0</v>
      </c>
      <c r="Q183" s="29">
        <f t="shared" si="71"/>
        <v>1.6053756000000696E-4</v>
      </c>
      <c r="R183" s="29">
        <f t="shared" si="67"/>
        <v>-1.6053756000022901E-4</v>
      </c>
      <c r="S183" s="31">
        <f t="shared" si="64"/>
        <v>-1.2072666879918249E-4</v>
      </c>
      <c r="T183" s="29" t="s">
        <v>32</v>
      </c>
    </row>
    <row r="184" spans="1:20" s="1" customFormat="1" ht="33" customHeight="1" x14ac:dyDescent="0.25">
      <c r="A184" s="26" t="s">
        <v>340</v>
      </c>
      <c r="B184" s="34" t="s">
        <v>401</v>
      </c>
      <c r="C184" s="28" t="s">
        <v>402</v>
      </c>
      <c r="D184" s="29">
        <v>0.57278832999999996</v>
      </c>
      <c r="E184" s="29">
        <v>0</v>
      </c>
      <c r="F184" s="29">
        <v>0.57278832999999996</v>
      </c>
      <c r="G184" s="30">
        <v>0.57278832999999996</v>
      </c>
      <c r="H184" s="29">
        <f t="shared" si="66"/>
        <v>0.57278832999999996</v>
      </c>
      <c r="I184" s="29">
        <v>0</v>
      </c>
      <c r="J184" s="29">
        <v>0</v>
      </c>
      <c r="K184" s="29">
        <v>0</v>
      </c>
      <c r="L184" s="29">
        <f>572.78833/1000</f>
        <v>0.57278832999999996</v>
      </c>
      <c r="M184" s="29">
        <v>0</v>
      </c>
      <c r="N184" s="29">
        <v>0</v>
      </c>
      <c r="O184" s="29">
        <v>0.57278832999999996</v>
      </c>
      <c r="P184" s="29">
        <v>0</v>
      </c>
      <c r="Q184" s="29">
        <f t="shared" si="71"/>
        <v>0</v>
      </c>
      <c r="R184" s="29">
        <f t="shared" si="67"/>
        <v>0</v>
      </c>
      <c r="S184" s="31">
        <f t="shared" si="64"/>
        <v>0</v>
      </c>
      <c r="T184" s="29" t="s">
        <v>32</v>
      </c>
    </row>
    <row r="185" spans="1:20" s="1" customFormat="1" ht="31.5" x14ac:dyDescent="0.25">
      <c r="A185" s="26" t="s">
        <v>340</v>
      </c>
      <c r="B185" s="34" t="s">
        <v>403</v>
      </c>
      <c r="C185" s="28" t="s">
        <v>404</v>
      </c>
      <c r="D185" s="29">
        <v>29.997734869999999</v>
      </c>
      <c r="E185" s="29">
        <f>D185-F185</f>
        <v>4.4996599999999987</v>
      </c>
      <c r="F185" s="29">
        <v>25.49807487</v>
      </c>
      <c r="G185" s="30">
        <v>25.49807487</v>
      </c>
      <c r="H185" s="29">
        <f t="shared" si="66"/>
        <v>25.49807487</v>
      </c>
      <c r="I185" s="29">
        <v>0</v>
      </c>
      <c r="J185" s="29">
        <v>25.49807487</v>
      </c>
      <c r="K185" s="29">
        <v>0</v>
      </c>
      <c r="L185" s="29">
        <v>0</v>
      </c>
      <c r="M185" s="29">
        <v>0</v>
      </c>
      <c r="N185" s="29">
        <v>0</v>
      </c>
      <c r="O185" s="29">
        <v>25.49807487</v>
      </c>
      <c r="P185" s="29">
        <v>0</v>
      </c>
      <c r="Q185" s="29">
        <f t="shared" si="71"/>
        <v>0</v>
      </c>
      <c r="R185" s="29">
        <f t="shared" si="67"/>
        <v>0</v>
      </c>
      <c r="S185" s="31">
        <f t="shared" si="64"/>
        <v>0</v>
      </c>
      <c r="T185" s="29" t="s">
        <v>32</v>
      </c>
    </row>
    <row r="186" spans="1:20" s="1" customFormat="1" ht="35.25" customHeight="1" x14ac:dyDescent="0.25">
      <c r="A186" s="26" t="s">
        <v>340</v>
      </c>
      <c r="B186" s="34" t="s">
        <v>405</v>
      </c>
      <c r="C186" s="28" t="s">
        <v>406</v>
      </c>
      <c r="D186" s="29">
        <v>6.2543249999999995E-2</v>
      </c>
      <c r="E186" s="29">
        <v>0</v>
      </c>
      <c r="F186" s="29">
        <v>6.2543249999999995E-2</v>
      </c>
      <c r="G186" s="29">
        <v>6.2543249999999995E-2</v>
      </c>
      <c r="H186" s="29">
        <f t="shared" si="66"/>
        <v>6.2543249999999995E-2</v>
      </c>
      <c r="I186" s="29">
        <v>0</v>
      </c>
      <c r="J186" s="29">
        <v>6.2543249999999995E-2</v>
      </c>
      <c r="K186" s="29">
        <v>0</v>
      </c>
      <c r="L186" s="29">
        <v>0</v>
      </c>
      <c r="M186" s="29">
        <v>0</v>
      </c>
      <c r="N186" s="29">
        <v>0</v>
      </c>
      <c r="O186" s="29">
        <v>6.2543249999999995E-2</v>
      </c>
      <c r="P186" s="29">
        <v>0</v>
      </c>
      <c r="Q186" s="29">
        <f t="shared" si="71"/>
        <v>0</v>
      </c>
      <c r="R186" s="29">
        <f t="shared" si="67"/>
        <v>0</v>
      </c>
      <c r="S186" s="31">
        <f t="shared" si="64"/>
        <v>0</v>
      </c>
      <c r="T186" s="30" t="s">
        <v>32</v>
      </c>
    </row>
    <row r="187" spans="1:20" s="1" customFormat="1" x14ac:dyDescent="0.25">
      <c r="A187" s="26" t="s">
        <v>340</v>
      </c>
      <c r="B187" s="34" t="s">
        <v>407</v>
      </c>
      <c r="C187" s="28" t="s">
        <v>408</v>
      </c>
      <c r="D187" s="29">
        <v>2.580546316</v>
      </c>
      <c r="E187" s="29">
        <f>D187-F187</f>
        <v>1.7172999999999998</v>
      </c>
      <c r="F187" s="29">
        <v>0.86324631600000001</v>
      </c>
      <c r="G187" s="30">
        <v>0.86324631600000001</v>
      </c>
      <c r="H187" s="29">
        <f t="shared" si="66"/>
        <v>0.8627999999999999</v>
      </c>
      <c r="I187" s="29">
        <v>0</v>
      </c>
      <c r="J187" s="29">
        <v>0</v>
      </c>
      <c r="K187" s="29">
        <v>0</v>
      </c>
      <c r="L187" s="29">
        <v>0</v>
      </c>
      <c r="M187" s="29">
        <v>0</v>
      </c>
      <c r="N187" s="29">
        <v>0.8627999999999999</v>
      </c>
      <c r="O187" s="29">
        <v>0.86324631600000001</v>
      </c>
      <c r="P187" s="29">
        <v>0</v>
      </c>
      <c r="Q187" s="29">
        <f t="shared" si="71"/>
        <v>4.4631600000011318E-4</v>
      </c>
      <c r="R187" s="29">
        <f t="shared" si="67"/>
        <v>-4.4631600000011318E-4</v>
      </c>
      <c r="S187" s="31">
        <f t="shared" si="64"/>
        <v>-5.1702045143753989E-4</v>
      </c>
      <c r="T187" s="30" t="s">
        <v>32</v>
      </c>
    </row>
    <row r="188" spans="1:20" s="1" customFormat="1" ht="31.5" x14ac:dyDescent="0.25">
      <c r="A188" s="26" t="s">
        <v>340</v>
      </c>
      <c r="B188" s="34" t="s">
        <v>409</v>
      </c>
      <c r="C188" s="28" t="s">
        <v>410</v>
      </c>
      <c r="D188" s="29">
        <v>19.71920274</v>
      </c>
      <c r="E188" s="29">
        <v>10.515000000000001</v>
      </c>
      <c r="F188" s="29">
        <f t="shared" ref="F188:F199" si="72">D188-E188</f>
        <v>9.2042027399999995</v>
      </c>
      <c r="G188" s="30">
        <v>9.2042027400000013</v>
      </c>
      <c r="H188" s="29">
        <f t="shared" si="66"/>
        <v>0</v>
      </c>
      <c r="I188" s="29">
        <v>0</v>
      </c>
      <c r="J188" s="29">
        <v>0</v>
      </c>
      <c r="K188" s="29">
        <v>0</v>
      </c>
      <c r="L188" s="29">
        <v>0</v>
      </c>
      <c r="M188" s="29">
        <v>0</v>
      </c>
      <c r="N188" s="29">
        <v>0</v>
      </c>
      <c r="O188" s="29">
        <v>9.2042027400000013</v>
      </c>
      <c r="P188" s="29">
        <v>0</v>
      </c>
      <c r="Q188" s="29">
        <f t="shared" si="71"/>
        <v>9.2042027399999995</v>
      </c>
      <c r="R188" s="29">
        <f t="shared" si="67"/>
        <v>-9.2042027400000013</v>
      </c>
      <c r="S188" s="31">
        <f t="shared" si="64"/>
        <v>-1</v>
      </c>
      <c r="T188" s="29" t="s">
        <v>411</v>
      </c>
    </row>
    <row r="189" spans="1:20" s="1" customFormat="1" x14ac:dyDescent="0.25">
      <c r="A189" s="26" t="s">
        <v>340</v>
      </c>
      <c r="B189" s="34" t="s">
        <v>412</v>
      </c>
      <c r="C189" s="28" t="s">
        <v>413</v>
      </c>
      <c r="D189" s="29">
        <v>0.16800000000000001</v>
      </c>
      <c r="E189" s="29">
        <v>0</v>
      </c>
      <c r="F189" s="29">
        <f t="shared" si="72"/>
        <v>0.16800000000000001</v>
      </c>
      <c r="G189" s="30">
        <v>0.16800000000000001</v>
      </c>
      <c r="H189" s="29">
        <f t="shared" si="66"/>
        <v>9.9599999999999994E-2</v>
      </c>
      <c r="I189" s="29">
        <v>0</v>
      </c>
      <c r="J189" s="29">
        <v>0</v>
      </c>
      <c r="K189" s="29">
        <v>0</v>
      </c>
      <c r="L189" s="29">
        <v>0</v>
      </c>
      <c r="M189" s="29">
        <v>0</v>
      </c>
      <c r="N189" s="29">
        <v>9.9599999999999994E-2</v>
      </c>
      <c r="O189" s="29">
        <v>0.16800000000000001</v>
      </c>
      <c r="P189" s="29">
        <v>0</v>
      </c>
      <c r="Q189" s="29">
        <f t="shared" si="71"/>
        <v>6.8400000000000016E-2</v>
      </c>
      <c r="R189" s="29">
        <f t="shared" si="67"/>
        <v>-6.8400000000000016E-2</v>
      </c>
      <c r="S189" s="31">
        <f t="shared" si="64"/>
        <v>-0.4071428571428572</v>
      </c>
      <c r="T189" s="29" t="s">
        <v>414</v>
      </c>
    </row>
    <row r="190" spans="1:20" s="1" customFormat="1" x14ac:dyDescent="0.25">
      <c r="A190" s="26" t="s">
        <v>340</v>
      </c>
      <c r="B190" s="34" t="s">
        <v>415</v>
      </c>
      <c r="C190" s="28" t="s">
        <v>416</v>
      </c>
      <c r="D190" s="29">
        <v>0.90765359999999995</v>
      </c>
      <c r="E190" s="29">
        <v>0</v>
      </c>
      <c r="F190" s="29">
        <f t="shared" si="72"/>
        <v>0.90765359999999995</v>
      </c>
      <c r="G190" s="30">
        <v>0.90765359999999995</v>
      </c>
      <c r="H190" s="29">
        <f t="shared" si="66"/>
        <v>0.4288787</v>
      </c>
      <c r="I190" s="29">
        <v>0</v>
      </c>
      <c r="J190" s="29">
        <v>0</v>
      </c>
      <c r="K190" s="29">
        <v>0</v>
      </c>
      <c r="L190" s="29">
        <v>0.4288787</v>
      </c>
      <c r="M190" s="29">
        <v>0</v>
      </c>
      <c r="N190" s="29">
        <v>0</v>
      </c>
      <c r="O190" s="29">
        <v>0.90765359999999995</v>
      </c>
      <c r="P190" s="29">
        <v>0</v>
      </c>
      <c r="Q190" s="29">
        <f t="shared" si="71"/>
        <v>0.47877489999999995</v>
      </c>
      <c r="R190" s="29">
        <f t="shared" si="67"/>
        <v>-0.47877489999999995</v>
      </c>
      <c r="S190" s="31">
        <f t="shared" si="64"/>
        <v>-0.52748636704575402</v>
      </c>
      <c r="T190" s="29" t="s">
        <v>414</v>
      </c>
    </row>
    <row r="191" spans="1:20" s="1" customFormat="1" x14ac:dyDescent="0.25">
      <c r="A191" s="26" t="s">
        <v>340</v>
      </c>
      <c r="B191" s="34" t="s">
        <v>417</v>
      </c>
      <c r="C191" s="28" t="s">
        <v>418</v>
      </c>
      <c r="D191" s="29">
        <v>2.9557079999999996</v>
      </c>
      <c r="E191" s="29">
        <v>0</v>
      </c>
      <c r="F191" s="29">
        <f t="shared" si="72"/>
        <v>2.9557079999999996</v>
      </c>
      <c r="G191" s="30">
        <v>1.44</v>
      </c>
      <c r="H191" s="29">
        <f t="shared" si="66"/>
        <v>0.80999003999999997</v>
      </c>
      <c r="I191" s="29">
        <v>0</v>
      </c>
      <c r="J191" s="29">
        <v>0</v>
      </c>
      <c r="K191" s="29">
        <v>0</v>
      </c>
      <c r="L191" s="29">
        <v>0.80999003999999997</v>
      </c>
      <c r="M191" s="29">
        <v>0</v>
      </c>
      <c r="N191" s="29">
        <v>0</v>
      </c>
      <c r="O191" s="29">
        <v>1.44</v>
      </c>
      <c r="P191" s="29">
        <v>0</v>
      </c>
      <c r="Q191" s="29">
        <f t="shared" si="71"/>
        <v>2.1457179599999998</v>
      </c>
      <c r="R191" s="29">
        <f t="shared" si="67"/>
        <v>-0.63000995999999998</v>
      </c>
      <c r="S191" s="31">
        <f t="shared" si="64"/>
        <v>-0.43750691666666669</v>
      </c>
      <c r="T191" s="29" t="s">
        <v>232</v>
      </c>
    </row>
    <row r="192" spans="1:20" s="1" customFormat="1" ht="47.25" x14ac:dyDescent="0.25">
      <c r="A192" s="26" t="s">
        <v>340</v>
      </c>
      <c r="B192" s="34" t="s">
        <v>419</v>
      </c>
      <c r="C192" s="28" t="s">
        <v>420</v>
      </c>
      <c r="D192" s="29">
        <v>6.4195496279999995</v>
      </c>
      <c r="E192" s="29">
        <v>0</v>
      </c>
      <c r="F192" s="29">
        <f t="shared" si="72"/>
        <v>6.4195496279999995</v>
      </c>
      <c r="G192" s="30">
        <v>3.1487999999999996</v>
      </c>
      <c r="H192" s="29">
        <f t="shared" si="66"/>
        <v>3.1488</v>
      </c>
      <c r="I192" s="29">
        <v>0</v>
      </c>
      <c r="J192" s="29">
        <v>0</v>
      </c>
      <c r="K192" s="29">
        <v>0</v>
      </c>
      <c r="L192" s="29">
        <v>0</v>
      </c>
      <c r="M192" s="29">
        <v>3.1488</v>
      </c>
      <c r="N192" s="29">
        <v>3.1488</v>
      </c>
      <c r="O192" s="29">
        <v>0</v>
      </c>
      <c r="P192" s="29">
        <v>0</v>
      </c>
      <c r="Q192" s="29">
        <f t="shared" si="71"/>
        <v>3.2707496279999995</v>
      </c>
      <c r="R192" s="29">
        <f t="shared" si="67"/>
        <v>0</v>
      </c>
      <c r="S192" s="31">
        <f t="shared" si="64"/>
        <v>0</v>
      </c>
      <c r="T192" s="29" t="s">
        <v>32</v>
      </c>
    </row>
    <row r="193" spans="1:20" s="1" customFormat="1" ht="31.5" x14ac:dyDescent="0.25">
      <c r="A193" s="26" t="s">
        <v>340</v>
      </c>
      <c r="B193" s="34" t="s">
        <v>421</v>
      </c>
      <c r="C193" s="28" t="s">
        <v>422</v>
      </c>
      <c r="D193" s="29">
        <v>25.358835264</v>
      </c>
      <c r="E193" s="29">
        <v>0</v>
      </c>
      <c r="F193" s="29">
        <f t="shared" si="72"/>
        <v>25.358835264</v>
      </c>
      <c r="G193" s="30">
        <v>11.9964</v>
      </c>
      <c r="H193" s="29">
        <f t="shared" si="66"/>
        <v>11.876040000000001</v>
      </c>
      <c r="I193" s="29">
        <v>0</v>
      </c>
      <c r="J193" s="29">
        <v>0</v>
      </c>
      <c r="K193" s="29">
        <v>0</v>
      </c>
      <c r="L193" s="29">
        <f>11876.04/1000</f>
        <v>11.876040000000001</v>
      </c>
      <c r="M193" s="29">
        <v>11.9964</v>
      </c>
      <c r="N193" s="29">
        <v>0</v>
      </c>
      <c r="O193" s="29">
        <v>0</v>
      </c>
      <c r="P193" s="29">
        <v>0</v>
      </c>
      <c r="Q193" s="29">
        <f t="shared" si="71"/>
        <v>13.482795263999998</v>
      </c>
      <c r="R193" s="29">
        <f t="shared" si="67"/>
        <v>-0.12035999999999802</v>
      </c>
      <c r="S193" s="31">
        <f t="shared" si="64"/>
        <v>-1.0033009902970727E-2</v>
      </c>
      <c r="T193" s="29" t="s">
        <v>32</v>
      </c>
    </row>
    <row r="194" spans="1:20" s="1" customFormat="1" ht="31.5" x14ac:dyDescent="0.25">
      <c r="A194" s="26" t="s">
        <v>340</v>
      </c>
      <c r="B194" s="34" t="s">
        <v>423</v>
      </c>
      <c r="C194" s="28" t="s">
        <v>424</v>
      </c>
      <c r="D194" s="29">
        <v>0.47</v>
      </c>
      <c r="E194" s="29">
        <v>0</v>
      </c>
      <c r="F194" s="29">
        <f t="shared" si="72"/>
        <v>0.47</v>
      </c>
      <c r="G194" s="30">
        <v>0.47</v>
      </c>
      <c r="H194" s="29">
        <f t="shared" si="66"/>
        <v>0.47</v>
      </c>
      <c r="I194" s="29">
        <v>0</v>
      </c>
      <c r="J194" s="29">
        <f>470/1000</f>
        <v>0.47</v>
      </c>
      <c r="K194" s="29">
        <v>0</v>
      </c>
      <c r="L194" s="29">
        <v>0</v>
      </c>
      <c r="M194" s="29">
        <v>0.47</v>
      </c>
      <c r="N194" s="29">
        <v>0</v>
      </c>
      <c r="O194" s="29">
        <v>0</v>
      </c>
      <c r="P194" s="29">
        <v>0</v>
      </c>
      <c r="Q194" s="29">
        <f t="shared" si="71"/>
        <v>0</v>
      </c>
      <c r="R194" s="29">
        <f t="shared" si="67"/>
        <v>0</v>
      </c>
      <c r="S194" s="31">
        <f t="shared" si="64"/>
        <v>0</v>
      </c>
      <c r="T194" s="30" t="s">
        <v>32</v>
      </c>
    </row>
    <row r="195" spans="1:20" s="1" customFormat="1" ht="47.25" x14ac:dyDescent="0.25">
      <c r="A195" s="26" t="s">
        <v>340</v>
      </c>
      <c r="B195" s="34" t="s">
        <v>425</v>
      </c>
      <c r="C195" s="28" t="s">
        <v>426</v>
      </c>
      <c r="D195" s="29">
        <v>2.9721691099999998</v>
      </c>
      <c r="E195" s="29">
        <v>0</v>
      </c>
      <c r="F195" s="29">
        <f t="shared" si="72"/>
        <v>2.9721691099999998</v>
      </c>
      <c r="G195" s="30">
        <v>0.89237368999999989</v>
      </c>
      <c r="H195" s="29">
        <f t="shared" si="66"/>
        <v>0.89237369</v>
      </c>
      <c r="I195" s="29">
        <v>0</v>
      </c>
      <c r="J195" s="29">
        <f>892.37369/1000</f>
        <v>0.89237369</v>
      </c>
      <c r="K195" s="29">
        <v>0</v>
      </c>
      <c r="L195" s="29">
        <v>0</v>
      </c>
      <c r="M195" s="29">
        <v>0.89237368999999989</v>
      </c>
      <c r="N195" s="29">
        <v>0</v>
      </c>
      <c r="O195" s="29">
        <v>0</v>
      </c>
      <c r="P195" s="29">
        <v>0</v>
      </c>
      <c r="Q195" s="29">
        <f t="shared" si="71"/>
        <v>2.07979542</v>
      </c>
      <c r="R195" s="29">
        <f t="shared" si="67"/>
        <v>0</v>
      </c>
      <c r="S195" s="31">
        <f t="shared" si="64"/>
        <v>0</v>
      </c>
      <c r="T195" s="30" t="s">
        <v>32</v>
      </c>
    </row>
    <row r="196" spans="1:20" s="1" customFormat="1" ht="47.25" x14ac:dyDescent="0.25">
      <c r="A196" s="26" t="s">
        <v>340</v>
      </c>
      <c r="B196" s="34" t="s">
        <v>427</v>
      </c>
      <c r="C196" s="28" t="s">
        <v>428</v>
      </c>
      <c r="D196" s="29">
        <v>11.554910759999999</v>
      </c>
      <c r="E196" s="29">
        <v>0</v>
      </c>
      <c r="F196" s="29">
        <f t="shared" si="72"/>
        <v>11.554910759999999</v>
      </c>
      <c r="G196" s="30">
        <v>3.5951999999999997</v>
      </c>
      <c r="H196" s="29">
        <f t="shared" si="66"/>
        <v>3.5951999999999997</v>
      </c>
      <c r="I196" s="29">
        <v>0</v>
      </c>
      <c r="J196" s="29">
        <v>0</v>
      </c>
      <c r="K196" s="29">
        <v>0</v>
      </c>
      <c r="L196" s="29">
        <v>0</v>
      </c>
      <c r="M196" s="29">
        <v>3.5951999999999997</v>
      </c>
      <c r="N196" s="29">
        <v>3.5951999999999997</v>
      </c>
      <c r="O196" s="29">
        <v>0</v>
      </c>
      <c r="P196" s="29">
        <v>0</v>
      </c>
      <c r="Q196" s="29">
        <f t="shared" si="71"/>
        <v>7.9597107599999983</v>
      </c>
      <c r="R196" s="29">
        <f t="shared" si="67"/>
        <v>0</v>
      </c>
      <c r="S196" s="31">
        <f t="shared" si="64"/>
        <v>0</v>
      </c>
      <c r="T196" s="29" t="s">
        <v>32</v>
      </c>
    </row>
    <row r="197" spans="1:20" s="1" customFormat="1" ht="31.5" x14ac:dyDescent="0.25">
      <c r="A197" s="26" t="s">
        <v>340</v>
      </c>
      <c r="B197" s="34" t="s">
        <v>429</v>
      </c>
      <c r="C197" s="28" t="s">
        <v>430</v>
      </c>
      <c r="D197" s="29">
        <v>5.4928488239999993</v>
      </c>
      <c r="E197" s="29">
        <v>0</v>
      </c>
      <c r="F197" s="29">
        <f t="shared" si="72"/>
        <v>5.4928488239999993</v>
      </c>
      <c r="G197" s="30">
        <v>3.5531999999999999</v>
      </c>
      <c r="H197" s="29">
        <f t="shared" si="66"/>
        <v>3.4930087899999998</v>
      </c>
      <c r="I197" s="29">
        <v>0</v>
      </c>
      <c r="J197" s="29">
        <v>0</v>
      </c>
      <c r="K197" s="29">
        <v>0</v>
      </c>
      <c r="L197" s="29">
        <v>0</v>
      </c>
      <c r="M197" s="29">
        <v>3.5531999999999999</v>
      </c>
      <c r="N197" s="29">
        <v>3.4930087899999998</v>
      </c>
      <c r="O197" s="29">
        <v>0</v>
      </c>
      <c r="P197" s="29">
        <v>0</v>
      </c>
      <c r="Q197" s="29">
        <f t="shared" si="71"/>
        <v>1.9998400339999995</v>
      </c>
      <c r="R197" s="29">
        <f t="shared" si="67"/>
        <v>-6.0191210000000162E-2</v>
      </c>
      <c r="S197" s="31">
        <f t="shared" si="64"/>
        <v>-1.694000056287295E-2</v>
      </c>
      <c r="T197" s="29" t="s">
        <v>32</v>
      </c>
    </row>
    <row r="198" spans="1:20" s="1" customFormat="1" ht="31.5" x14ac:dyDescent="0.25">
      <c r="A198" s="26" t="s">
        <v>340</v>
      </c>
      <c r="B198" s="34" t="s">
        <v>431</v>
      </c>
      <c r="C198" s="28" t="s">
        <v>432</v>
      </c>
      <c r="D198" s="29">
        <v>5.4047999999999998</v>
      </c>
      <c r="E198" s="29">
        <v>0</v>
      </c>
      <c r="F198" s="29">
        <f t="shared" si="72"/>
        <v>5.4047999999999998</v>
      </c>
      <c r="G198" s="30">
        <v>5.4047999999999998</v>
      </c>
      <c r="H198" s="29">
        <f t="shared" si="66"/>
        <v>5.3440559999999993</v>
      </c>
      <c r="I198" s="29">
        <v>0</v>
      </c>
      <c r="J198" s="29">
        <v>0</v>
      </c>
      <c r="K198" s="29">
        <v>0</v>
      </c>
      <c r="L198" s="29">
        <v>0</v>
      </c>
      <c r="M198" s="29">
        <v>5.4047999999999998</v>
      </c>
      <c r="N198" s="29">
        <v>5.3440559999999993</v>
      </c>
      <c r="O198" s="29">
        <v>0</v>
      </c>
      <c r="P198" s="29">
        <v>0</v>
      </c>
      <c r="Q198" s="29">
        <f t="shared" si="71"/>
        <v>6.0744000000000575E-2</v>
      </c>
      <c r="R198" s="29">
        <f t="shared" si="67"/>
        <v>-6.0744000000000575E-2</v>
      </c>
      <c r="S198" s="31">
        <f t="shared" si="64"/>
        <v>-1.1238898756660853E-2</v>
      </c>
      <c r="T198" s="29" t="s">
        <v>32</v>
      </c>
    </row>
    <row r="199" spans="1:20" s="1" customFormat="1" ht="31.9" customHeight="1" x14ac:dyDescent="0.25">
      <c r="A199" s="26" t="s">
        <v>340</v>
      </c>
      <c r="B199" s="34" t="s">
        <v>433</v>
      </c>
      <c r="C199" s="28" t="s">
        <v>434</v>
      </c>
      <c r="D199" s="29">
        <v>4.4748000000000001</v>
      </c>
      <c r="E199" s="29">
        <v>0</v>
      </c>
      <c r="F199" s="29">
        <f t="shared" si="72"/>
        <v>4.4748000000000001</v>
      </c>
      <c r="G199" s="30">
        <v>4.4748000000000001</v>
      </c>
      <c r="H199" s="29">
        <f t="shared" si="66"/>
        <v>3.9918400000000003</v>
      </c>
      <c r="I199" s="29">
        <v>0</v>
      </c>
      <c r="J199" s="29">
        <v>0</v>
      </c>
      <c r="K199" s="29">
        <v>0</v>
      </c>
      <c r="L199" s="29">
        <f>3991.84/1000</f>
        <v>3.9918400000000003</v>
      </c>
      <c r="M199" s="29">
        <v>4.4748000000000001</v>
      </c>
      <c r="N199" s="29">
        <v>0</v>
      </c>
      <c r="O199" s="29">
        <v>0</v>
      </c>
      <c r="P199" s="29">
        <v>0</v>
      </c>
      <c r="Q199" s="29">
        <f t="shared" si="71"/>
        <v>0.48295999999999983</v>
      </c>
      <c r="R199" s="29">
        <f t="shared" si="67"/>
        <v>-0.48295999999999983</v>
      </c>
      <c r="S199" s="31">
        <f t="shared" si="64"/>
        <v>-0.10792884598194329</v>
      </c>
      <c r="T199" s="29" t="s">
        <v>414</v>
      </c>
    </row>
    <row r="200" spans="1:20" s="1" customFormat="1" ht="31.5" x14ac:dyDescent="0.25">
      <c r="A200" s="26" t="s">
        <v>340</v>
      </c>
      <c r="B200" s="34" t="s">
        <v>435</v>
      </c>
      <c r="C200" s="30" t="s">
        <v>436</v>
      </c>
      <c r="D200" s="29">
        <v>0.4359229</v>
      </c>
      <c r="E200" s="29">
        <v>0</v>
      </c>
      <c r="F200" s="29">
        <v>0.4359229</v>
      </c>
      <c r="G200" s="30">
        <v>0.4359229</v>
      </c>
      <c r="H200" s="29">
        <f t="shared" si="66"/>
        <v>0.4355</v>
      </c>
      <c r="I200" s="29">
        <v>0</v>
      </c>
      <c r="J200" s="29">
        <v>0</v>
      </c>
      <c r="K200" s="29">
        <v>0</v>
      </c>
      <c r="L200" s="29">
        <v>0.4355</v>
      </c>
      <c r="M200" s="29">
        <v>0</v>
      </c>
      <c r="N200" s="29">
        <v>0</v>
      </c>
      <c r="O200" s="29">
        <v>0.4359229</v>
      </c>
      <c r="P200" s="29">
        <v>0</v>
      </c>
      <c r="Q200" s="29">
        <f t="shared" si="71"/>
        <v>4.2290000000000383E-4</v>
      </c>
      <c r="R200" s="29">
        <f t="shared" si="67"/>
        <v>-4.2290000000000383E-4</v>
      </c>
      <c r="S200" s="31">
        <f t="shared" si="64"/>
        <v>-9.7012568048158022E-4</v>
      </c>
      <c r="T200" s="30" t="s">
        <v>32</v>
      </c>
    </row>
    <row r="201" spans="1:20" s="1" customFormat="1" ht="31.5" x14ac:dyDescent="0.25">
      <c r="A201" s="26" t="s">
        <v>340</v>
      </c>
      <c r="B201" s="34" t="s">
        <v>437</v>
      </c>
      <c r="C201" s="28" t="s">
        <v>438</v>
      </c>
      <c r="D201" s="29">
        <v>4.8035999999999994</v>
      </c>
      <c r="E201" s="29">
        <v>0</v>
      </c>
      <c r="F201" s="29">
        <f>D201-E201</f>
        <v>4.8035999999999994</v>
      </c>
      <c r="G201" s="30">
        <v>4.8035999999999994</v>
      </c>
      <c r="H201" s="29">
        <f t="shared" si="66"/>
        <v>4.8037660899999999</v>
      </c>
      <c r="I201" s="29">
        <v>0</v>
      </c>
      <c r="J201" s="29">
        <v>0</v>
      </c>
      <c r="K201" s="29">
        <v>0</v>
      </c>
      <c r="L201" s="29">
        <v>0</v>
      </c>
      <c r="M201" s="29">
        <v>0</v>
      </c>
      <c r="N201" s="29">
        <v>0</v>
      </c>
      <c r="O201" s="29">
        <v>4.8036000000000003</v>
      </c>
      <c r="P201" s="29">
        <f>4803.76609/1000</f>
        <v>4.8037660899999999</v>
      </c>
      <c r="Q201" s="29">
        <f t="shared" si="71"/>
        <v>-1.6609000000045171E-4</v>
      </c>
      <c r="R201" s="29">
        <f t="shared" si="67"/>
        <v>1.6608999999956353E-4</v>
      </c>
      <c r="S201" s="31">
        <f t="shared" si="64"/>
        <v>3.4576151219827529E-5</v>
      </c>
      <c r="T201" s="29" t="s">
        <v>154</v>
      </c>
    </row>
    <row r="202" spans="1:20" s="1" customFormat="1" ht="78.75" x14ac:dyDescent="0.25">
      <c r="A202" s="26" t="s">
        <v>340</v>
      </c>
      <c r="B202" s="34" t="s">
        <v>439</v>
      </c>
      <c r="C202" s="28" t="s">
        <v>440</v>
      </c>
      <c r="D202" s="29">
        <v>16.548752499999999</v>
      </c>
      <c r="E202" s="29">
        <f>D202-F202</f>
        <v>16.518752499999998</v>
      </c>
      <c r="F202" s="29">
        <v>3.0000000000000748E-2</v>
      </c>
      <c r="G202" s="30">
        <v>1.2840000000000001E-2</v>
      </c>
      <c r="H202" s="29">
        <f t="shared" si="66"/>
        <v>1.2840000000000001E-2</v>
      </c>
      <c r="I202" s="29">
        <v>0</v>
      </c>
      <c r="J202" s="29">
        <v>0</v>
      </c>
      <c r="K202" s="29">
        <v>0</v>
      </c>
      <c r="L202" s="29">
        <v>1.2840000000000001E-2</v>
      </c>
      <c r="M202" s="29">
        <v>0</v>
      </c>
      <c r="N202" s="29">
        <v>0</v>
      </c>
      <c r="O202" s="29">
        <v>1.2840000000000001E-2</v>
      </c>
      <c r="P202" s="29">
        <v>0</v>
      </c>
      <c r="Q202" s="29">
        <f t="shared" si="71"/>
        <v>1.7160000000000748E-2</v>
      </c>
      <c r="R202" s="29">
        <f t="shared" si="67"/>
        <v>0</v>
      </c>
      <c r="S202" s="31">
        <f t="shared" si="64"/>
        <v>0</v>
      </c>
      <c r="T202" s="29" t="s">
        <v>32</v>
      </c>
    </row>
    <row r="203" spans="1:20" s="1" customFormat="1" ht="63" x14ac:dyDescent="0.25">
      <c r="A203" s="30" t="s">
        <v>340</v>
      </c>
      <c r="B203" s="27" t="s">
        <v>441</v>
      </c>
      <c r="C203" s="28" t="s">
        <v>442</v>
      </c>
      <c r="D203" s="29">
        <v>72.593424999999996</v>
      </c>
      <c r="E203" s="29">
        <v>72.588925000000003</v>
      </c>
      <c r="F203" s="29">
        <f>D203-E203</f>
        <v>4.4999999999930651E-3</v>
      </c>
      <c r="G203" s="30">
        <v>4.4999999999999997E-3</v>
      </c>
      <c r="H203" s="29">
        <f t="shared" si="66"/>
        <v>0</v>
      </c>
      <c r="I203" s="29">
        <v>4.4999999999999997E-3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29">
        <v>0</v>
      </c>
      <c r="Q203" s="29">
        <f t="shared" si="71"/>
        <v>4.4999999999930651E-3</v>
      </c>
      <c r="R203" s="29">
        <f t="shared" si="67"/>
        <v>-4.4999999999999997E-3</v>
      </c>
      <c r="S203" s="31">
        <f t="shared" si="64"/>
        <v>-1</v>
      </c>
      <c r="T203" s="29" t="s">
        <v>443</v>
      </c>
    </row>
    <row r="204" spans="1:20" s="1" customFormat="1" ht="63" x14ac:dyDescent="0.25">
      <c r="A204" s="30" t="s">
        <v>340</v>
      </c>
      <c r="B204" s="27" t="s">
        <v>444</v>
      </c>
      <c r="C204" s="28" t="s">
        <v>445</v>
      </c>
      <c r="D204" s="29">
        <v>57.166849999999997</v>
      </c>
      <c r="E204" s="29">
        <v>56.384594</v>
      </c>
      <c r="F204" s="29">
        <f>D204-E204</f>
        <v>0.78225599999999673</v>
      </c>
      <c r="G204" s="30">
        <v>0.78225600000000484</v>
      </c>
      <c r="H204" s="29">
        <f t="shared" si="66"/>
        <v>0.79325599999999985</v>
      </c>
      <c r="I204" s="29">
        <v>0.77325599999999994</v>
      </c>
      <c r="J204" s="29">
        <v>0.78105599999999997</v>
      </c>
      <c r="K204" s="29">
        <v>0</v>
      </c>
      <c r="L204" s="29">
        <v>4.4999999999999997E-3</v>
      </c>
      <c r="M204" s="29">
        <v>0</v>
      </c>
      <c r="N204" s="29">
        <v>0</v>
      </c>
      <c r="O204" s="29">
        <v>8.9999999999999993E-3</v>
      </c>
      <c r="P204" s="29">
        <v>7.69999999999993E-3</v>
      </c>
      <c r="Q204" s="29">
        <f t="shared" si="71"/>
        <v>-1.1000000000003118E-2</v>
      </c>
      <c r="R204" s="29">
        <f t="shared" si="67"/>
        <v>1.0999999999999899E-2</v>
      </c>
      <c r="S204" s="31">
        <f t="shared" si="64"/>
        <v>1.4061892781902471E-2</v>
      </c>
      <c r="T204" s="29" t="s">
        <v>154</v>
      </c>
    </row>
    <row r="205" spans="1:20" s="1" customFormat="1" ht="30.75" customHeight="1" x14ac:dyDescent="0.25">
      <c r="A205" s="18" t="s">
        <v>446</v>
      </c>
      <c r="B205" s="22" t="s">
        <v>447</v>
      </c>
      <c r="C205" s="20" t="s">
        <v>31</v>
      </c>
      <c r="D205" s="7">
        <f t="shared" ref="D205:R205" si="73">SUM(D206,D224,D239,D259,D266,D272,D273)</f>
        <v>8856.4611632798315</v>
      </c>
      <c r="E205" s="7">
        <f t="shared" si="73"/>
        <v>857.05887699000004</v>
      </c>
      <c r="F205" s="7">
        <f t="shared" si="73"/>
        <v>7999.402286289831</v>
      </c>
      <c r="G205" s="7">
        <f t="shared" si="73"/>
        <v>383.68789821143218</v>
      </c>
      <c r="H205" s="7">
        <f t="shared" si="73"/>
        <v>350.29391916000003</v>
      </c>
      <c r="I205" s="7">
        <f t="shared" si="73"/>
        <v>27.722957543100001</v>
      </c>
      <c r="J205" s="7">
        <f t="shared" si="73"/>
        <v>33.293888409999994</v>
      </c>
      <c r="K205" s="7">
        <f t="shared" si="73"/>
        <v>13.216992017500001</v>
      </c>
      <c r="L205" s="7">
        <f t="shared" si="73"/>
        <v>72.824823899999998</v>
      </c>
      <c r="M205" s="7">
        <f t="shared" si="73"/>
        <v>60.301453533432202</v>
      </c>
      <c r="N205" s="7">
        <f t="shared" si="73"/>
        <v>57.76034795999999</v>
      </c>
      <c r="O205" s="7">
        <f t="shared" si="73"/>
        <v>282.44649511739999</v>
      </c>
      <c r="P205" s="7">
        <f t="shared" si="73"/>
        <v>186.41485889</v>
      </c>
      <c r="Q205" s="7">
        <f t="shared" si="73"/>
        <v>7649.1083671298311</v>
      </c>
      <c r="R205" s="7">
        <f t="shared" si="73"/>
        <v>-33.393979051432161</v>
      </c>
      <c r="S205" s="21">
        <f t="shared" si="64"/>
        <v>-8.7034225491861419E-2</v>
      </c>
      <c r="T205" s="7" t="s">
        <v>32</v>
      </c>
    </row>
    <row r="206" spans="1:20" s="1" customFormat="1" ht="31.5" x14ac:dyDescent="0.25">
      <c r="A206" s="18" t="s">
        <v>448</v>
      </c>
      <c r="B206" s="22" t="s">
        <v>50</v>
      </c>
      <c r="C206" s="20" t="s">
        <v>31</v>
      </c>
      <c r="D206" s="7">
        <f t="shared" ref="D206:R206" si="74">D207+D210+D213+D223</f>
        <v>456.41535946393219</v>
      </c>
      <c r="E206" s="7">
        <f t="shared" si="74"/>
        <v>363.44519578000001</v>
      </c>
      <c r="F206" s="7">
        <f t="shared" si="74"/>
        <v>92.970163683932199</v>
      </c>
      <c r="G206" s="7">
        <f t="shared" si="74"/>
        <v>60.490163683932195</v>
      </c>
      <c r="H206" s="7">
        <f t="shared" si="74"/>
        <v>73.749071600000008</v>
      </c>
      <c r="I206" s="7">
        <f t="shared" si="74"/>
        <v>7.33</v>
      </c>
      <c r="J206" s="7">
        <f t="shared" si="74"/>
        <v>4.7888780200000003</v>
      </c>
      <c r="K206" s="7">
        <f t="shared" si="74"/>
        <v>8.093</v>
      </c>
      <c r="L206" s="7">
        <f t="shared" si="74"/>
        <v>13.253426249999997</v>
      </c>
      <c r="M206" s="7">
        <f t="shared" si="74"/>
        <v>25.419826395932201</v>
      </c>
      <c r="N206" s="7">
        <f t="shared" si="74"/>
        <v>25.301098539999998</v>
      </c>
      <c r="O206" s="7">
        <f t="shared" si="74"/>
        <v>19.647337287999992</v>
      </c>
      <c r="P206" s="7">
        <f t="shared" si="74"/>
        <v>30.40566879</v>
      </c>
      <c r="Q206" s="7">
        <f t="shared" si="74"/>
        <v>19.221092083932199</v>
      </c>
      <c r="R206" s="7">
        <f t="shared" si="74"/>
        <v>13.258907916067809</v>
      </c>
      <c r="S206" s="21">
        <f t="shared" si="64"/>
        <v>0.21919113965945061</v>
      </c>
      <c r="T206" s="7" t="s">
        <v>32</v>
      </c>
    </row>
    <row r="207" spans="1:20" s="1" customFormat="1" ht="78.75" x14ac:dyDescent="0.25">
      <c r="A207" s="18" t="s">
        <v>449</v>
      </c>
      <c r="B207" s="22" t="s">
        <v>52</v>
      </c>
      <c r="C207" s="20" t="s">
        <v>31</v>
      </c>
      <c r="D207" s="7">
        <f t="shared" ref="D207:R207" si="75">SUM(D208:D209)</f>
        <v>0</v>
      </c>
      <c r="E207" s="7">
        <f t="shared" si="75"/>
        <v>0</v>
      </c>
      <c r="F207" s="7">
        <f t="shared" si="75"/>
        <v>0</v>
      </c>
      <c r="G207" s="7">
        <f t="shared" si="75"/>
        <v>0</v>
      </c>
      <c r="H207" s="7">
        <f t="shared" si="75"/>
        <v>0</v>
      </c>
      <c r="I207" s="7">
        <f t="shared" si="75"/>
        <v>0</v>
      </c>
      <c r="J207" s="7">
        <f t="shared" si="75"/>
        <v>0</v>
      </c>
      <c r="K207" s="7">
        <f t="shared" si="75"/>
        <v>0</v>
      </c>
      <c r="L207" s="7">
        <f t="shared" si="75"/>
        <v>0</v>
      </c>
      <c r="M207" s="7">
        <f t="shared" si="75"/>
        <v>0</v>
      </c>
      <c r="N207" s="7">
        <f t="shared" si="75"/>
        <v>0</v>
      </c>
      <c r="O207" s="7">
        <f t="shared" si="75"/>
        <v>0</v>
      </c>
      <c r="P207" s="7">
        <f t="shared" si="75"/>
        <v>0</v>
      </c>
      <c r="Q207" s="7">
        <f t="shared" si="75"/>
        <v>0</v>
      </c>
      <c r="R207" s="7">
        <f t="shared" si="75"/>
        <v>0</v>
      </c>
      <c r="S207" s="21">
        <v>0</v>
      </c>
      <c r="T207" s="7" t="s">
        <v>32</v>
      </c>
    </row>
    <row r="208" spans="1:20" s="1" customFormat="1" ht="31.5" x14ac:dyDescent="0.25">
      <c r="A208" s="18" t="s">
        <v>450</v>
      </c>
      <c r="B208" s="22" t="s">
        <v>56</v>
      </c>
      <c r="C208" s="20" t="s">
        <v>31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21">
        <v>0</v>
      </c>
      <c r="T208" s="7" t="s">
        <v>32</v>
      </c>
    </row>
    <row r="209" spans="1:20" s="1" customFormat="1" ht="31.5" x14ac:dyDescent="0.25">
      <c r="A209" s="18" t="s">
        <v>451</v>
      </c>
      <c r="B209" s="22" t="s">
        <v>56</v>
      </c>
      <c r="C209" s="20" t="s">
        <v>31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21">
        <v>0</v>
      </c>
      <c r="T209" s="7" t="s">
        <v>32</v>
      </c>
    </row>
    <row r="210" spans="1:20" s="1" customFormat="1" ht="47.25" x14ac:dyDescent="0.25">
      <c r="A210" s="18" t="s">
        <v>452</v>
      </c>
      <c r="B210" s="22" t="s">
        <v>58</v>
      </c>
      <c r="C210" s="20" t="s">
        <v>31</v>
      </c>
      <c r="D210" s="7">
        <f t="shared" ref="D210:R210" si="76">SUM(D211)</f>
        <v>0</v>
      </c>
      <c r="E210" s="7">
        <f t="shared" si="76"/>
        <v>0</v>
      </c>
      <c r="F210" s="7">
        <f t="shared" si="76"/>
        <v>0</v>
      </c>
      <c r="G210" s="7">
        <f t="shared" si="76"/>
        <v>0</v>
      </c>
      <c r="H210" s="7">
        <f t="shared" si="76"/>
        <v>0</v>
      </c>
      <c r="I210" s="7">
        <f t="shared" si="76"/>
        <v>0</v>
      </c>
      <c r="J210" s="7">
        <f t="shared" si="76"/>
        <v>0</v>
      </c>
      <c r="K210" s="7">
        <f t="shared" si="76"/>
        <v>0</v>
      </c>
      <c r="L210" s="7">
        <f t="shared" si="76"/>
        <v>0</v>
      </c>
      <c r="M210" s="7">
        <f t="shared" si="76"/>
        <v>0</v>
      </c>
      <c r="N210" s="7">
        <f t="shared" si="76"/>
        <v>0</v>
      </c>
      <c r="O210" s="7">
        <f t="shared" si="76"/>
        <v>0</v>
      </c>
      <c r="P210" s="7">
        <f t="shared" si="76"/>
        <v>0</v>
      </c>
      <c r="Q210" s="7">
        <f t="shared" si="76"/>
        <v>0</v>
      </c>
      <c r="R210" s="7">
        <f t="shared" si="76"/>
        <v>0</v>
      </c>
      <c r="S210" s="21">
        <v>0</v>
      </c>
      <c r="T210" s="7" t="s">
        <v>32</v>
      </c>
    </row>
    <row r="211" spans="1:20" s="1" customFormat="1" ht="31.5" x14ac:dyDescent="0.25">
      <c r="A211" s="18" t="s">
        <v>453</v>
      </c>
      <c r="B211" s="22" t="s">
        <v>56</v>
      </c>
      <c r="C211" s="20" t="s">
        <v>31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21">
        <v>0</v>
      </c>
      <c r="T211" s="7" t="s">
        <v>32</v>
      </c>
    </row>
    <row r="212" spans="1:20" s="1" customFormat="1" ht="31.5" x14ac:dyDescent="0.25">
      <c r="A212" s="18" t="s">
        <v>454</v>
      </c>
      <c r="B212" s="22" t="s">
        <v>56</v>
      </c>
      <c r="C212" s="20" t="s">
        <v>31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21">
        <v>0</v>
      </c>
      <c r="T212" s="7" t="s">
        <v>32</v>
      </c>
    </row>
    <row r="213" spans="1:20" s="1" customFormat="1" ht="47.25" x14ac:dyDescent="0.25">
      <c r="A213" s="18" t="s">
        <v>455</v>
      </c>
      <c r="B213" s="22" t="s">
        <v>62</v>
      </c>
      <c r="C213" s="20" t="s">
        <v>31</v>
      </c>
      <c r="D213" s="7">
        <f t="shared" ref="D213:R213" si="77">SUM(D214:D218)</f>
        <v>456.41535946393219</v>
      </c>
      <c r="E213" s="7">
        <f t="shared" si="77"/>
        <v>363.44519578000001</v>
      </c>
      <c r="F213" s="7">
        <f t="shared" si="77"/>
        <v>92.970163683932199</v>
      </c>
      <c r="G213" s="7">
        <f t="shared" si="77"/>
        <v>60.490163683932195</v>
      </c>
      <c r="H213" s="7">
        <f t="shared" si="77"/>
        <v>73.749071600000008</v>
      </c>
      <c r="I213" s="7">
        <f t="shared" si="77"/>
        <v>7.33</v>
      </c>
      <c r="J213" s="7">
        <f t="shared" si="77"/>
        <v>4.7888780200000003</v>
      </c>
      <c r="K213" s="7">
        <f t="shared" si="77"/>
        <v>8.093</v>
      </c>
      <c r="L213" s="7">
        <f t="shared" si="77"/>
        <v>13.253426249999997</v>
      </c>
      <c r="M213" s="7">
        <f t="shared" si="77"/>
        <v>25.419826395932201</v>
      </c>
      <c r="N213" s="7">
        <f t="shared" si="77"/>
        <v>25.301098539999998</v>
      </c>
      <c r="O213" s="7">
        <f t="shared" si="77"/>
        <v>19.647337287999992</v>
      </c>
      <c r="P213" s="7">
        <f t="shared" si="77"/>
        <v>30.40566879</v>
      </c>
      <c r="Q213" s="7">
        <f t="shared" si="77"/>
        <v>19.221092083932199</v>
      </c>
      <c r="R213" s="7">
        <f t="shared" si="77"/>
        <v>13.258907916067809</v>
      </c>
      <c r="S213" s="21">
        <f t="shared" ref="S213" si="78">R213/(I213+K213+M213+O213)</f>
        <v>0.21919113965945061</v>
      </c>
      <c r="T213" s="7" t="s">
        <v>32</v>
      </c>
    </row>
    <row r="214" spans="1:20" s="1" customFormat="1" ht="63" x14ac:dyDescent="0.25">
      <c r="A214" s="18" t="s">
        <v>456</v>
      </c>
      <c r="B214" s="22" t="s">
        <v>64</v>
      </c>
      <c r="C214" s="20" t="s">
        <v>31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21">
        <v>0</v>
      </c>
      <c r="T214" s="7" t="s">
        <v>32</v>
      </c>
    </row>
    <row r="215" spans="1:20" s="1" customFormat="1" ht="63" x14ac:dyDescent="0.25">
      <c r="A215" s="18" t="s">
        <v>457</v>
      </c>
      <c r="B215" s="22" t="s">
        <v>66</v>
      </c>
      <c r="C215" s="20" t="s">
        <v>31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21">
        <v>0</v>
      </c>
      <c r="T215" s="7" t="s">
        <v>32</v>
      </c>
    </row>
    <row r="216" spans="1:20" s="1" customFormat="1" ht="63" x14ac:dyDescent="0.25">
      <c r="A216" s="18" t="s">
        <v>458</v>
      </c>
      <c r="B216" s="22" t="s">
        <v>68</v>
      </c>
      <c r="C216" s="20" t="s">
        <v>31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21">
        <v>0</v>
      </c>
      <c r="T216" s="7" t="s">
        <v>32</v>
      </c>
    </row>
    <row r="217" spans="1:20" s="1" customFormat="1" ht="78.75" x14ac:dyDescent="0.25">
      <c r="A217" s="18" t="s">
        <v>459</v>
      </c>
      <c r="B217" s="22" t="s">
        <v>75</v>
      </c>
      <c r="C217" s="20" t="s">
        <v>31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21">
        <v>0</v>
      </c>
      <c r="T217" s="7" t="s">
        <v>32</v>
      </c>
    </row>
    <row r="218" spans="1:20" s="1" customFormat="1" ht="78.75" x14ac:dyDescent="0.25">
      <c r="A218" s="18" t="s">
        <v>460</v>
      </c>
      <c r="B218" s="22" t="s">
        <v>80</v>
      </c>
      <c r="C218" s="20" t="s">
        <v>31</v>
      </c>
      <c r="D218" s="7">
        <f t="shared" ref="D218:R218" si="79">SUM(D219:D222)</f>
        <v>456.41535946393219</v>
      </c>
      <c r="E218" s="7">
        <f t="shared" si="79"/>
        <v>363.44519578000001</v>
      </c>
      <c r="F218" s="7">
        <f t="shared" si="79"/>
        <v>92.970163683932199</v>
      </c>
      <c r="G218" s="7">
        <f t="shared" si="79"/>
        <v>60.490163683932195</v>
      </c>
      <c r="H218" s="7">
        <f t="shared" si="79"/>
        <v>73.749071600000008</v>
      </c>
      <c r="I218" s="7">
        <f t="shared" si="79"/>
        <v>7.33</v>
      </c>
      <c r="J218" s="7">
        <f t="shared" si="79"/>
        <v>4.7888780200000003</v>
      </c>
      <c r="K218" s="7">
        <f t="shared" si="79"/>
        <v>8.093</v>
      </c>
      <c r="L218" s="7">
        <f t="shared" si="79"/>
        <v>13.253426249999997</v>
      </c>
      <c r="M218" s="7">
        <f t="shared" si="79"/>
        <v>25.419826395932201</v>
      </c>
      <c r="N218" s="7">
        <f t="shared" si="79"/>
        <v>25.301098539999998</v>
      </c>
      <c r="O218" s="7">
        <f t="shared" si="79"/>
        <v>19.647337287999992</v>
      </c>
      <c r="P218" s="7">
        <f t="shared" si="79"/>
        <v>30.40566879</v>
      </c>
      <c r="Q218" s="7">
        <f t="shared" si="79"/>
        <v>19.221092083932199</v>
      </c>
      <c r="R218" s="7">
        <f t="shared" si="79"/>
        <v>13.258907916067809</v>
      </c>
      <c r="S218" s="21">
        <f t="shared" ref="S218:S222" si="80">R218/(I218+K218+M218+O218)</f>
        <v>0.21919113965945061</v>
      </c>
      <c r="T218" s="7" t="s">
        <v>32</v>
      </c>
    </row>
    <row r="219" spans="1:20" s="1" customFormat="1" ht="78.75" x14ac:dyDescent="0.25">
      <c r="A219" s="26" t="s">
        <v>460</v>
      </c>
      <c r="B219" s="32" t="s">
        <v>461</v>
      </c>
      <c r="C219" s="33" t="s">
        <v>462</v>
      </c>
      <c r="D219" s="29">
        <v>193.64725941999998</v>
      </c>
      <c r="E219" s="29">
        <v>193.98569015999999</v>
      </c>
      <c r="F219" s="29">
        <f>D219-E219</f>
        <v>-0.33843074000000684</v>
      </c>
      <c r="G219" s="30">
        <v>-0.33843074000000001</v>
      </c>
      <c r="H219" s="29">
        <f>J219+L219+N219+P219</f>
        <v>-0.33843074000000001</v>
      </c>
      <c r="I219" s="29">
        <v>0</v>
      </c>
      <c r="J219" s="29">
        <v>-0.33843074000000001</v>
      </c>
      <c r="K219" s="29">
        <v>0</v>
      </c>
      <c r="L219" s="29">
        <v>0</v>
      </c>
      <c r="M219" s="29">
        <v>-0.33843074000000001</v>
      </c>
      <c r="N219" s="29">
        <v>0</v>
      </c>
      <c r="O219" s="29">
        <v>0</v>
      </c>
      <c r="P219" s="29">
        <v>0</v>
      </c>
      <c r="Q219" s="29">
        <f>F219-H219</f>
        <v>-6.8278716014447127E-15</v>
      </c>
      <c r="R219" s="29">
        <f t="shared" ref="R219:R222" si="81">H219-(I219+K219+M219+O219)</f>
        <v>0</v>
      </c>
      <c r="S219" s="31">
        <f t="shared" si="80"/>
        <v>0</v>
      </c>
      <c r="T219" s="29" t="s">
        <v>32</v>
      </c>
    </row>
    <row r="220" spans="1:20" s="1" customFormat="1" ht="63" x14ac:dyDescent="0.25">
      <c r="A220" s="26" t="s">
        <v>460</v>
      </c>
      <c r="B220" s="32" t="s">
        <v>463</v>
      </c>
      <c r="C220" s="33" t="s">
        <v>464</v>
      </c>
      <c r="D220" s="29">
        <v>15.584263885932202</v>
      </c>
      <c r="E220" s="29">
        <v>0</v>
      </c>
      <c r="F220" s="29">
        <f>D220-E220</f>
        <v>15.584263885932202</v>
      </c>
      <c r="G220" s="30">
        <v>14.750263885932201</v>
      </c>
      <c r="H220" s="29">
        <f>J220+L220+N220+P220</f>
        <v>12.589254049999999</v>
      </c>
      <c r="I220" s="29">
        <v>0</v>
      </c>
      <c r="J220" s="29">
        <v>0.34553751999999999</v>
      </c>
      <c r="K220" s="29">
        <v>0</v>
      </c>
      <c r="L220" s="29">
        <v>3.0651910500000001</v>
      </c>
      <c r="M220" s="29">
        <f>G220</f>
        <v>14.750263885932201</v>
      </c>
      <c r="N220" s="29">
        <v>7.1720670799999997</v>
      </c>
      <c r="O220" s="29">
        <v>0</v>
      </c>
      <c r="P220" s="29">
        <v>2.0064584000000001</v>
      </c>
      <c r="Q220" s="29">
        <f>F220-H220</f>
        <v>2.995009835932203</v>
      </c>
      <c r="R220" s="29">
        <f t="shared" si="81"/>
        <v>-2.1610098359322016</v>
      </c>
      <c r="S220" s="31">
        <f t="shared" si="80"/>
        <v>-0.14650652033372949</v>
      </c>
      <c r="T220" s="29" t="s">
        <v>465</v>
      </c>
    </row>
    <row r="221" spans="1:20" s="1" customFormat="1" ht="72.75" customHeight="1" x14ac:dyDescent="0.25">
      <c r="A221" s="26" t="s">
        <v>460</v>
      </c>
      <c r="B221" s="32" t="s">
        <v>466</v>
      </c>
      <c r="C221" s="33" t="s">
        <v>467</v>
      </c>
      <c r="D221" s="29">
        <v>35.102000000000004</v>
      </c>
      <c r="E221" s="29">
        <v>0</v>
      </c>
      <c r="F221" s="29">
        <f>D221-E221</f>
        <v>35.102000000000004</v>
      </c>
      <c r="G221" s="30">
        <v>3.456</v>
      </c>
      <c r="H221" s="29">
        <f>J221+L221+N221+P221</f>
        <v>1.97297627</v>
      </c>
      <c r="I221" s="29">
        <v>0</v>
      </c>
      <c r="J221" s="29">
        <v>0</v>
      </c>
      <c r="K221" s="29">
        <v>0</v>
      </c>
      <c r="L221" s="29">
        <v>0</v>
      </c>
      <c r="M221" s="29">
        <v>0</v>
      </c>
      <c r="N221" s="29">
        <v>0</v>
      </c>
      <c r="O221" s="29">
        <f>G221-I221-K221-M221</f>
        <v>3.456</v>
      </c>
      <c r="P221" s="29">
        <v>1.97297627</v>
      </c>
      <c r="Q221" s="29">
        <f>F221-H221</f>
        <v>33.129023730000007</v>
      </c>
      <c r="R221" s="29">
        <f t="shared" si="81"/>
        <v>-1.48302373</v>
      </c>
      <c r="S221" s="31">
        <f t="shared" si="80"/>
        <v>-0.42911566261574074</v>
      </c>
      <c r="T221" s="29" t="s">
        <v>468</v>
      </c>
    </row>
    <row r="222" spans="1:20" s="1" customFormat="1" ht="78.75" x14ac:dyDescent="0.25">
      <c r="A222" s="26" t="s">
        <v>460</v>
      </c>
      <c r="B222" s="27" t="s">
        <v>469</v>
      </c>
      <c r="C222" s="30" t="s">
        <v>470</v>
      </c>
      <c r="D222" s="29">
        <v>212.08183615800002</v>
      </c>
      <c r="E222" s="29">
        <v>169.45950562000002</v>
      </c>
      <c r="F222" s="29">
        <f>D222-E222</f>
        <v>42.622330538</v>
      </c>
      <c r="G222" s="30">
        <v>42.622330537999993</v>
      </c>
      <c r="H222" s="29">
        <f>J222+L222+N222+P222</f>
        <v>59.525272020000003</v>
      </c>
      <c r="I222" s="29">
        <v>7.33</v>
      </c>
      <c r="J222" s="29">
        <v>4.7817712400000003</v>
      </c>
      <c r="K222" s="29">
        <v>8.093</v>
      </c>
      <c r="L222" s="29">
        <v>10.188235199999998</v>
      </c>
      <c r="M222" s="29">
        <v>11.00799325</v>
      </c>
      <c r="N222" s="29">
        <v>18.12903146</v>
      </c>
      <c r="O222" s="29">
        <f>G222-I222-K222-M222</f>
        <v>16.191337287999993</v>
      </c>
      <c r="P222" s="29">
        <v>26.42623412</v>
      </c>
      <c r="Q222" s="29">
        <f>F222-H222</f>
        <v>-16.902941482000003</v>
      </c>
      <c r="R222" s="29">
        <f t="shared" si="81"/>
        <v>16.90294148200001</v>
      </c>
      <c r="S222" s="31">
        <f t="shared" si="80"/>
        <v>0.39657478295163073</v>
      </c>
      <c r="T222" s="29" t="s">
        <v>471</v>
      </c>
    </row>
    <row r="223" spans="1:20" s="1" customFormat="1" ht="31.5" x14ac:dyDescent="0.25">
      <c r="A223" s="18" t="s">
        <v>472</v>
      </c>
      <c r="B223" s="22" t="s">
        <v>102</v>
      </c>
      <c r="C223" s="20" t="s">
        <v>31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21">
        <v>0</v>
      </c>
      <c r="T223" s="7" t="s">
        <v>32</v>
      </c>
    </row>
    <row r="224" spans="1:20" s="1" customFormat="1" ht="47.25" x14ac:dyDescent="0.25">
      <c r="A224" s="18" t="s">
        <v>473</v>
      </c>
      <c r="B224" s="22" t="s">
        <v>104</v>
      </c>
      <c r="C224" s="20" t="s">
        <v>31</v>
      </c>
      <c r="D224" s="7">
        <f t="shared" ref="D224:R224" si="82">D225+D227+D228+D230</f>
        <v>347.03434883399996</v>
      </c>
      <c r="E224" s="7">
        <f t="shared" si="82"/>
        <v>45.323132690000001</v>
      </c>
      <c r="F224" s="7">
        <f t="shared" si="82"/>
        <v>301.71121614399999</v>
      </c>
      <c r="G224" s="7">
        <f t="shared" si="82"/>
        <v>61.148164020000003</v>
      </c>
      <c r="H224" s="7">
        <f t="shared" si="82"/>
        <v>46.753212679999997</v>
      </c>
      <c r="I224" s="7">
        <f t="shared" si="82"/>
        <v>0</v>
      </c>
      <c r="J224" s="7">
        <f t="shared" si="82"/>
        <v>1.8474755699999998</v>
      </c>
      <c r="K224" s="7">
        <f t="shared" si="82"/>
        <v>3.3939499999999998</v>
      </c>
      <c r="L224" s="7">
        <f t="shared" si="82"/>
        <v>2.0183333300000004</v>
      </c>
      <c r="M224" s="7">
        <f t="shared" si="82"/>
        <v>20.346200000000003</v>
      </c>
      <c r="N224" s="7">
        <f t="shared" si="82"/>
        <v>20.28025706</v>
      </c>
      <c r="O224" s="7">
        <f t="shared" si="82"/>
        <v>37.408014020000003</v>
      </c>
      <c r="P224" s="7">
        <f t="shared" si="82"/>
        <v>22.607146720000003</v>
      </c>
      <c r="Q224" s="7">
        <f t="shared" si="82"/>
        <v>254.958003464</v>
      </c>
      <c r="R224" s="7">
        <f t="shared" si="82"/>
        <v>-14.394951340000002</v>
      </c>
      <c r="S224" s="21">
        <f t="shared" ref="S224" si="83">R224/(I224+K224+M224+O224)</f>
        <v>-0.23541101471651349</v>
      </c>
      <c r="T224" s="7" t="s">
        <v>32</v>
      </c>
    </row>
    <row r="225" spans="1:20" s="1" customFormat="1" ht="31.5" x14ac:dyDescent="0.25">
      <c r="A225" s="18" t="s">
        <v>474</v>
      </c>
      <c r="B225" s="22" t="s">
        <v>106</v>
      </c>
      <c r="C225" s="20" t="s">
        <v>31</v>
      </c>
      <c r="D225" s="7">
        <f t="shared" ref="D225:R225" si="84">SUM(D226)</f>
        <v>10.095599999999999</v>
      </c>
      <c r="E225" s="7">
        <f t="shared" si="84"/>
        <v>0</v>
      </c>
      <c r="F225" s="7">
        <f t="shared" si="84"/>
        <v>10.095599999999999</v>
      </c>
      <c r="G225" s="7">
        <f t="shared" si="84"/>
        <v>1.5495999999999999</v>
      </c>
      <c r="H225" s="7">
        <f t="shared" si="84"/>
        <v>1.38</v>
      </c>
      <c r="I225" s="7">
        <f t="shared" si="84"/>
        <v>0</v>
      </c>
      <c r="J225" s="7">
        <f t="shared" si="84"/>
        <v>0</v>
      </c>
      <c r="K225" s="7">
        <f t="shared" si="84"/>
        <v>0</v>
      </c>
      <c r="L225" s="7">
        <f t="shared" si="84"/>
        <v>0</v>
      </c>
      <c r="M225" s="7">
        <f t="shared" si="84"/>
        <v>1.5495999999999999</v>
      </c>
      <c r="N225" s="7">
        <f t="shared" si="84"/>
        <v>0</v>
      </c>
      <c r="O225" s="7">
        <f t="shared" si="84"/>
        <v>0</v>
      </c>
      <c r="P225" s="7">
        <f t="shared" si="84"/>
        <v>1.38</v>
      </c>
      <c r="Q225" s="7">
        <f t="shared" si="84"/>
        <v>8.7155999999999985</v>
      </c>
      <c r="R225" s="7">
        <f t="shared" si="84"/>
        <v>-0.16959999999999997</v>
      </c>
      <c r="S225" s="21">
        <f>R225/(I225+K225+M225)</f>
        <v>-0.10944759938048527</v>
      </c>
      <c r="T225" s="7" t="s">
        <v>32</v>
      </c>
    </row>
    <row r="226" spans="1:20" s="1" customFormat="1" ht="34.5" customHeight="1" x14ac:dyDescent="0.25">
      <c r="A226" s="26" t="s">
        <v>474</v>
      </c>
      <c r="B226" s="32" t="s">
        <v>475</v>
      </c>
      <c r="C226" s="33" t="s">
        <v>476</v>
      </c>
      <c r="D226" s="29">
        <v>10.095599999999999</v>
      </c>
      <c r="E226" s="29">
        <v>0</v>
      </c>
      <c r="F226" s="29">
        <f>D226-E226</f>
        <v>10.095599999999999</v>
      </c>
      <c r="G226" s="30">
        <v>1.5495999999999999</v>
      </c>
      <c r="H226" s="29">
        <f>J226+L226+N226+P226</f>
        <v>1.38</v>
      </c>
      <c r="I226" s="29">
        <v>0</v>
      </c>
      <c r="J226" s="29">
        <v>0</v>
      </c>
      <c r="K226" s="29">
        <v>0</v>
      </c>
      <c r="L226" s="29">
        <v>0</v>
      </c>
      <c r="M226" s="29">
        <v>1.5495999999999999</v>
      </c>
      <c r="N226" s="29">
        <v>0</v>
      </c>
      <c r="O226" s="29">
        <v>0</v>
      </c>
      <c r="P226" s="29">
        <v>1.38</v>
      </c>
      <c r="Q226" s="29">
        <f>F226-H226</f>
        <v>8.7155999999999985</v>
      </c>
      <c r="R226" s="29">
        <f t="shared" ref="R226" si="85">H226-(I226+K226+M226+O226)</f>
        <v>-0.16959999999999997</v>
      </c>
      <c r="S226" s="31">
        <f t="shared" ref="S226" si="86">R226/(I226+K226+M226+O226)</f>
        <v>-0.10944759938048527</v>
      </c>
      <c r="T226" s="29" t="s">
        <v>465</v>
      </c>
    </row>
    <row r="227" spans="1:20" s="1" customFormat="1" ht="30.75" customHeight="1" x14ac:dyDescent="0.25">
      <c r="A227" s="18" t="s">
        <v>477</v>
      </c>
      <c r="B227" s="22" t="s">
        <v>117</v>
      </c>
      <c r="C227" s="20" t="s">
        <v>31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21">
        <v>0</v>
      </c>
      <c r="T227" s="7" t="s">
        <v>32</v>
      </c>
    </row>
    <row r="228" spans="1:20" s="1" customFormat="1" ht="30.75" customHeight="1" x14ac:dyDescent="0.25">
      <c r="A228" s="18" t="s">
        <v>478</v>
      </c>
      <c r="B228" s="22" t="s">
        <v>126</v>
      </c>
      <c r="C228" s="20" t="s">
        <v>31</v>
      </c>
      <c r="D228" s="7">
        <f t="shared" ref="D228:R228" si="87">SUM(D229)</f>
        <v>16.1356</v>
      </c>
      <c r="E228" s="7">
        <f t="shared" si="87"/>
        <v>0</v>
      </c>
      <c r="F228" s="7">
        <f t="shared" si="87"/>
        <v>16.1356</v>
      </c>
      <c r="G228" s="7">
        <f t="shared" si="87"/>
        <v>1.7363999999999999</v>
      </c>
      <c r="H228" s="7">
        <f t="shared" si="87"/>
        <v>1.403</v>
      </c>
      <c r="I228" s="7">
        <f t="shared" si="87"/>
        <v>0</v>
      </c>
      <c r="J228" s="7">
        <f t="shared" si="87"/>
        <v>0</v>
      </c>
      <c r="K228" s="7">
        <f t="shared" si="87"/>
        <v>0</v>
      </c>
      <c r="L228" s="7">
        <f t="shared" si="87"/>
        <v>0</v>
      </c>
      <c r="M228" s="7">
        <f t="shared" si="87"/>
        <v>1.7364000000000002</v>
      </c>
      <c r="N228" s="7">
        <f t="shared" si="87"/>
        <v>0</v>
      </c>
      <c r="O228" s="7">
        <f t="shared" si="87"/>
        <v>0</v>
      </c>
      <c r="P228" s="7">
        <f t="shared" si="87"/>
        <v>1.403</v>
      </c>
      <c r="Q228" s="7">
        <f t="shared" si="87"/>
        <v>14.7326</v>
      </c>
      <c r="R228" s="7">
        <f t="shared" si="87"/>
        <v>-0.33340000000000014</v>
      </c>
      <c r="S228" s="21">
        <f t="shared" ref="S228" si="88">R228/(I228+K228+M228)</f>
        <v>-0.19200645012669898</v>
      </c>
      <c r="T228" s="7" t="s">
        <v>32</v>
      </c>
    </row>
    <row r="229" spans="1:20" s="1" customFormat="1" ht="31.5" x14ac:dyDescent="0.25">
      <c r="A229" s="26" t="s">
        <v>478</v>
      </c>
      <c r="B229" s="32" t="s">
        <v>479</v>
      </c>
      <c r="C229" s="33" t="s">
        <v>480</v>
      </c>
      <c r="D229" s="29">
        <v>16.1356</v>
      </c>
      <c r="E229" s="29">
        <v>0</v>
      </c>
      <c r="F229" s="29">
        <f>D229-E229</f>
        <v>16.1356</v>
      </c>
      <c r="G229" s="30">
        <v>1.7363999999999999</v>
      </c>
      <c r="H229" s="29">
        <f>J229+L229+N229+P229</f>
        <v>1.403</v>
      </c>
      <c r="I229" s="29">
        <v>0</v>
      </c>
      <c r="J229" s="29">
        <v>0</v>
      </c>
      <c r="K229" s="29">
        <v>0</v>
      </c>
      <c r="L229" s="29">
        <v>0</v>
      </c>
      <c r="M229" s="29">
        <v>1.7364000000000002</v>
      </c>
      <c r="N229" s="29">
        <v>0</v>
      </c>
      <c r="O229" s="29">
        <v>0</v>
      </c>
      <c r="P229" s="29">
        <v>1.403</v>
      </c>
      <c r="Q229" s="29">
        <f>F229-H229</f>
        <v>14.7326</v>
      </c>
      <c r="R229" s="29">
        <f t="shared" ref="R229" si="89">H229-(I229+K229+M229+O229)</f>
        <v>-0.33340000000000014</v>
      </c>
      <c r="S229" s="31">
        <f t="shared" ref="S229:S258" si="90">R229/(I229+K229+M229+O229)</f>
        <v>-0.19200645012669898</v>
      </c>
      <c r="T229" s="29" t="s">
        <v>465</v>
      </c>
    </row>
    <row r="230" spans="1:20" s="1" customFormat="1" ht="42" customHeight="1" x14ac:dyDescent="0.25">
      <c r="A230" s="18" t="s">
        <v>481</v>
      </c>
      <c r="B230" s="22" t="s">
        <v>131</v>
      </c>
      <c r="C230" s="20" t="s">
        <v>31</v>
      </c>
      <c r="D230" s="7">
        <f t="shared" ref="D230:R230" si="91">SUM(D231:D238)</f>
        <v>320.80314883399996</v>
      </c>
      <c r="E230" s="7">
        <f t="shared" si="91"/>
        <v>45.323132690000001</v>
      </c>
      <c r="F230" s="7">
        <f t="shared" si="91"/>
        <v>275.48001614399999</v>
      </c>
      <c r="G230" s="7">
        <f t="shared" si="91"/>
        <v>57.862164020000002</v>
      </c>
      <c r="H230" s="7">
        <f t="shared" si="91"/>
        <v>43.970212679999996</v>
      </c>
      <c r="I230" s="7">
        <f t="shared" si="91"/>
        <v>0</v>
      </c>
      <c r="J230" s="7">
        <f t="shared" si="91"/>
        <v>1.8474755699999998</v>
      </c>
      <c r="K230" s="7">
        <f t="shared" si="91"/>
        <v>3.3939499999999998</v>
      </c>
      <c r="L230" s="7">
        <f t="shared" si="91"/>
        <v>2.0183333300000004</v>
      </c>
      <c r="M230" s="7">
        <f t="shared" si="91"/>
        <v>17.060200000000002</v>
      </c>
      <c r="N230" s="7">
        <f t="shared" si="91"/>
        <v>20.28025706</v>
      </c>
      <c r="O230" s="7">
        <f t="shared" si="91"/>
        <v>37.408014020000003</v>
      </c>
      <c r="P230" s="7">
        <f t="shared" si="91"/>
        <v>19.824146720000002</v>
      </c>
      <c r="Q230" s="7">
        <f t="shared" si="91"/>
        <v>231.50980346399999</v>
      </c>
      <c r="R230" s="7">
        <f t="shared" si="91"/>
        <v>-13.891951340000002</v>
      </c>
      <c r="S230" s="21">
        <f t="shared" si="90"/>
        <v>-0.24008696486357234</v>
      </c>
      <c r="T230" s="7" t="s">
        <v>32</v>
      </c>
    </row>
    <row r="231" spans="1:20" s="1" customFormat="1" ht="31.5" x14ac:dyDescent="0.25">
      <c r="A231" s="26" t="s">
        <v>481</v>
      </c>
      <c r="B231" s="40" t="s">
        <v>482</v>
      </c>
      <c r="C231" s="33" t="s">
        <v>483</v>
      </c>
      <c r="D231" s="29">
        <v>2.9849999999999999</v>
      </c>
      <c r="E231" s="29">
        <v>0</v>
      </c>
      <c r="F231" s="29">
        <f>D231-E231</f>
        <v>2.9849999999999999</v>
      </c>
      <c r="G231" s="30">
        <v>2.6429999999999998</v>
      </c>
      <c r="H231" s="29">
        <f t="shared" ref="H231:H238" si="92">J231+L231+N231+P231</f>
        <v>4.7338412999999999</v>
      </c>
      <c r="I231" s="29">
        <v>0</v>
      </c>
      <c r="J231" s="29">
        <v>1.1835679999999999E-2</v>
      </c>
      <c r="K231" s="29">
        <v>0</v>
      </c>
      <c r="L231" s="29">
        <v>1.5630930600000001</v>
      </c>
      <c r="M231" s="29">
        <v>2.6429999999999998</v>
      </c>
      <c r="N231" s="29">
        <v>2.4501625599999999</v>
      </c>
      <c r="O231" s="29">
        <v>0</v>
      </c>
      <c r="P231" s="29">
        <v>0.70874999999999999</v>
      </c>
      <c r="Q231" s="29">
        <f t="shared" ref="Q231:Q238" si="93">F231-H231</f>
        <v>-1.7488413</v>
      </c>
      <c r="R231" s="29">
        <f t="shared" ref="R231:R238" si="94">H231-(I231+K231+M231+O231)</f>
        <v>2.0908413000000001</v>
      </c>
      <c r="S231" s="31">
        <f t="shared" si="90"/>
        <v>0.79108637911464252</v>
      </c>
      <c r="T231" s="29" t="s">
        <v>484</v>
      </c>
    </row>
    <row r="232" spans="1:20" s="1" customFormat="1" ht="31.5" x14ac:dyDescent="0.25">
      <c r="A232" s="26" t="s">
        <v>481</v>
      </c>
      <c r="B232" s="27" t="s">
        <v>485</v>
      </c>
      <c r="C232" s="30" t="s">
        <v>486</v>
      </c>
      <c r="D232" s="29">
        <v>86.328699999999984</v>
      </c>
      <c r="E232" s="29">
        <v>14.935320000000001</v>
      </c>
      <c r="F232" s="29">
        <f>D232-E232</f>
        <v>71.393379999999979</v>
      </c>
      <c r="G232" s="30">
        <v>3.5027999999999992</v>
      </c>
      <c r="H232" s="29">
        <f t="shared" si="92"/>
        <v>3.1372451199999998</v>
      </c>
      <c r="I232" s="29">
        <v>0</v>
      </c>
      <c r="J232" s="29">
        <v>0</v>
      </c>
      <c r="K232" s="29">
        <v>0.24299999999999999</v>
      </c>
      <c r="L232" s="29">
        <v>0.3</v>
      </c>
      <c r="M232" s="29">
        <v>2.9578000000000002</v>
      </c>
      <c r="N232" s="29">
        <v>0.1730312</v>
      </c>
      <c r="O232" s="29">
        <v>0.30199999999999999</v>
      </c>
      <c r="P232" s="29">
        <v>2.6642139199999999</v>
      </c>
      <c r="Q232" s="29">
        <f t="shared" si="93"/>
        <v>68.256134879999976</v>
      </c>
      <c r="R232" s="29">
        <f t="shared" si="94"/>
        <v>-0.36555488000000036</v>
      </c>
      <c r="S232" s="31">
        <f t="shared" si="90"/>
        <v>-0.10436076281831687</v>
      </c>
      <c r="T232" s="29" t="s">
        <v>487</v>
      </c>
    </row>
    <row r="233" spans="1:20" s="1" customFormat="1" ht="31.5" x14ac:dyDescent="0.25">
      <c r="A233" s="26" t="s">
        <v>481</v>
      </c>
      <c r="B233" s="27" t="s">
        <v>488</v>
      </c>
      <c r="C233" s="30" t="s">
        <v>489</v>
      </c>
      <c r="D233" s="29">
        <v>33.84737148</v>
      </c>
      <c r="E233" s="29">
        <v>14.587731589999999</v>
      </c>
      <c r="F233" s="29">
        <f>D233-E233</f>
        <v>19.259639890000003</v>
      </c>
      <c r="G233" s="30">
        <v>18.692539889999999</v>
      </c>
      <c r="H233" s="29">
        <f t="shared" si="92"/>
        <v>17.504225599999998</v>
      </c>
      <c r="I233" s="29">
        <v>0</v>
      </c>
      <c r="J233" s="29">
        <v>0.75263988999999998</v>
      </c>
      <c r="K233" s="29">
        <v>1.909</v>
      </c>
      <c r="L233" s="29">
        <v>9.8240270000000005E-2</v>
      </c>
      <c r="M233" s="29">
        <v>5.51</v>
      </c>
      <c r="N233" s="29">
        <v>4.5337116499999999</v>
      </c>
      <c r="O233" s="29">
        <f>G233-I233-K233-M233</f>
        <v>11.27353989</v>
      </c>
      <c r="P233" s="29">
        <v>12.11963379</v>
      </c>
      <c r="Q233" s="29">
        <f t="shared" si="93"/>
        <v>1.7554142900000045</v>
      </c>
      <c r="R233" s="29">
        <f t="shared" si="94"/>
        <v>-1.188314290000001</v>
      </c>
      <c r="S233" s="31">
        <f t="shared" si="90"/>
        <v>-6.357157973142627E-2</v>
      </c>
      <c r="T233" s="29" t="s">
        <v>487</v>
      </c>
    </row>
    <row r="234" spans="1:20" s="1" customFormat="1" ht="47.25" x14ac:dyDescent="0.25">
      <c r="A234" s="26" t="s">
        <v>481</v>
      </c>
      <c r="B234" s="27" t="s">
        <v>490</v>
      </c>
      <c r="C234" s="30" t="s">
        <v>491</v>
      </c>
      <c r="D234" s="29">
        <v>25.739490000000004</v>
      </c>
      <c r="E234" s="29">
        <v>2.1685320000000003</v>
      </c>
      <c r="F234" s="29">
        <f>D234-E234</f>
        <v>23.570958000000005</v>
      </c>
      <c r="G234" s="30">
        <v>11.363155999999998</v>
      </c>
      <c r="H234" s="29">
        <f t="shared" si="92"/>
        <v>8.6226924399999998</v>
      </c>
      <c r="I234" s="29">
        <v>0</v>
      </c>
      <c r="J234" s="29">
        <v>0</v>
      </c>
      <c r="K234" s="29">
        <v>1.0309999999999999</v>
      </c>
      <c r="L234" s="29">
        <v>0</v>
      </c>
      <c r="M234" s="29">
        <v>3.8555999999999999</v>
      </c>
      <c r="N234" s="29">
        <v>5.7135902400000003</v>
      </c>
      <c r="O234" s="29">
        <v>6.4765559999999995</v>
      </c>
      <c r="P234" s="29">
        <v>2.9091022</v>
      </c>
      <c r="Q234" s="29">
        <f t="shared" si="93"/>
        <v>14.948265560000005</v>
      </c>
      <c r="R234" s="29">
        <f t="shared" si="94"/>
        <v>-2.7404635600000002</v>
      </c>
      <c r="S234" s="31">
        <f t="shared" si="90"/>
        <v>-0.24117098806000728</v>
      </c>
      <c r="T234" s="29" t="s">
        <v>465</v>
      </c>
    </row>
    <row r="235" spans="1:20" s="1" customFormat="1" ht="31.5" x14ac:dyDescent="0.25">
      <c r="A235" s="26" t="s">
        <v>481</v>
      </c>
      <c r="B235" s="27" t="s">
        <v>492</v>
      </c>
      <c r="C235" s="30" t="s">
        <v>493</v>
      </c>
      <c r="D235" s="29">
        <v>3.7187280299999999</v>
      </c>
      <c r="E235" s="29">
        <f>D235-F235</f>
        <v>2.5944794999999998</v>
      </c>
      <c r="F235" s="29">
        <v>1.12424853</v>
      </c>
      <c r="G235" s="30">
        <v>1.12424853</v>
      </c>
      <c r="H235" s="29">
        <f t="shared" si="92"/>
        <v>1.1399999999999999</v>
      </c>
      <c r="I235" s="29">
        <v>0</v>
      </c>
      <c r="J235" s="29">
        <v>1.083</v>
      </c>
      <c r="K235" s="29">
        <v>0</v>
      </c>
      <c r="L235" s="29">
        <v>5.7000000000000002E-2</v>
      </c>
      <c r="M235" s="29">
        <v>0</v>
      </c>
      <c r="N235" s="29">
        <v>0</v>
      </c>
      <c r="O235" s="29">
        <v>1.12424853</v>
      </c>
      <c r="P235" s="29">
        <v>0</v>
      </c>
      <c r="Q235" s="29">
        <f t="shared" si="93"/>
        <v>-1.5751469999999879E-2</v>
      </c>
      <c r="R235" s="29">
        <f t="shared" si="94"/>
        <v>1.5751469999999879E-2</v>
      </c>
      <c r="S235" s="31">
        <f t="shared" si="90"/>
        <v>1.4010665417547736E-2</v>
      </c>
      <c r="T235" s="30" t="s">
        <v>237</v>
      </c>
    </row>
    <row r="236" spans="1:20" s="1" customFormat="1" ht="38.25" customHeight="1" x14ac:dyDescent="0.25">
      <c r="A236" s="26" t="s">
        <v>481</v>
      </c>
      <c r="B236" s="27" t="s">
        <v>494</v>
      </c>
      <c r="C236" s="30" t="s">
        <v>495</v>
      </c>
      <c r="D236" s="29">
        <v>117.99369765399999</v>
      </c>
      <c r="E236" s="29">
        <v>11.037069600000001</v>
      </c>
      <c r="F236" s="29">
        <f>D236-E236</f>
        <v>106.95662805399999</v>
      </c>
      <c r="G236" s="30">
        <v>13.116819600000001</v>
      </c>
      <c r="H236" s="29">
        <f t="shared" si="92"/>
        <v>2.3812757100000002</v>
      </c>
      <c r="I236" s="29">
        <v>0</v>
      </c>
      <c r="J236" s="29">
        <v>0</v>
      </c>
      <c r="K236" s="29">
        <v>0.21095</v>
      </c>
      <c r="L236" s="29">
        <v>0</v>
      </c>
      <c r="M236" s="29">
        <v>2.0938000000000003</v>
      </c>
      <c r="N236" s="29">
        <v>0.95882889999999998</v>
      </c>
      <c r="O236" s="29">
        <f>G236-I236-K236-M236</f>
        <v>10.812069600000001</v>
      </c>
      <c r="P236" s="29">
        <v>1.4224468100000001</v>
      </c>
      <c r="Q236" s="29">
        <f t="shared" si="93"/>
        <v>104.575352344</v>
      </c>
      <c r="R236" s="29">
        <f t="shared" si="94"/>
        <v>-10.735543890000001</v>
      </c>
      <c r="S236" s="31">
        <f t="shared" si="90"/>
        <v>-0.81845631924372886</v>
      </c>
      <c r="T236" s="29" t="s">
        <v>496</v>
      </c>
    </row>
    <row r="237" spans="1:20" s="1" customFormat="1" ht="29.25" customHeight="1" x14ac:dyDescent="0.25">
      <c r="A237" s="26" t="s">
        <v>481</v>
      </c>
      <c r="B237" s="27" t="s">
        <v>497</v>
      </c>
      <c r="C237" s="30" t="s">
        <v>498</v>
      </c>
      <c r="D237" s="29">
        <v>16.791161670000001</v>
      </c>
      <c r="E237" s="29">
        <v>0</v>
      </c>
      <c r="F237" s="29">
        <f>D237-E237</f>
        <v>16.791161670000001</v>
      </c>
      <c r="G237" s="30">
        <v>3.8195999999999999</v>
      </c>
      <c r="H237" s="29">
        <f t="shared" si="92"/>
        <v>6.4509325100000003</v>
      </c>
      <c r="I237" s="29">
        <v>0</v>
      </c>
      <c r="J237" s="29">
        <v>0</v>
      </c>
      <c r="K237" s="29">
        <v>0</v>
      </c>
      <c r="L237" s="29">
        <v>0</v>
      </c>
      <c r="M237" s="29">
        <v>0</v>
      </c>
      <c r="N237" s="29">
        <v>6.4509325100000003</v>
      </c>
      <c r="O237" s="29">
        <v>3.8195999999999999</v>
      </c>
      <c r="P237" s="29">
        <v>0</v>
      </c>
      <c r="Q237" s="29">
        <f t="shared" si="93"/>
        <v>10.34022916</v>
      </c>
      <c r="R237" s="29">
        <f t="shared" si="94"/>
        <v>2.6313325100000005</v>
      </c>
      <c r="S237" s="31">
        <f t="shared" si="90"/>
        <v>0.68890263640171756</v>
      </c>
      <c r="T237" s="29" t="s">
        <v>499</v>
      </c>
    </row>
    <row r="238" spans="1:20" s="1" customFormat="1" x14ac:dyDescent="0.25">
      <c r="A238" s="26" t="s">
        <v>481</v>
      </c>
      <c r="B238" s="27" t="s">
        <v>500</v>
      </c>
      <c r="C238" s="30" t="s">
        <v>501</v>
      </c>
      <c r="D238" s="29">
        <v>33.399000000000001</v>
      </c>
      <c r="E238" s="29">
        <v>0</v>
      </c>
      <c r="F238" s="29">
        <f>D238-E238</f>
        <v>33.399000000000001</v>
      </c>
      <c r="G238" s="30">
        <v>3.6</v>
      </c>
      <c r="H238" s="29">
        <f t="shared" si="92"/>
        <v>0</v>
      </c>
      <c r="I238" s="29">
        <v>0</v>
      </c>
      <c r="J238" s="29">
        <v>0</v>
      </c>
      <c r="K238" s="29">
        <v>0</v>
      </c>
      <c r="L238" s="29">
        <v>0</v>
      </c>
      <c r="M238" s="29">
        <v>0</v>
      </c>
      <c r="N238" s="29">
        <v>0</v>
      </c>
      <c r="O238" s="29">
        <v>3.6</v>
      </c>
      <c r="P238" s="29">
        <v>0</v>
      </c>
      <c r="Q238" s="29">
        <f t="shared" si="93"/>
        <v>33.399000000000001</v>
      </c>
      <c r="R238" s="29">
        <f t="shared" si="94"/>
        <v>-3.6</v>
      </c>
      <c r="S238" s="31">
        <f t="shared" si="90"/>
        <v>-1</v>
      </c>
      <c r="T238" s="29" t="s">
        <v>502</v>
      </c>
    </row>
    <row r="239" spans="1:20" s="1" customFormat="1" ht="31.5" x14ac:dyDescent="0.25">
      <c r="A239" s="18" t="s">
        <v>503</v>
      </c>
      <c r="B239" s="22" t="s">
        <v>156</v>
      </c>
      <c r="C239" s="20" t="s">
        <v>31</v>
      </c>
      <c r="D239" s="7">
        <f t="shared" ref="D239:R239" si="95">D240+D245+D246+D247</f>
        <v>1041.1546773314999</v>
      </c>
      <c r="E239" s="7">
        <f t="shared" si="95"/>
        <v>277.48233534999997</v>
      </c>
      <c r="F239" s="7">
        <f t="shared" si="95"/>
        <v>763.67234198149981</v>
      </c>
      <c r="G239" s="7">
        <f t="shared" si="95"/>
        <v>194.96968251149997</v>
      </c>
      <c r="H239" s="7">
        <f t="shared" si="95"/>
        <v>164.32362645000001</v>
      </c>
      <c r="I239" s="7">
        <f t="shared" si="95"/>
        <v>20.039357543100003</v>
      </c>
      <c r="J239" s="7">
        <f t="shared" si="95"/>
        <v>23.606251059999998</v>
      </c>
      <c r="K239" s="7">
        <f t="shared" si="95"/>
        <v>1.0475904174999999</v>
      </c>
      <c r="L239" s="7">
        <f t="shared" si="95"/>
        <v>4.8544407600000001</v>
      </c>
      <c r="M239" s="7">
        <f t="shared" si="95"/>
        <v>9.0632271375000002</v>
      </c>
      <c r="N239" s="7">
        <f t="shared" si="95"/>
        <v>8.4499353399999997</v>
      </c>
      <c r="O239" s="7">
        <f t="shared" si="95"/>
        <v>164.8195074134</v>
      </c>
      <c r="P239" s="7">
        <f t="shared" si="95"/>
        <v>127.41299929000002</v>
      </c>
      <c r="Q239" s="7">
        <f t="shared" si="95"/>
        <v>599.34871553149992</v>
      </c>
      <c r="R239" s="7">
        <f t="shared" si="95"/>
        <v>-30.646056061499973</v>
      </c>
      <c r="S239" s="21">
        <f t="shared" si="90"/>
        <v>-0.15718369987955619</v>
      </c>
      <c r="T239" s="7" t="s">
        <v>32</v>
      </c>
    </row>
    <row r="240" spans="1:20" s="1" customFormat="1" ht="31.5" x14ac:dyDescent="0.25">
      <c r="A240" s="18" t="s">
        <v>504</v>
      </c>
      <c r="B240" s="22" t="s">
        <v>158</v>
      </c>
      <c r="C240" s="20" t="s">
        <v>31</v>
      </c>
      <c r="D240" s="7">
        <f t="shared" ref="D240:R240" si="96">SUM(D241:D244)</f>
        <v>275.13394665999999</v>
      </c>
      <c r="E240" s="7">
        <f t="shared" si="96"/>
        <v>144.16028849</v>
      </c>
      <c r="F240" s="7">
        <f t="shared" si="96"/>
        <v>130.97365816999996</v>
      </c>
      <c r="G240" s="7">
        <f t="shared" si="96"/>
        <v>22.833858169999999</v>
      </c>
      <c r="H240" s="7">
        <f t="shared" si="96"/>
        <v>21.00608093</v>
      </c>
      <c r="I240" s="7">
        <f t="shared" si="96"/>
        <v>7.1764599980000039</v>
      </c>
      <c r="J240" s="7">
        <f t="shared" si="96"/>
        <v>15.43268174</v>
      </c>
      <c r="K240" s="7">
        <f t="shared" si="96"/>
        <v>7.4999999999999997E-2</v>
      </c>
      <c r="L240" s="7">
        <f t="shared" si="96"/>
        <v>1.9311764300000001</v>
      </c>
      <c r="M240" s="7">
        <f t="shared" si="96"/>
        <v>1.2749999999999999</v>
      </c>
      <c r="N240" s="7">
        <f t="shared" si="96"/>
        <v>0.31141439999999998</v>
      </c>
      <c r="O240" s="7">
        <f t="shared" si="96"/>
        <v>14.307398171999996</v>
      </c>
      <c r="P240" s="7">
        <f t="shared" si="96"/>
        <v>3.3308083599999998</v>
      </c>
      <c r="Q240" s="7">
        <f t="shared" si="96"/>
        <v>109.96757723999998</v>
      </c>
      <c r="R240" s="7">
        <f t="shared" si="96"/>
        <v>-1.8277772400000001</v>
      </c>
      <c r="S240" s="21">
        <f t="shared" si="90"/>
        <v>-8.0046798328694366E-2</v>
      </c>
      <c r="T240" s="7" t="s">
        <v>32</v>
      </c>
    </row>
    <row r="241" spans="1:20" s="1" customFormat="1" x14ac:dyDescent="0.25">
      <c r="A241" s="26" t="s">
        <v>504</v>
      </c>
      <c r="B241" s="27" t="s">
        <v>505</v>
      </c>
      <c r="C241" s="30" t="s">
        <v>506</v>
      </c>
      <c r="D241" s="29">
        <v>136.01147650999999</v>
      </c>
      <c r="E241" s="29">
        <v>129.66085884</v>
      </c>
      <c r="F241" s="29">
        <f>D241-E241</f>
        <v>6.3506176699999912</v>
      </c>
      <c r="G241" s="30">
        <v>6.3506176700000001</v>
      </c>
      <c r="H241" s="29">
        <f>J241+L241+N241+P241</f>
        <v>6.3506176700000001</v>
      </c>
      <c r="I241" s="29">
        <v>5.1606999980000037</v>
      </c>
      <c r="J241" s="29">
        <v>6.3506176700000001</v>
      </c>
      <c r="K241" s="29">
        <v>0</v>
      </c>
      <c r="L241" s="29">
        <v>0</v>
      </c>
      <c r="M241" s="29">
        <v>0</v>
      </c>
      <c r="N241" s="29">
        <v>0</v>
      </c>
      <c r="O241" s="29">
        <f>G241-I241-K241-M241</f>
        <v>1.1899176719999964</v>
      </c>
      <c r="P241" s="29">
        <v>0</v>
      </c>
      <c r="Q241" s="29">
        <f>F241-H241</f>
        <v>-8.8817841970012523E-15</v>
      </c>
      <c r="R241" s="29">
        <f t="shared" ref="R241:R244" si="97">H241-(I241+K241+M241+O241)</f>
        <v>0</v>
      </c>
      <c r="S241" s="31">
        <f t="shared" si="90"/>
        <v>0</v>
      </c>
      <c r="T241" s="29" t="s">
        <v>32</v>
      </c>
    </row>
    <row r="242" spans="1:20" s="1" customFormat="1" ht="49.5" customHeight="1" x14ac:dyDescent="0.25">
      <c r="A242" s="26" t="s">
        <v>504</v>
      </c>
      <c r="B242" s="27" t="s">
        <v>507</v>
      </c>
      <c r="C242" s="30" t="s">
        <v>508</v>
      </c>
      <c r="D242" s="29">
        <v>14.882323029999998</v>
      </c>
      <c r="E242" s="29">
        <v>9.4500147699999992</v>
      </c>
      <c r="F242" s="29">
        <f>D242-E242</f>
        <v>5.4323082599999992</v>
      </c>
      <c r="G242" s="30">
        <v>5.4323082600000001</v>
      </c>
      <c r="H242" s="29">
        <f>J242+L242+N242+P242</f>
        <v>5.4323082600000001</v>
      </c>
      <c r="I242" s="29">
        <v>0.52176000000000022</v>
      </c>
      <c r="J242" s="29">
        <v>3.5011318299999998</v>
      </c>
      <c r="K242" s="29">
        <v>0</v>
      </c>
      <c r="L242" s="29">
        <v>1.9311764300000001</v>
      </c>
      <c r="M242" s="29">
        <v>0</v>
      </c>
      <c r="N242" s="29">
        <v>0</v>
      </c>
      <c r="O242" s="29">
        <f>G242-I242-K242-M242</f>
        <v>4.9105482599999997</v>
      </c>
      <c r="P242" s="29">
        <v>0</v>
      </c>
      <c r="Q242" s="29">
        <f>F242-H242</f>
        <v>0</v>
      </c>
      <c r="R242" s="29">
        <f t="shared" si="97"/>
        <v>0</v>
      </c>
      <c r="S242" s="31">
        <f t="shared" si="90"/>
        <v>0</v>
      </c>
      <c r="T242" s="30" t="s">
        <v>32</v>
      </c>
    </row>
    <row r="243" spans="1:20" s="1" customFormat="1" ht="31.5" x14ac:dyDescent="0.25">
      <c r="A243" s="26" t="s">
        <v>504</v>
      </c>
      <c r="B243" s="27" t="s">
        <v>509</v>
      </c>
      <c r="C243" s="30" t="s">
        <v>510</v>
      </c>
      <c r="D243" s="29">
        <v>5.97</v>
      </c>
      <c r="E243" s="29">
        <v>0</v>
      </c>
      <c r="F243" s="29">
        <f>D243-E243</f>
        <v>5.97</v>
      </c>
      <c r="G243" s="30">
        <v>5.47</v>
      </c>
      <c r="H243" s="29">
        <f>J243+L243+N243+P243</f>
        <v>3.6422227599999997</v>
      </c>
      <c r="I243" s="29">
        <v>0</v>
      </c>
      <c r="J243" s="29">
        <v>0</v>
      </c>
      <c r="K243" s="29">
        <v>7.4999999999999997E-2</v>
      </c>
      <c r="L243" s="29">
        <v>0</v>
      </c>
      <c r="M243" s="29">
        <v>1.2749999999999999</v>
      </c>
      <c r="N243" s="29">
        <v>0.31141439999999998</v>
      </c>
      <c r="O243" s="29">
        <v>4.12</v>
      </c>
      <c r="P243" s="29">
        <v>3.3308083599999998</v>
      </c>
      <c r="Q243" s="29">
        <f>F243-H243</f>
        <v>2.3277772400000001</v>
      </c>
      <c r="R243" s="29">
        <f t="shared" si="97"/>
        <v>-1.8277772400000001</v>
      </c>
      <c r="S243" s="31">
        <f t="shared" si="90"/>
        <v>-0.33414574771480809</v>
      </c>
      <c r="T243" s="30" t="s">
        <v>465</v>
      </c>
    </row>
    <row r="244" spans="1:20" s="1" customFormat="1" x14ac:dyDescent="0.25">
      <c r="A244" s="26" t="s">
        <v>504</v>
      </c>
      <c r="B244" s="27" t="s">
        <v>511</v>
      </c>
      <c r="C244" s="30" t="s">
        <v>512</v>
      </c>
      <c r="D244" s="29">
        <v>118.27014711999999</v>
      </c>
      <c r="E244" s="29">
        <v>5.0494148800000005</v>
      </c>
      <c r="F244" s="29">
        <f>D244-E244</f>
        <v>113.22073223999999</v>
      </c>
      <c r="G244" s="30">
        <v>5.5809322400000001</v>
      </c>
      <c r="H244" s="29">
        <f>J244+L244+N244+P244</f>
        <v>5.5809322400000001</v>
      </c>
      <c r="I244" s="29">
        <v>1.494</v>
      </c>
      <c r="J244" s="29">
        <v>5.5809322400000001</v>
      </c>
      <c r="K244" s="29">
        <v>0</v>
      </c>
      <c r="L244" s="29">
        <v>0</v>
      </c>
      <c r="M244" s="29">
        <v>0</v>
      </c>
      <c r="N244" s="29">
        <v>0</v>
      </c>
      <c r="O244" s="29">
        <f>G244-I244-K244-M244</f>
        <v>4.0869322400000003</v>
      </c>
      <c r="P244" s="29">
        <v>0</v>
      </c>
      <c r="Q244" s="29">
        <f>F244-H244</f>
        <v>107.63979999999999</v>
      </c>
      <c r="R244" s="29">
        <f t="shared" si="97"/>
        <v>0</v>
      </c>
      <c r="S244" s="31">
        <f t="shared" si="90"/>
        <v>0</v>
      </c>
      <c r="T244" s="29" t="s">
        <v>32</v>
      </c>
    </row>
    <row r="245" spans="1:20" s="1" customFormat="1" ht="31.5" x14ac:dyDescent="0.25">
      <c r="A245" s="18" t="s">
        <v>513</v>
      </c>
      <c r="B245" s="22" t="s">
        <v>188</v>
      </c>
      <c r="C245" s="20" t="s">
        <v>31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21">
        <v>0</v>
      </c>
      <c r="T245" s="7" t="s">
        <v>32</v>
      </c>
    </row>
    <row r="246" spans="1:20" s="1" customFormat="1" ht="31.5" x14ac:dyDescent="0.25">
      <c r="A246" s="18" t="s">
        <v>514</v>
      </c>
      <c r="B246" s="22" t="s">
        <v>190</v>
      </c>
      <c r="C246" s="20" t="s">
        <v>31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21">
        <v>0</v>
      </c>
      <c r="T246" s="7" t="s">
        <v>32</v>
      </c>
    </row>
    <row r="247" spans="1:20" s="1" customFormat="1" ht="31.5" x14ac:dyDescent="0.25">
      <c r="A247" s="18" t="s">
        <v>515</v>
      </c>
      <c r="B247" s="22" t="s">
        <v>227</v>
      </c>
      <c r="C247" s="20" t="s">
        <v>31</v>
      </c>
      <c r="D247" s="7">
        <f t="shared" ref="D247:R247" si="98">SUM(D248:D258)</f>
        <v>766.0207306714999</v>
      </c>
      <c r="E247" s="7">
        <f t="shared" si="98"/>
        <v>133.32204686</v>
      </c>
      <c r="F247" s="7">
        <f t="shared" si="98"/>
        <v>632.6986838114999</v>
      </c>
      <c r="G247" s="7">
        <f t="shared" si="98"/>
        <v>172.13582434149998</v>
      </c>
      <c r="H247" s="7">
        <f t="shared" si="98"/>
        <v>143.31754552000001</v>
      </c>
      <c r="I247" s="7">
        <f t="shared" si="98"/>
        <v>12.862897545099997</v>
      </c>
      <c r="J247" s="7">
        <f t="shared" si="98"/>
        <v>8.1735693200000004</v>
      </c>
      <c r="K247" s="7">
        <f t="shared" si="98"/>
        <v>0.97259041749999997</v>
      </c>
      <c r="L247" s="7">
        <f t="shared" si="98"/>
        <v>2.9232643299999999</v>
      </c>
      <c r="M247" s="7">
        <f t="shared" si="98"/>
        <v>7.7882271374999998</v>
      </c>
      <c r="N247" s="7">
        <f t="shared" si="98"/>
        <v>8.1385209399999994</v>
      </c>
      <c r="O247" s="7">
        <f t="shared" si="98"/>
        <v>150.5121092414</v>
      </c>
      <c r="P247" s="7">
        <f t="shared" si="98"/>
        <v>124.08219093000001</v>
      </c>
      <c r="Q247" s="7">
        <f t="shared" si="98"/>
        <v>489.38113829149995</v>
      </c>
      <c r="R247" s="7">
        <f t="shared" si="98"/>
        <v>-28.818278821499973</v>
      </c>
      <c r="S247" s="21">
        <f t="shared" si="90"/>
        <v>-0.16741592827491525</v>
      </c>
      <c r="T247" s="7" t="s">
        <v>32</v>
      </c>
    </row>
    <row r="248" spans="1:20" s="1" customFormat="1" ht="31.5" x14ac:dyDescent="0.25">
      <c r="A248" s="26" t="s">
        <v>515</v>
      </c>
      <c r="B248" s="27" t="s">
        <v>516</v>
      </c>
      <c r="C248" s="30" t="s">
        <v>517</v>
      </c>
      <c r="D248" s="29">
        <v>204.009812504</v>
      </c>
      <c r="E248" s="29">
        <v>15.952129849999999</v>
      </c>
      <c r="F248" s="29">
        <f t="shared" ref="F248:F255" si="99">D248-E248</f>
        <v>188.05768265399999</v>
      </c>
      <c r="G248" s="30">
        <v>12.465026700000003</v>
      </c>
      <c r="H248" s="29">
        <f t="shared" ref="H248:H258" si="100">J248+L248+N248+P248</f>
        <v>9.0280878700000002</v>
      </c>
      <c r="I248" s="29">
        <v>1.5528</v>
      </c>
      <c r="J248" s="29">
        <v>0.52502669999999996</v>
      </c>
      <c r="K248" s="29">
        <v>0.04</v>
      </c>
      <c r="L248" s="29">
        <v>0</v>
      </c>
      <c r="M248" s="29">
        <v>2.1779999999999999</v>
      </c>
      <c r="N248" s="29">
        <v>1.9984221499999999</v>
      </c>
      <c r="O248" s="29">
        <f>G248-I248-K248-M248</f>
        <v>8.6942267000000051</v>
      </c>
      <c r="P248" s="29">
        <v>6.5046390199999999</v>
      </c>
      <c r="Q248" s="29">
        <f t="shared" ref="Q248:Q258" si="101">F248-H248</f>
        <v>179.02959478399998</v>
      </c>
      <c r="R248" s="29">
        <f t="shared" ref="R248:R258" si="102">H248-(I248+K248+M248+O248)</f>
        <v>-3.4369388300000043</v>
      </c>
      <c r="S248" s="31">
        <f t="shared" si="90"/>
        <v>-0.27572655179310629</v>
      </c>
      <c r="T248" s="29" t="s">
        <v>518</v>
      </c>
    </row>
    <row r="249" spans="1:20" s="1" customFormat="1" ht="31.5" x14ac:dyDescent="0.25">
      <c r="A249" s="26" t="s">
        <v>515</v>
      </c>
      <c r="B249" s="27" t="s">
        <v>519</v>
      </c>
      <c r="C249" s="30" t="s">
        <v>520</v>
      </c>
      <c r="D249" s="29">
        <v>197.34661069680001</v>
      </c>
      <c r="E249" s="29">
        <v>39.645051370000004</v>
      </c>
      <c r="F249" s="29">
        <f t="shared" si="99"/>
        <v>157.70155932680001</v>
      </c>
      <c r="G249" s="30">
        <v>3.4798878499999999</v>
      </c>
      <c r="H249" s="29">
        <f t="shared" si="100"/>
        <v>1.6779939399999999</v>
      </c>
      <c r="I249" s="29">
        <v>0.58367419399999931</v>
      </c>
      <c r="J249" s="29">
        <v>0.83988784999999999</v>
      </c>
      <c r="K249" s="29">
        <v>0</v>
      </c>
      <c r="L249" s="29">
        <v>0</v>
      </c>
      <c r="M249" s="29">
        <v>0</v>
      </c>
      <c r="N249" s="29">
        <v>0</v>
      </c>
      <c r="O249" s="29">
        <f>G249-I249-K249-M249</f>
        <v>2.8962136560000005</v>
      </c>
      <c r="P249" s="29">
        <v>0.83810609000000003</v>
      </c>
      <c r="Q249" s="29">
        <f t="shared" si="101"/>
        <v>156.02356538680002</v>
      </c>
      <c r="R249" s="29">
        <f t="shared" si="102"/>
        <v>-1.80189391</v>
      </c>
      <c r="S249" s="31">
        <f t="shared" si="90"/>
        <v>-0.51780229354230478</v>
      </c>
      <c r="T249" s="29" t="s">
        <v>521</v>
      </c>
    </row>
    <row r="250" spans="1:20" s="1" customFormat="1" ht="31.5" x14ac:dyDescent="0.25">
      <c r="A250" s="26" t="s">
        <v>515</v>
      </c>
      <c r="B250" s="27" t="s">
        <v>522</v>
      </c>
      <c r="C250" s="30" t="s">
        <v>523</v>
      </c>
      <c r="D250" s="29">
        <v>73.294102289999998</v>
      </c>
      <c r="E250" s="29">
        <v>64.039604629999999</v>
      </c>
      <c r="F250" s="29">
        <f t="shared" si="99"/>
        <v>9.2544976599999984</v>
      </c>
      <c r="G250" s="30">
        <v>9.2544976600000002</v>
      </c>
      <c r="H250" s="29">
        <f t="shared" si="100"/>
        <v>9.9380826800000008</v>
      </c>
      <c r="I250" s="29">
        <v>8.9532580435999982</v>
      </c>
      <c r="J250" s="29">
        <v>2.5010237100000001</v>
      </c>
      <c r="K250" s="29">
        <v>0</v>
      </c>
      <c r="L250" s="29">
        <v>2.7335393300000002</v>
      </c>
      <c r="M250" s="29">
        <v>0</v>
      </c>
      <c r="N250" s="29">
        <v>3.3869186400000002</v>
      </c>
      <c r="O250" s="29">
        <f>G250-I250-K250-M250</f>
        <v>0.30123961640000196</v>
      </c>
      <c r="P250" s="29">
        <v>1.3166009999999999</v>
      </c>
      <c r="Q250" s="29">
        <f t="shared" si="101"/>
        <v>-0.68358502000000243</v>
      </c>
      <c r="R250" s="29">
        <f t="shared" si="102"/>
        <v>0.68358502000000065</v>
      </c>
      <c r="S250" s="31">
        <f t="shared" si="90"/>
        <v>7.3865167523312195E-2</v>
      </c>
      <c r="T250" s="30" t="s">
        <v>524</v>
      </c>
    </row>
    <row r="251" spans="1:20" s="1" customFormat="1" x14ac:dyDescent="0.25">
      <c r="A251" s="26" t="s">
        <v>515</v>
      </c>
      <c r="B251" s="27" t="s">
        <v>525</v>
      </c>
      <c r="C251" s="30" t="s">
        <v>526</v>
      </c>
      <c r="D251" s="29">
        <v>2.9849999999999999</v>
      </c>
      <c r="E251" s="29">
        <v>0</v>
      </c>
      <c r="F251" s="29">
        <f t="shared" si="99"/>
        <v>2.9849999999999999</v>
      </c>
      <c r="G251" s="30">
        <v>2.9849999999999999</v>
      </c>
      <c r="H251" s="29">
        <f t="shared" si="100"/>
        <v>2.67009761</v>
      </c>
      <c r="I251" s="29">
        <v>0</v>
      </c>
      <c r="J251" s="29">
        <v>0</v>
      </c>
      <c r="K251" s="29">
        <v>0</v>
      </c>
      <c r="L251" s="29">
        <v>0</v>
      </c>
      <c r="M251" s="29">
        <v>7.4999999999999997E-2</v>
      </c>
      <c r="N251" s="29">
        <v>0.25607999999999997</v>
      </c>
      <c r="O251" s="29">
        <v>2.91</v>
      </c>
      <c r="P251" s="29">
        <v>2.4140176100000001</v>
      </c>
      <c r="Q251" s="29">
        <f t="shared" si="101"/>
        <v>0.31490238999999987</v>
      </c>
      <c r="R251" s="29">
        <f t="shared" si="102"/>
        <v>-0.31490239000000031</v>
      </c>
      <c r="S251" s="31">
        <f t="shared" si="90"/>
        <v>-0.10549493802345068</v>
      </c>
      <c r="T251" s="30" t="s">
        <v>465</v>
      </c>
    </row>
    <row r="252" spans="1:20" s="1" customFormat="1" ht="31.5" x14ac:dyDescent="0.25">
      <c r="A252" s="26" t="s">
        <v>515</v>
      </c>
      <c r="B252" s="27" t="s">
        <v>527</v>
      </c>
      <c r="C252" s="30" t="s">
        <v>528</v>
      </c>
      <c r="D252" s="29">
        <v>14.686199999999999</v>
      </c>
      <c r="E252" s="29">
        <v>0</v>
      </c>
      <c r="F252" s="29">
        <f t="shared" si="99"/>
        <v>14.686199999999999</v>
      </c>
      <c r="G252" s="30">
        <v>11.614199999999999</v>
      </c>
      <c r="H252" s="29">
        <f t="shared" si="100"/>
        <v>9.8309560500000011</v>
      </c>
      <c r="I252" s="29">
        <v>0</v>
      </c>
      <c r="J252" s="29">
        <v>0</v>
      </c>
      <c r="K252" s="29">
        <v>0</v>
      </c>
      <c r="L252" s="29">
        <v>0</v>
      </c>
      <c r="M252" s="29">
        <v>9.989526E-2</v>
      </c>
      <c r="N252" s="29">
        <v>0.95542517999999999</v>
      </c>
      <c r="O252" s="29">
        <v>11.51430474</v>
      </c>
      <c r="P252" s="29">
        <v>8.8755308700000004</v>
      </c>
      <c r="Q252" s="29">
        <f t="shared" si="101"/>
        <v>4.8552439499999984</v>
      </c>
      <c r="R252" s="29">
        <f t="shared" si="102"/>
        <v>-1.7832439499999992</v>
      </c>
      <c r="S252" s="31">
        <f t="shared" si="90"/>
        <v>-0.15353997261972407</v>
      </c>
      <c r="T252" s="30" t="s">
        <v>465</v>
      </c>
    </row>
    <row r="253" spans="1:20" s="1" customFormat="1" ht="31.5" x14ac:dyDescent="0.25">
      <c r="A253" s="26" t="s">
        <v>515</v>
      </c>
      <c r="B253" s="27" t="s">
        <v>529</v>
      </c>
      <c r="C253" s="30" t="s">
        <v>530</v>
      </c>
      <c r="D253" s="29">
        <v>173.16078811069997</v>
      </c>
      <c r="E253" s="29">
        <v>3.1623999999999999</v>
      </c>
      <c r="F253" s="29">
        <f t="shared" si="99"/>
        <v>169.99838811069998</v>
      </c>
      <c r="G253" s="30">
        <v>83.008856071499977</v>
      </c>
      <c r="H253" s="29">
        <f t="shared" si="100"/>
        <v>90.388229690000003</v>
      </c>
      <c r="I253" s="29">
        <v>1.7731653075</v>
      </c>
      <c r="J253" s="29">
        <v>0.45</v>
      </c>
      <c r="K253" s="29">
        <v>0.68259041749999994</v>
      </c>
      <c r="L253" s="29">
        <v>0</v>
      </c>
      <c r="M253" s="29">
        <v>0.23760682999999999</v>
      </c>
      <c r="N253" s="29">
        <v>0.60538769000000003</v>
      </c>
      <c r="O253" s="29">
        <f>G253-I253-K253-M253</f>
        <v>80.315493516499984</v>
      </c>
      <c r="P253" s="29">
        <v>89.332841999999999</v>
      </c>
      <c r="Q253" s="29">
        <f t="shared" si="101"/>
        <v>79.610158420699975</v>
      </c>
      <c r="R253" s="29">
        <f t="shared" si="102"/>
        <v>7.3793736185000256</v>
      </c>
      <c r="S253" s="31">
        <f t="shared" si="90"/>
        <v>8.8898630432200823E-2</v>
      </c>
      <c r="T253" s="30" t="s">
        <v>32</v>
      </c>
    </row>
    <row r="254" spans="1:20" s="1" customFormat="1" ht="47.25" x14ac:dyDescent="0.25">
      <c r="A254" s="26" t="s">
        <v>515</v>
      </c>
      <c r="B254" s="27" t="s">
        <v>531</v>
      </c>
      <c r="C254" s="30" t="s">
        <v>532</v>
      </c>
      <c r="D254" s="29">
        <v>14.328000000000001</v>
      </c>
      <c r="E254" s="29">
        <v>0</v>
      </c>
      <c r="F254" s="29">
        <f t="shared" si="99"/>
        <v>14.328000000000001</v>
      </c>
      <c r="G254" s="30">
        <v>13.691000000000001</v>
      </c>
      <c r="H254" s="29">
        <f t="shared" si="100"/>
        <v>7.7363416200000001</v>
      </c>
      <c r="I254" s="29">
        <v>0</v>
      </c>
      <c r="J254" s="29">
        <v>0</v>
      </c>
      <c r="K254" s="29">
        <v>0</v>
      </c>
      <c r="L254" s="29">
        <v>0</v>
      </c>
      <c r="M254" s="29">
        <v>1.4430000000000001</v>
      </c>
      <c r="N254" s="29">
        <v>0.93628728000000006</v>
      </c>
      <c r="O254" s="29">
        <v>12.247999999999999</v>
      </c>
      <c r="P254" s="29">
        <v>6.80005434</v>
      </c>
      <c r="Q254" s="29">
        <f t="shared" si="101"/>
        <v>6.591658380000001</v>
      </c>
      <c r="R254" s="29">
        <f t="shared" si="102"/>
        <v>-5.9546583799999988</v>
      </c>
      <c r="S254" s="31">
        <f t="shared" si="90"/>
        <v>-0.43493231904170615</v>
      </c>
      <c r="T254" s="30" t="s">
        <v>533</v>
      </c>
    </row>
    <row r="255" spans="1:20" s="1" customFormat="1" ht="31.5" x14ac:dyDescent="0.25">
      <c r="A255" s="26" t="s">
        <v>515</v>
      </c>
      <c r="B255" s="27" t="s">
        <v>534</v>
      </c>
      <c r="C255" s="30" t="s">
        <v>535</v>
      </c>
      <c r="D255" s="29">
        <v>71.64</v>
      </c>
      <c r="E255" s="29">
        <v>0</v>
      </c>
      <c r="F255" s="29">
        <f t="shared" si="99"/>
        <v>71.64</v>
      </c>
      <c r="G255" s="30">
        <v>31.59</v>
      </c>
      <c r="H255" s="29">
        <f t="shared" si="100"/>
        <v>8.0004000000000008</v>
      </c>
      <c r="I255" s="29">
        <v>0</v>
      </c>
      <c r="J255" s="29">
        <v>0</v>
      </c>
      <c r="K255" s="29">
        <v>0.25</v>
      </c>
      <c r="L255" s="29">
        <v>0</v>
      </c>
      <c r="M255" s="29">
        <v>3.7547250475</v>
      </c>
      <c r="N255" s="29">
        <v>0</v>
      </c>
      <c r="O255" s="29">
        <v>27.585274952500001</v>
      </c>
      <c r="P255" s="29">
        <v>8.0004000000000008</v>
      </c>
      <c r="Q255" s="29">
        <f t="shared" si="101"/>
        <v>63.639600000000002</v>
      </c>
      <c r="R255" s="29">
        <f t="shared" si="102"/>
        <v>-23.589599999999997</v>
      </c>
      <c r="S255" s="31">
        <f t="shared" si="90"/>
        <v>-0.74674264007597335</v>
      </c>
      <c r="T255" s="30" t="s">
        <v>536</v>
      </c>
    </row>
    <row r="256" spans="1:20" s="1" customFormat="1" x14ac:dyDescent="0.25">
      <c r="A256" s="26" t="s">
        <v>515</v>
      </c>
      <c r="B256" s="27" t="s">
        <v>537</v>
      </c>
      <c r="C256" s="30" t="s">
        <v>538</v>
      </c>
      <c r="D256" s="29">
        <v>2.6039037499999997</v>
      </c>
      <c r="E256" s="29">
        <f>D256-F256</f>
        <v>4.1903749999999906E-2</v>
      </c>
      <c r="F256" s="29">
        <v>2.5619999999999998</v>
      </c>
      <c r="G256" s="30">
        <v>2.5619999999999998</v>
      </c>
      <c r="H256" s="29">
        <f t="shared" si="100"/>
        <v>2.5619999999999998</v>
      </c>
      <c r="I256" s="29">
        <v>0</v>
      </c>
      <c r="J256" s="29">
        <v>2.4339</v>
      </c>
      <c r="K256" s="29">
        <v>0</v>
      </c>
      <c r="L256" s="29">
        <v>0.12809999999999999</v>
      </c>
      <c r="M256" s="29">
        <v>0</v>
      </c>
      <c r="N256" s="29">
        <v>0</v>
      </c>
      <c r="O256" s="29">
        <v>2.5619999999999998</v>
      </c>
      <c r="P256" s="29">
        <v>0</v>
      </c>
      <c r="Q256" s="29">
        <f t="shared" si="101"/>
        <v>0</v>
      </c>
      <c r="R256" s="29">
        <f t="shared" si="102"/>
        <v>0</v>
      </c>
      <c r="S256" s="31">
        <f t="shared" si="90"/>
        <v>0</v>
      </c>
      <c r="T256" s="30" t="s">
        <v>32</v>
      </c>
    </row>
    <row r="257" spans="1:20" s="1" customFormat="1" ht="31.5" x14ac:dyDescent="0.25">
      <c r="A257" s="26" t="s">
        <v>515</v>
      </c>
      <c r="B257" s="27" t="s">
        <v>539</v>
      </c>
      <c r="C257" s="30" t="s">
        <v>540</v>
      </c>
      <c r="D257" s="29">
        <v>1.2599469999999999</v>
      </c>
      <c r="E257" s="29">
        <f>D257-F257</f>
        <v>0.84318049999999989</v>
      </c>
      <c r="F257" s="29">
        <v>0.41676649999999998</v>
      </c>
      <c r="G257" s="30">
        <v>0.41676649999999998</v>
      </c>
      <c r="H257" s="29">
        <f t="shared" si="100"/>
        <v>0.41676649999999998</v>
      </c>
      <c r="I257" s="29">
        <v>0</v>
      </c>
      <c r="J257" s="29">
        <v>0.3551415</v>
      </c>
      <c r="K257" s="29">
        <v>0</v>
      </c>
      <c r="L257" s="29">
        <v>6.1624999999999999E-2</v>
      </c>
      <c r="M257" s="29">
        <v>0</v>
      </c>
      <c r="N257" s="29">
        <v>0</v>
      </c>
      <c r="O257" s="29">
        <v>0.41676649999999998</v>
      </c>
      <c r="P257" s="29">
        <v>0</v>
      </c>
      <c r="Q257" s="29">
        <f t="shared" si="101"/>
        <v>0</v>
      </c>
      <c r="R257" s="29">
        <f t="shared" si="102"/>
        <v>0</v>
      </c>
      <c r="S257" s="31">
        <f t="shared" si="90"/>
        <v>0</v>
      </c>
      <c r="T257" s="29">
        <f t="shared" ref="T257" si="103">I257-K257</f>
        <v>0</v>
      </c>
    </row>
    <row r="258" spans="1:20" s="1" customFormat="1" ht="63" x14ac:dyDescent="0.25">
      <c r="A258" s="26" t="s">
        <v>515</v>
      </c>
      <c r="B258" s="27" t="s">
        <v>541</v>
      </c>
      <c r="C258" s="30" t="s">
        <v>542</v>
      </c>
      <c r="D258" s="29">
        <v>10.706366319999999</v>
      </c>
      <c r="E258" s="29">
        <f>D258-F258</f>
        <v>9.6377767599999995</v>
      </c>
      <c r="F258" s="29">
        <v>1.0685895599999999</v>
      </c>
      <c r="G258" s="30">
        <v>1.0685895599999999</v>
      </c>
      <c r="H258" s="29">
        <f t="shared" si="100"/>
        <v>1.0685895599999999</v>
      </c>
      <c r="I258" s="29">
        <v>0</v>
      </c>
      <c r="J258" s="29">
        <v>1.0685895599999999</v>
      </c>
      <c r="K258" s="29">
        <v>0</v>
      </c>
      <c r="L258" s="29">
        <v>0</v>
      </c>
      <c r="M258" s="29">
        <v>0</v>
      </c>
      <c r="N258" s="29">
        <v>0</v>
      </c>
      <c r="O258" s="29">
        <v>1.0685895599999999</v>
      </c>
      <c r="P258" s="29">
        <v>0</v>
      </c>
      <c r="Q258" s="29">
        <f t="shared" si="101"/>
        <v>0</v>
      </c>
      <c r="R258" s="29">
        <f t="shared" si="102"/>
        <v>0</v>
      </c>
      <c r="S258" s="31">
        <f t="shared" si="90"/>
        <v>0</v>
      </c>
      <c r="T258" s="29" t="s">
        <v>32</v>
      </c>
    </row>
    <row r="259" spans="1:20" s="1" customFormat="1" ht="47.25" x14ac:dyDescent="0.25">
      <c r="A259" s="18" t="s">
        <v>543</v>
      </c>
      <c r="B259" s="22" t="s">
        <v>290</v>
      </c>
      <c r="C259" s="20" t="s">
        <v>31</v>
      </c>
      <c r="D259" s="7">
        <f t="shared" ref="D259:R259" si="104">D260</f>
        <v>0</v>
      </c>
      <c r="E259" s="7">
        <f t="shared" si="104"/>
        <v>0</v>
      </c>
      <c r="F259" s="7">
        <f t="shared" si="104"/>
        <v>0</v>
      </c>
      <c r="G259" s="7">
        <f t="shared" si="104"/>
        <v>0</v>
      </c>
      <c r="H259" s="7">
        <f t="shared" si="104"/>
        <v>0</v>
      </c>
      <c r="I259" s="7">
        <f t="shared" si="104"/>
        <v>0</v>
      </c>
      <c r="J259" s="7">
        <f t="shared" si="104"/>
        <v>0</v>
      </c>
      <c r="K259" s="7">
        <f t="shared" si="104"/>
        <v>0</v>
      </c>
      <c r="L259" s="7">
        <f t="shared" si="104"/>
        <v>0</v>
      </c>
      <c r="M259" s="7">
        <f t="shared" si="104"/>
        <v>0</v>
      </c>
      <c r="N259" s="7">
        <f t="shared" si="104"/>
        <v>0</v>
      </c>
      <c r="O259" s="7">
        <f t="shared" si="104"/>
        <v>0</v>
      </c>
      <c r="P259" s="7">
        <f t="shared" si="104"/>
        <v>0</v>
      </c>
      <c r="Q259" s="7">
        <f t="shared" si="104"/>
        <v>0</v>
      </c>
      <c r="R259" s="7">
        <f t="shared" si="104"/>
        <v>0</v>
      </c>
      <c r="S259" s="21">
        <v>0</v>
      </c>
      <c r="T259" s="7" t="s">
        <v>32</v>
      </c>
    </row>
    <row r="260" spans="1:20" s="1" customFormat="1" x14ac:dyDescent="0.25">
      <c r="A260" s="18" t="s">
        <v>544</v>
      </c>
      <c r="B260" s="22" t="s">
        <v>545</v>
      </c>
      <c r="C260" s="20" t="s">
        <v>31</v>
      </c>
      <c r="D260" s="7">
        <f t="shared" ref="D260:R260" si="105">D261+D262</f>
        <v>0</v>
      </c>
      <c r="E260" s="7">
        <f t="shared" si="105"/>
        <v>0</v>
      </c>
      <c r="F260" s="7">
        <f t="shared" si="105"/>
        <v>0</v>
      </c>
      <c r="G260" s="7">
        <f t="shared" si="105"/>
        <v>0</v>
      </c>
      <c r="H260" s="7">
        <f t="shared" si="105"/>
        <v>0</v>
      </c>
      <c r="I260" s="7">
        <f t="shared" si="105"/>
        <v>0</v>
      </c>
      <c r="J260" s="7">
        <f t="shared" si="105"/>
        <v>0</v>
      </c>
      <c r="K260" s="7">
        <f t="shared" si="105"/>
        <v>0</v>
      </c>
      <c r="L260" s="7">
        <f t="shared" si="105"/>
        <v>0</v>
      </c>
      <c r="M260" s="7">
        <f t="shared" si="105"/>
        <v>0</v>
      </c>
      <c r="N260" s="7">
        <f t="shared" si="105"/>
        <v>0</v>
      </c>
      <c r="O260" s="7">
        <f t="shared" si="105"/>
        <v>0</v>
      </c>
      <c r="P260" s="7">
        <f t="shared" si="105"/>
        <v>0</v>
      </c>
      <c r="Q260" s="7">
        <f t="shared" si="105"/>
        <v>0</v>
      </c>
      <c r="R260" s="7">
        <f t="shared" si="105"/>
        <v>0</v>
      </c>
      <c r="S260" s="21">
        <v>0</v>
      </c>
      <c r="T260" s="7" t="s">
        <v>32</v>
      </c>
    </row>
    <row r="261" spans="1:20" s="1" customFormat="1" ht="47.25" x14ac:dyDescent="0.25">
      <c r="A261" s="18" t="s">
        <v>546</v>
      </c>
      <c r="B261" s="22" t="s">
        <v>294</v>
      </c>
      <c r="C261" s="20" t="s">
        <v>31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21">
        <v>0</v>
      </c>
      <c r="T261" s="7" t="s">
        <v>32</v>
      </c>
    </row>
    <row r="262" spans="1:20" s="1" customFormat="1" ht="47.25" x14ac:dyDescent="0.25">
      <c r="A262" s="18" t="s">
        <v>547</v>
      </c>
      <c r="B262" s="22" t="s">
        <v>296</v>
      </c>
      <c r="C262" s="20" t="s">
        <v>31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21">
        <v>0</v>
      </c>
      <c r="T262" s="7" t="s">
        <v>32</v>
      </c>
    </row>
    <row r="263" spans="1:20" s="1" customFormat="1" x14ac:dyDescent="0.25">
      <c r="A263" s="18" t="s">
        <v>548</v>
      </c>
      <c r="B263" s="22" t="s">
        <v>300</v>
      </c>
      <c r="C263" s="20" t="s">
        <v>31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21">
        <v>0</v>
      </c>
      <c r="T263" s="7" t="s">
        <v>32</v>
      </c>
    </row>
    <row r="264" spans="1:20" s="1" customFormat="1" ht="47.25" x14ac:dyDescent="0.25">
      <c r="A264" s="18" t="s">
        <v>549</v>
      </c>
      <c r="B264" s="22" t="s">
        <v>294</v>
      </c>
      <c r="C264" s="20" t="s">
        <v>31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21">
        <v>0</v>
      </c>
      <c r="T264" s="7" t="s">
        <v>32</v>
      </c>
    </row>
    <row r="265" spans="1:20" s="1" customFormat="1" ht="47.25" x14ac:dyDescent="0.25">
      <c r="A265" s="18" t="s">
        <v>550</v>
      </c>
      <c r="B265" s="22" t="s">
        <v>296</v>
      </c>
      <c r="C265" s="20" t="s">
        <v>31</v>
      </c>
      <c r="D265" s="7"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21">
        <v>0</v>
      </c>
      <c r="T265" s="7" t="s">
        <v>32</v>
      </c>
    </row>
    <row r="266" spans="1:20" s="1" customFormat="1" x14ac:dyDescent="0.25">
      <c r="A266" s="18" t="s">
        <v>551</v>
      </c>
      <c r="B266" s="22" t="s">
        <v>304</v>
      </c>
      <c r="C266" s="20" t="s">
        <v>31</v>
      </c>
      <c r="D266" s="7">
        <f t="shared" ref="D266:R266" si="106">D267+D268+D269+D270</f>
        <v>6874.9361586303994</v>
      </c>
      <c r="E266" s="7">
        <f t="shared" si="106"/>
        <v>170.80821317000002</v>
      </c>
      <c r="F266" s="7">
        <f t="shared" si="106"/>
        <v>6704.1279454603991</v>
      </c>
      <c r="G266" s="7">
        <f t="shared" si="106"/>
        <v>2.378798728</v>
      </c>
      <c r="H266" s="7">
        <f t="shared" si="106"/>
        <v>2.3781489700000011</v>
      </c>
      <c r="I266" s="7">
        <f t="shared" si="106"/>
        <v>0.02</v>
      </c>
      <c r="J266" s="7">
        <f t="shared" si="106"/>
        <v>0.59128840000000005</v>
      </c>
      <c r="K266" s="7">
        <f t="shared" si="106"/>
        <v>0.02</v>
      </c>
      <c r="L266" s="7">
        <f t="shared" si="106"/>
        <v>0.59128840000000005</v>
      </c>
      <c r="M266" s="7">
        <f t="shared" si="106"/>
        <v>0.02</v>
      </c>
      <c r="N266" s="7">
        <f t="shared" si="106"/>
        <v>0.59778608</v>
      </c>
      <c r="O266" s="7">
        <f t="shared" si="106"/>
        <v>2.318798728</v>
      </c>
      <c r="P266" s="7">
        <f t="shared" si="106"/>
        <v>0.59778609000000105</v>
      </c>
      <c r="Q266" s="7">
        <f t="shared" si="106"/>
        <v>6701.7497964903987</v>
      </c>
      <c r="R266" s="7">
        <f t="shared" si="106"/>
        <v>-6.4975799999889006E-4</v>
      </c>
      <c r="S266" s="21">
        <f t="shared" ref="S266" si="107">R266/(I266+K266+M266+O266)</f>
        <v>-2.731454293929192E-4</v>
      </c>
      <c r="T266" s="7" t="s">
        <v>32</v>
      </c>
    </row>
    <row r="267" spans="1:20" s="1" customFormat="1" ht="31.5" x14ac:dyDescent="0.25">
      <c r="A267" s="18" t="s">
        <v>552</v>
      </c>
      <c r="B267" s="22" t="s">
        <v>306</v>
      </c>
      <c r="C267" s="20" t="s">
        <v>31</v>
      </c>
      <c r="D267" s="7">
        <v>0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21">
        <v>0</v>
      </c>
      <c r="T267" s="7" t="s">
        <v>32</v>
      </c>
    </row>
    <row r="268" spans="1:20" s="1" customFormat="1" x14ac:dyDescent="0.25">
      <c r="A268" s="18" t="s">
        <v>553</v>
      </c>
      <c r="B268" s="22" t="s">
        <v>308</v>
      </c>
      <c r="C268" s="20" t="s">
        <v>31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21">
        <v>0</v>
      </c>
      <c r="T268" s="7" t="s">
        <v>32</v>
      </c>
    </row>
    <row r="269" spans="1:20" s="1" customFormat="1" x14ac:dyDescent="0.25">
      <c r="A269" s="18" t="s">
        <v>554</v>
      </c>
      <c r="B269" s="22" t="s">
        <v>313</v>
      </c>
      <c r="C269" s="20" t="s">
        <v>31</v>
      </c>
      <c r="D269" s="7">
        <v>0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21">
        <v>0</v>
      </c>
      <c r="T269" s="7" t="s">
        <v>32</v>
      </c>
    </row>
    <row r="270" spans="1:20" s="1" customFormat="1" x14ac:dyDescent="0.25">
      <c r="A270" s="18" t="s">
        <v>555</v>
      </c>
      <c r="B270" s="22" t="s">
        <v>321</v>
      </c>
      <c r="C270" s="20" t="s">
        <v>31</v>
      </c>
      <c r="D270" s="7">
        <f t="shared" ref="D270:R270" si="108">SUM(D271)</f>
        <v>6874.9361586303994</v>
      </c>
      <c r="E270" s="7">
        <f t="shared" si="108"/>
        <v>170.80821317000002</v>
      </c>
      <c r="F270" s="7">
        <f t="shared" si="108"/>
        <v>6704.1279454603991</v>
      </c>
      <c r="G270" s="7">
        <f t="shared" si="108"/>
        <v>2.378798728</v>
      </c>
      <c r="H270" s="7">
        <f t="shared" si="108"/>
        <v>2.3781489700000011</v>
      </c>
      <c r="I270" s="7">
        <f t="shared" si="108"/>
        <v>0.02</v>
      </c>
      <c r="J270" s="7">
        <f t="shared" si="108"/>
        <v>0.59128840000000005</v>
      </c>
      <c r="K270" s="7">
        <f t="shared" si="108"/>
        <v>0.02</v>
      </c>
      <c r="L270" s="7">
        <f t="shared" si="108"/>
        <v>0.59128840000000005</v>
      </c>
      <c r="M270" s="7">
        <f t="shared" si="108"/>
        <v>0.02</v>
      </c>
      <c r="N270" s="7">
        <f t="shared" si="108"/>
        <v>0.59778608</v>
      </c>
      <c r="O270" s="7">
        <f t="shared" si="108"/>
        <v>2.318798728</v>
      </c>
      <c r="P270" s="7">
        <f t="shared" si="108"/>
        <v>0.59778609000000105</v>
      </c>
      <c r="Q270" s="7">
        <f t="shared" si="108"/>
        <v>6701.7497964903987</v>
      </c>
      <c r="R270" s="7">
        <f t="shared" si="108"/>
        <v>-6.4975799999889006E-4</v>
      </c>
      <c r="S270" s="21">
        <f t="shared" ref="S270:S271" si="109">R270/(I270+K270+M270+O270)</f>
        <v>-2.731454293929192E-4</v>
      </c>
      <c r="T270" s="7" t="s">
        <v>32</v>
      </c>
    </row>
    <row r="271" spans="1:20" s="1" customFormat="1" ht="31.5" x14ac:dyDescent="0.25">
      <c r="A271" s="26" t="s">
        <v>555</v>
      </c>
      <c r="B271" s="34" t="s">
        <v>556</v>
      </c>
      <c r="C271" s="28" t="s">
        <v>557</v>
      </c>
      <c r="D271" s="29">
        <v>6874.9361586303994</v>
      </c>
      <c r="E271" s="29">
        <v>170.80821317000002</v>
      </c>
      <c r="F271" s="29">
        <f>D271-E271</f>
        <v>6704.1279454603991</v>
      </c>
      <c r="G271" s="30">
        <v>2.378798728</v>
      </c>
      <c r="H271" s="29">
        <f>J271+L271+N271+P271</f>
        <v>2.3781489700000011</v>
      </c>
      <c r="I271" s="29">
        <v>0.02</v>
      </c>
      <c r="J271" s="29">
        <v>0.59128840000000005</v>
      </c>
      <c r="K271" s="29">
        <v>0.02</v>
      </c>
      <c r="L271" s="29">
        <v>0.59128840000000005</v>
      </c>
      <c r="M271" s="29">
        <v>0.02</v>
      </c>
      <c r="N271" s="29">
        <v>0.59778608</v>
      </c>
      <c r="O271" s="29">
        <f>G271-I271-K271-M271</f>
        <v>2.318798728</v>
      </c>
      <c r="P271" s="29">
        <v>0.59778609000000105</v>
      </c>
      <c r="Q271" s="29">
        <f>F271-H271</f>
        <v>6701.7497964903987</v>
      </c>
      <c r="R271" s="29">
        <f t="shared" ref="R271" si="110">H271-(I271+K271+M271+O271)</f>
        <v>-6.4975799999889006E-4</v>
      </c>
      <c r="S271" s="31">
        <f t="shared" si="109"/>
        <v>-2.731454293929192E-4</v>
      </c>
      <c r="T271" s="29" t="s">
        <v>558</v>
      </c>
    </row>
    <row r="272" spans="1:20" s="1" customFormat="1" ht="31.5" x14ac:dyDescent="0.25">
      <c r="A272" s="18" t="s">
        <v>559</v>
      </c>
      <c r="B272" s="22" t="s">
        <v>339</v>
      </c>
      <c r="C272" s="20" t="s">
        <v>31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21">
        <v>0</v>
      </c>
      <c r="T272" s="7" t="s">
        <v>32</v>
      </c>
    </row>
    <row r="273" spans="1:20" s="1" customFormat="1" x14ac:dyDescent="0.25">
      <c r="A273" s="18" t="s">
        <v>560</v>
      </c>
      <c r="B273" s="22" t="s">
        <v>341</v>
      </c>
      <c r="C273" s="20" t="s">
        <v>31</v>
      </c>
      <c r="D273" s="7">
        <f t="shared" ref="D273:R273" si="111">SUM(D274:D289)</f>
        <v>136.92061902</v>
      </c>
      <c r="E273" s="7">
        <f t="shared" si="111"/>
        <v>0</v>
      </c>
      <c r="F273" s="7">
        <f t="shared" si="111"/>
        <v>136.92061902</v>
      </c>
      <c r="G273" s="7">
        <f t="shared" si="111"/>
        <v>64.701089268000004</v>
      </c>
      <c r="H273" s="7">
        <f t="shared" si="111"/>
        <v>63.089859460000007</v>
      </c>
      <c r="I273" s="7">
        <f t="shared" si="111"/>
        <v>0.33359999999999995</v>
      </c>
      <c r="J273" s="7">
        <f t="shared" si="111"/>
        <v>2.4599953599999997</v>
      </c>
      <c r="K273" s="7">
        <f t="shared" si="111"/>
        <v>0.66245160000000003</v>
      </c>
      <c r="L273" s="7">
        <f t="shared" si="111"/>
        <v>52.107335160000005</v>
      </c>
      <c r="M273" s="7">
        <f t="shared" si="111"/>
        <v>5.4521999999999995</v>
      </c>
      <c r="N273" s="7">
        <f t="shared" si="111"/>
        <v>3.1312709399999998</v>
      </c>
      <c r="O273" s="7">
        <f t="shared" si="111"/>
        <v>58.252837667999998</v>
      </c>
      <c r="P273" s="7">
        <f t="shared" si="111"/>
        <v>5.3912579999999997</v>
      </c>
      <c r="Q273" s="7">
        <f t="shared" si="111"/>
        <v>73.83075955999999</v>
      </c>
      <c r="R273" s="7">
        <f t="shared" si="111"/>
        <v>-1.6112298079999947</v>
      </c>
      <c r="S273" s="21">
        <f t="shared" ref="S273:S291" si="112">R273/(I273+K273+M273+O273)</f>
        <v>-2.4902668969390598E-2</v>
      </c>
      <c r="T273" s="7" t="s">
        <v>32</v>
      </c>
    </row>
    <row r="274" spans="1:20" s="1" customFormat="1" x14ac:dyDescent="0.25">
      <c r="A274" s="26" t="s">
        <v>560</v>
      </c>
      <c r="B274" s="34" t="s">
        <v>561</v>
      </c>
      <c r="C274" s="28" t="s">
        <v>562</v>
      </c>
      <c r="D274" s="29">
        <v>39.775086731999998</v>
      </c>
      <c r="E274" s="29">
        <v>0</v>
      </c>
      <c r="F274" s="29">
        <f t="shared" ref="F274:F289" si="113">D274-E274</f>
        <v>39.775086731999998</v>
      </c>
      <c r="G274" s="30">
        <v>12.486000000000001</v>
      </c>
      <c r="H274" s="29">
        <f t="shared" ref="H274:H289" si="114">J274+L274+N274+P274</f>
        <v>12.547703689999999</v>
      </c>
      <c r="I274" s="29">
        <v>0</v>
      </c>
      <c r="J274" s="29">
        <v>6.1704889999999998E-2</v>
      </c>
      <c r="K274" s="29">
        <v>0</v>
      </c>
      <c r="L274" s="29">
        <v>12.485998799999999</v>
      </c>
      <c r="M274" s="29">
        <v>0</v>
      </c>
      <c r="N274" s="29">
        <v>0</v>
      </c>
      <c r="O274" s="29">
        <v>12.486000000000001</v>
      </c>
      <c r="P274" s="29">
        <v>0</v>
      </c>
      <c r="Q274" s="29">
        <f t="shared" ref="Q274:Q289" si="115">F274-H274</f>
        <v>27.227383042</v>
      </c>
      <c r="R274" s="29">
        <f t="shared" ref="R274:R289" si="116">H274-(I274+K274+M274+O274)</f>
        <v>6.170368999999809E-2</v>
      </c>
      <c r="S274" s="31">
        <f t="shared" si="112"/>
        <v>4.9418300496554607E-3</v>
      </c>
      <c r="T274" s="29" t="s">
        <v>32</v>
      </c>
    </row>
    <row r="275" spans="1:20" s="1" customFormat="1" x14ac:dyDescent="0.25">
      <c r="A275" s="26" t="s">
        <v>560</v>
      </c>
      <c r="B275" s="34" t="s">
        <v>563</v>
      </c>
      <c r="C275" s="28" t="s">
        <v>564</v>
      </c>
      <c r="D275" s="29">
        <v>1.8582000000000001</v>
      </c>
      <c r="E275" s="29">
        <v>0</v>
      </c>
      <c r="F275" s="29">
        <f t="shared" si="113"/>
        <v>1.8582000000000001</v>
      </c>
      <c r="G275" s="30">
        <v>1.8582000000000001</v>
      </c>
      <c r="H275" s="29">
        <f t="shared" si="114"/>
        <v>1.8582000000000001</v>
      </c>
      <c r="I275" s="29">
        <v>0</v>
      </c>
      <c r="J275" s="29">
        <v>1.8582000000000001</v>
      </c>
      <c r="K275" s="29">
        <v>0</v>
      </c>
      <c r="L275" s="29">
        <v>0</v>
      </c>
      <c r="M275" s="29">
        <v>1.8582000000000001</v>
      </c>
      <c r="N275" s="29">
        <v>0</v>
      </c>
      <c r="O275" s="29">
        <v>0</v>
      </c>
      <c r="P275" s="29">
        <v>0</v>
      </c>
      <c r="Q275" s="29">
        <f t="shared" si="115"/>
        <v>0</v>
      </c>
      <c r="R275" s="29">
        <f t="shared" si="116"/>
        <v>0</v>
      </c>
      <c r="S275" s="31">
        <f t="shared" si="112"/>
        <v>0</v>
      </c>
      <c r="T275" s="29" t="s">
        <v>32</v>
      </c>
    </row>
    <row r="276" spans="1:20" s="1" customFormat="1" ht="31.5" x14ac:dyDescent="0.25">
      <c r="A276" s="26" t="s">
        <v>560</v>
      </c>
      <c r="B276" s="34" t="s">
        <v>565</v>
      </c>
      <c r="C276" s="28" t="s">
        <v>566</v>
      </c>
      <c r="D276" s="29">
        <v>6.4953210719999994</v>
      </c>
      <c r="E276" s="29">
        <v>0</v>
      </c>
      <c r="F276" s="29">
        <f t="shared" si="113"/>
        <v>6.4953210719999994</v>
      </c>
      <c r="G276" s="30">
        <v>3.0815999999999999</v>
      </c>
      <c r="H276" s="29">
        <f t="shared" si="114"/>
        <v>3.0615999999999999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  <c r="N276" s="29">
        <v>0</v>
      </c>
      <c r="O276" s="29">
        <v>3.0815999999999999</v>
      </c>
      <c r="P276" s="29">
        <v>3.0615999999999999</v>
      </c>
      <c r="Q276" s="29">
        <f t="shared" si="115"/>
        <v>3.4337210719999995</v>
      </c>
      <c r="R276" s="29">
        <f t="shared" si="116"/>
        <v>-2.0000000000000018E-2</v>
      </c>
      <c r="S276" s="31">
        <f t="shared" si="112"/>
        <v>-6.4901349948078982E-3</v>
      </c>
      <c r="T276" s="29" t="s">
        <v>32</v>
      </c>
    </row>
    <row r="277" spans="1:20" s="1" customFormat="1" x14ac:dyDescent="0.25">
      <c r="A277" s="26" t="s">
        <v>560</v>
      </c>
      <c r="B277" s="34" t="s">
        <v>567</v>
      </c>
      <c r="C277" s="28" t="s">
        <v>568</v>
      </c>
      <c r="D277" s="29">
        <v>80.073959615999996</v>
      </c>
      <c r="E277" s="29">
        <v>0</v>
      </c>
      <c r="F277" s="29">
        <f t="shared" si="113"/>
        <v>80.073959615999996</v>
      </c>
      <c r="G277" s="30">
        <v>38.557237667999999</v>
      </c>
      <c r="H277" s="29">
        <f t="shared" si="114"/>
        <v>38.557237670000006</v>
      </c>
      <c r="I277" s="29">
        <v>0</v>
      </c>
      <c r="J277" s="29">
        <v>0.18963886999999999</v>
      </c>
      <c r="K277" s="29">
        <v>0</v>
      </c>
      <c r="L277" s="29">
        <v>38.367598800000003</v>
      </c>
      <c r="M277" s="29">
        <v>0</v>
      </c>
      <c r="N277" s="29">
        <v>0</v>
      </c>
      <c r="O277" s="29">
        <v>38.557237667999999</v>
      </c>
      <c r="P277" s="29">
        <v>0</v>
      </c>
      <c r="Q277" s="29">
        <f t="shared" si="115"/>
        <v>41.51672194599999</v>
      </c>
      <c r="R277" s="29">
        <f t="shared" si="116"/>
        <v>2.0000072709080996E-9</v>
      </c>
      <c r="S277" s="31">
        <f t="shared" si="112"/>
        <v>5.187112438212802E-11</v>
      </c>
      <c r="T277" s="30" t="s">
        <v>32</v>
      </c>
    </row>
    <row r="278" spans="1:20" s="1" customFormat="1" x14ac:dyDescent="0.25">
      <c r="A278" s="26" t="s">
        <v>560</v>
      </c>
      <c r="B278" s="34" t="s">
        <v>569</v>
      </c>
      <c r="C278" s="28" t="s">
        <v>570</v>
      </c>
      <c r="D278" s="29">
        <v>1.3715999999999999</v>
      </c>
      <c r="E278" s="29">
        <v>0</v>
      </c>
      <c r="F278" s="29">
        <f t="shared" si="113"/>
        <v>1.3715999999999999</v>
      </c>
      <c r="G278" s="30">
        <v>1.3715999999999999</v>
      </c>
      <c r="H278" s="29">
        <f t="shared" si="114"/>
        <v>1.3715999999999999</v>
      </c>
      <c r="I278" s="29">
        <v>0</v>
      </c>
      <c r="J278" s="29">
        <v>0</v>
      </c>
      <c r="K278" s="29">
        <v>0</v>
      </c>
      <c r="L278" s="29">
        <v>0</v>
      </c>
      <c r="M278" s="29">
        <v>1.3715999999999999</v>
      </c>
      <c r="N278" s="29">
        <v>1.3715999999999999</v>
      </c>
      <c r="O278" s="29">
        <v>0</v>
      </c>
      <c r="P278" s="29">
        <v>0</v>
      </c>
      <c r="Q278" s="29">
        <f t="shared" si="115"/>
        <v>0</v>
      </c>
      <c r="R278" s="29">
        <f t="shared" si="116"/>
        <v>0</v>
      </c>
      <c r="S278" s="31">
        <f t="shared" si="112"/>
        <v>0</v>
      </c>
      <c r="T278" s="45" t="s">
        <v>32</v>
      </c>
    </row>
    <row r="279" spans="1:20" s="1" customFormat="1" x14ac:dyDescent="0.25">
      <c r="A279" s="26" t="s">
        <v>560</v>
      </c>
      <c r="B279" s="34" t="s">
        <v>571</v>
      </c>
      <c r="C279" s="28" t="s">
        <v>572</v>
      </c>
      <c r="D279" s="29">
        <v>0.26159999999999994</v>
      </c>
      <c r="E279" s="29">
        <v>0</v>
      </c>
      <c r="F279" s="29">
        <f t="shared" si="113"/>
        <v>0.26159999999999994</v>
      </c>
      <c r="G279" s="30">
        <v>0.26159999999999994</v>
      </c>
      <c r="H279" s="29">
        <f t="shared" si="114"/>
        <v>0.312</v>
      </c>
      <c r="I279" s="29">
        <v>0.26159999999999994</v>
      </c>
      <c r="J279" s="29">
        <v>0</v>
      </c>
      <c r="K279" s="29">
        <v>0</v>
      </c>
      <c r="L279" s="29">
        <v>0</v>
      </c>
      <c r="M279" s="29">
        <v>0</v>
      </c>
      <c r="N279" s="29">
        <v>0.312</v>
      </c>
      <c r="O279" s="29">
        <v>0</v>
      </c>
      <c r="P279" s="29">
        <v>0</v>
      </c>
      <c r="Q279" s="29">
        <f t="shared" si="115"/>
        <v>-5.0400000000000056E-2</v>
      </c>
      <c r="R279" s="29">
        <f t="shared" si="116"/>
        <v>5.0400000000000056E-2</v>
      </c>
      <c r="S279" s="31">
        <f t="shared" si="112"/>
        <v>0.19266055045871586</v>
      </c>
      <c r="T279" s="30" t="s">
        <v>573</v>
      </c>
    </row>
    <row r="280" spans="1:20" s="1" customFormat="1" x14ac:dyDescent="0.25">
      <c r="A280" s="26" t="s">
        <v>560</v>
      </c>
      <c r="B280" s="34" t="s">
        <v>574</v>
      </c>
      <c r="C280" s="28" t="s">
        <v>575</v>
      </c>
      <c r="D280" s="29">
        <v>0.312</v>
      </c>
      <c r="E280" s="29">
        <v>0</v>
      </c>
      <c r="F280" s="29">
        <f t="shared" si="113"/>
        <v>0.312</v>
      </c>
      <c r="G280" s="30">
        <v>0.312</v>
      </c>
      <c r="H280" s="29">
        <f t="shared" si="114"/>
        <v>0.38640000000000002</v>
      </c>
      <c r="I280" s="29">
        <v>0</v>
      </c>
      <c r="J280" s="29">
        <v>0</v>
      </c>
      <c r="K280" s="29">
        <v>0.312</v>
      </c>
      <c r="L280" s="29">
        <v>0</v>
      </c>
      <c r="M280" s="29">
        <v>0</v>
      </c>
      <c r="N280" s="29">
        <v>0</v>
      </c>
      <c r="O280" s="29">
        <v>0</v>
      </c>
      <c r="P280" s="29">
        <v>0.38640000000000002</v>
      </c>
      <c r="Q280" s="29">
        <f t="shared" si="115"/>
        <v>-7.4400000000000022E-2</v>
      </c>
      <c r="R280" s="29">
        <f t="shared" si="116"/>
        <v>7.4400000000000022E-2</v>
      </c>
      <c r="S280" s="31">
        <f t="shared" si="112"/>
        <v>0.23846153846153853</v>
      </c>
      <c r="T280" s="29" t="s">
        <v>573</v>
      </c>
    </row>
    <row r="281" spans="1:20" s="1" customFormat="1" x14ac:dyDescent="0.25">
      <c r="A281" s="26" t="s">
        <v>560</v>
      </c>
      <c r="B281" s="34" t="s">
        <v>576</v>
      </c>
      <c r="C281" s="28" t="s">
        <v>577</v>
      </c>
      <c r="D281" s="29">
        <v>2.5571999999999999</v>
      </c>
      <c r="E281" s="29">
        <v>0</v>
      </c>
      <c r="F281" s="29">
        <f t="shared" si="113"/>
        <v>2.5571999999999999</v>
      </c>
      <c r="G281" s="30">
        <v>2.5571999999999999</v>
      </c>
      <c r="H281" s="29">
        <f t="shared" si="114"/>
        <v>1.7</v>
      </c>
      <c r="I281" s="29">
        <v>0</v>
      </c>
      <c r="J281" s="29">
        <v>0</v>
      </c>
      <c r="K281" s="29">
        <v>0</v>
      </c>
      <c r="L281" s="29">
        <v>0</v>
      </c>
      <c r="M281" s="29">
        <v>0</v>
      </c>
      <c r="N281" s="29">
        <v>0</v>
      </c>
      <c r="O281" s="29">
        <v>2.5571999999999999</v>
      </c>
      <c r="P281" s="29">
        <v>1.7</v>
      </c>
      <c r="Q281" s="29">
        <f t="shared" si="115"/>
        <v>0.85719999999999996</v>
      </c>
      <c r="R281" s="29">
        <f t="shared" si="116"/>
        <v>-0.85719999999999996</v>
      </c>
      <c r="S281" s="31">
        <f t="shared" si="112"/>
        <v>-0.33521038636008132</v>
      </c>
      <c r="T281" s="45" t="s">
        <v>465</v>
      </c>
    </row>
    <row r="282" spans="1:20" s="1" customFormat="1" x14ac:dyDescent="0.25">
      <c r="A282" s="26" t="s">
        <v>560</v>
      </c>
      <c r="B282" s="34" t="s">
        <v>578</v>
      </c>
      <c r="C282" s="28" t="s">
        <v>579</v>
      </c>
      <c r="D282" s="29">
        <v>0.14399999999999999</v>
      </c>
      <c r="E282" s="29">
        <v>0</v>
      </c>
      <c r="F282" s="29">
        <f t="shared" si="113"/>
        <v>0.14399999999999999</v>
      </c>
      <c r="G282" s="30">
        <v>0.14399999999999999</v>
      </c>
      <c r="H282" s="29">
        <f t="shared" si="114"/>
        <v>8.9690939999999997E-2</v>
      </c>
      <c r="I282" s="29">
        <v>0</v>
      </c>
      <c r="J282" s="29">
        <v>0</v>
      </c>
      <c r="K282" s="29">
        <v>0</v>
      </c>
      <c r="L282" s="29">
        <v>0</v>
      </c>
      <c r="M282" s="29">
        <v>0</v>
      </c>
      <c r="N282" s="29">
        <v>8.9690939999999997E-2</v>
      </c>
      <c r="O282" s="29">
        <v>0.14399999999999999</v>
      </c>
      <c r="P282" s="29">
        <v>0</v>
      </c>
      <c r="Q282" s="29">
        <f t="shared" si="115"/>
        <v>5.4309059999999992E-2</v>
      </c>
      <c r="R282" s="29">
        <f t="shared" si="116"/>
        <v>-5.4309059999999992E-2</v>
      </c>
      <c r="S282" s="31">
        <f t="shared" si="112"/>
        <v>-0.37714624999999996</v>
      </c>
      <c r="T282" s="29" t="s">
        <v>465</v>
      </c>
    </row>
    <row r="283" spans="1:20" s="1" customFormat="1" x14ac:dyDescent="0.25">
      <c r="A283" s="26" t="s">
        <v>560</v>
      </c>
      <c r="B283" s="34" t="s">
        <v>580</v>
      </c>
      <c r="C283" s="28" t="s">
        <v>581</v>
      </c>
      <c r="D283" s="29">
        <v>0.44759999999999994</v>
      </c>
      <c r="E283" s="29">
        <v>0</v>
      </c>
      <c r="F283" s="29">
        <f t="shared" si="113"/>
        <v>0.44759999999999994</v>
      </c>
      <c r="G283" s="30">
        <v>0.44759999999999994</v>
      </c>
      <c r="H283" s="29">
        <f t="shared" si="114"/>
        <v>0.37878000000000001</v>
      </c>
      <c r="I283" s="29">
        <v>0</v>
      </c>
      <c r="J283" s="29">
        <v>0</v>
      </c>
      <c r="K283" s="29">
        <v>0</v>
      </c>
      <c r="L283" s="29">
        <v>0</v>
      </c>
      <c r="M283" s="29">
        <v>0</v>
      </c>
      <c r="N283" s="29">
        <v>0.37878000000000001</v>
      </c>
      <c r="O283" s="29">
        <v>0.4476</v>
      </c>
      <c r="P283" s="29">
        <v>0</v>
      </c>
      <c r="Q283" s="29">
        <f t="shared" si="115"/>
        <v>6.8819999999999937E-2</v>
      </c>
      <c r="R283" s="29">
        <f t="shared" si="116"/>
        <v>-6.8819999999999992E-2</v>
      </c>
      <c r="S283" s="31">
        <f t="shared" si="112"/>
        <v>-0.1537533512064343</v>
      </c>
      <c r="T283" s="29" t="s">
        <v>465</v>
      </c>
    </row>
    <row r="284" spans="1:20" s="1" customFormat="1" x14ac:dyDescent="0.25">
      <c r="A284" s="26" t="s">
        <v>560</v>
      </c>
      <c r="B284" s="34" t="s">
        <v>582</v>
      </c>
      <c r="C284" s="28" t="s">
        <v>583</v>
      </c>
      <c r="D284" s="29">
        <v>0.97919999999999996</v>
      </c>
      <c r="E284" s="29">
        <v>0</v>
      </c>
      <c r="F284" s="29">
        <f t="shared" si="113"/>
        <v>0.97919999999999996</v>
      </c>
      <c r="G284" s="30">
        <v>0.97919999999999996</v>
      </c>
      <c r="H284" s="29">
        <f t="shared" si="114"/>
        <v>0.97919999999999996</v>
      </c>
      <c r="I284" s="29">
        <v>0</v>
      </c>
      <c r="J284" s="29">
        <v>0</v>
      </c>
      <c r="K284" s="29">
        <v>0</v>
      </c>
      <c r="L284" s="29">
        <v>0</v>
      </c>
      <c r="M284" s="29">
        <v>0</v>
      </c>
      <c r="N284" s="29">
        <v>0.97919999999999996</v>
      </c>
      <c r="O284" s="29">
        <v>0.97920000000000007</v>
      </c>
      <c r="P284" s="29">
        <v>0</v>
      </c>
      <c r="Q284" s="29">
        <f t="shared" si="115"/>
        <v>0</v>
      </c>
      <c r="R284" s="29">
        <f t="shared" si="116"/>
        <v>0</v>
      </c>
      <c r="S284" s="31">
        <f t="shared" si="112"/>
        <v>0</v>
      </c>
      <c r="T284" s="29" t="s">
        <v>32</v>
      </c>
    </row>
    <row r="285" spans="1:20" s="1" customFormat="1" ht="31.5" x14ac:dyDescent="0.25">
      <c r="A285" s="26" t="s">
        <v>560</v>
      </c>
      <c r="B285" s="34" t="s">
        <v>584</v>
      </c>
      <c r="C285" s="28" t="s">
        <v>585</v>
      </c>
      <c r="D285" s="29">
        <v>0.38639999999999997</v>
      </c>
      <c r="E285" s="29">
        <v>0</v>
      </c>
      <c r="F285" s="29">
        <f t="shared" si="113"/>
        <v>0.38639999999999997</v>
      </c>
      <c r="G285" s="30">
        <v>0.38639999999999997</v>
      </c>
      <c r="H285" s="29">
        <f t="shared" si="114"/>
        <v>0.243258</v>
      </c>
      <c r="I285" s="29">
        <v>0</v>
      </c>
      <c r="J285" s="29">
        <v>0</v>
      </c>
      <c r="K285" s="29">
        <v>0</v>
      </c>
      <c r="L285" s="29">
        <v>0</v>
      </c>
      <c r="M285" s="29">
        <v>0.38639999999999997</v>
      </c>
      <c r="N285" s="29">
        <v>0</v>
      </c>
      <c r="O285" s="29">
        <v>0</v>
      </c>
      <c r="P285" s="29">
        <v>0.243258</v>
      </c>
      <c r="Q285" s="29">
        <f t="shared" si="115"/>
        <v>0.14314199999999996</v>
      </c>
      <c r="R285" s="29">
        <f t="shared" si="116"/>
        <v>-0.14314199999999996</v>
      </c>
      <c r="S285" s="31">
        <f t="shared" si="112"/>
        <v>-0.37045031055900612</v>
      </c>
      <c r="T285" s="45" t="s">
        <v>465</v>
      </c>
    </row>
    <row r="286" spans="1:20" s="1" customFormat="1" x14ac:dyDescent="0.25">
      <c r="A286" s="26" t="s">
        <v>560</v>
      </c>
      <c r="B286" s="34" t="s">
        <v>586</v>
      </c>
      <c r="C286" s="28" t="s">
        <v>587</v>
      </c>
      <c r="D286" s="29">
        <v>0.72</v>
      </c>
      <c r="E286" s="29">
        <v>0</v>
      </c>
      <c r="F286" s="29">
        <f t="shared" si="113"/>
        <v>0.72</v>
      </c>
      <c r="G286" s="30">
        <v>0.72</v>
      </c>
      <c r="H286" s="29">
        <f t="shared" si="114"/>
        <v>1.18173756</v>
      </c>
      <c r="I286" s="29">
        <v>0</v>
      </c>
      <c r="J286" s="29">
        <v>0</v>
      </c>
      <c r="K286" s="29">
        <v>0</v>
      </c>
      <c r="L286" s="29">
        <v>1.18173756</v>
      </c>
      <c r="M286" s="29">
        <v>0.72</v>
      </c>
      <c r="N286" s="29">
        <v>0</v>
      </c>
      <c r="O286" s="29">
        <v>0</v>
      </c>
      <c r="P286" s="29">
        <v>0</v>
      </c>
      <c r="Q286" s="29">
        <f t="shared" si="115"/>
        <v>-0.46173755999999999</v>
      </c>
      <c r="R286" s="29">
        <f t="shared" si="116"/>
        <v>0.46173755999999999</v>
      </c>
      <c r="S286" s="31">
        <f t="shared" si="112"/>
        <v>0.64130216666666673</v>
      </c>
      <c r="T286" s="29" t="s">
        <v>573</v>
      </c>
    </row>
    <row r="287" spans="1:20" s="1" customFormat="1" x14ac:dyDescent="0.25">
      <c r="A287" s="26" t="s">
        <v>560</v>
      </c>
      <c r="B287" s="34" t="s">
        <v>588</v>
      </c>
      <c r="C287" s="28" t="s">
        <v>589</v>
      </c>
      <c r="D287" s="29">
        <v>0.35045159999999997</v>
      </c>
      <c r="E287" s="29">
        <v>0</v>
      </c>
      <c r="F287" s="29">
        <f t="shared" si="113"/>
        <v>0.35045159999999997</v>
      </c>
      <c r="G287" s="30">
        <v>0.35045159999999997</v>
      </c>
      <c r="H287" s="29">
        <f t="shared" si="114"/>
        <v>0.35045159999999997</v>
      </c>
      <c r="I287" s="29">
        <v>0</v>
      </c>
      <c r="J287" s="29">
        <v>0.35045159999999997</v>
      </c>
      <c r="K287" s="29">
        <v>0.35045159999999997</v>
      </c>
      <c r="L287" s="29">
        <v>0</v>
      </c>
      <c r="M287" s="29">
        <v>0</v>
      </c>
      <c r="N287" s="29">
        <v>0</v>
      </c>
      <c r="O287" s="29">
        <v>0</v>
      </c>
      <c r="P287" s="29">
        <v>0</v>
      </c>
      <c r="Q287" s="29">
        <f t="shared" si="115"/>
        <v>0</v>
      </c>
      <c r="R287" s="29">
        <f t="shared" si="116"/>
        <v>0</v>
      </c>
      <c r="S287" s="31">
        <f t="shared" si="112"/>
        <v>0</v>
      </c>
      <c r="T287" s="30" t="s">
        <v>32</v>
      </c>
    </row>
    <row r="288" spans="1:20" s="1" customFormat="1" ht="31.5" x14ac:dyDescent="0.25">
      <c r="A288" s="26" t="s">
        <v>560</v>
      </c>
      <c r="B288" s="34" t="s">
        <v>590</v>
      </c>
      <c r="C288" s="28" t="s">
        <v>591</v>
      </c>
      <c r="D288" s="29">
        <v>7.1999999999999995E-2</v>
      </c>
      <c r="E288" s="29">
        <v>0</v>
      </c>
      <c r="F288" s="29">
        <f t="shared" si="113"/>
        <v>7.1999999999999995E-2</v>
      </c>
      <c r="G288" s="30">
        <v>7.1999999999999995E-2</v>
      </c>
      <c r="H288" s="29">
        <f t="shared" si="114"/>
        <v>7.1999999999999995E-2</v>
      </c>
      <c r="I288" s="29">
        <v>7.1999999999999995E-2</v>
      </c>
      <c r="J288" s="29">
        <v>0</v>
      </c>
      <c r="K288" s="29">
        <v>0</v>
      </c>
      <c r="L288" s="29">
        <v>7.1999999999999995E-2</v>
      </c>
      <c r="M288" s="29">
        <v>0</v>
      </c>
      <c r="N288" s="29">
        <v>0</v>
      </c>
      <c r="O288" s="29">
        <v>0</v>
      </c>
      <c r="P288" s="29">
        <v>0</v>
      </c>
      <c r="Q288" s="29">
        <f t="shared" si="115"/>
        <v>0</v>
      </c>
      <c r="R288" s="29">
        <f t="shared" si="116"/>
        <v>0</v>
      </c>
      <c r="S288" s="31">
        <f t="shared" si="112"/>
        <v>0</v>
      </c>
      <c r="T288" s="30" t="s">
        <v>32</v>
      </c>
    </row>
    <row r="289" spans="1:20" s="1" customFormat="1" ht="31.5" x14ac:dyDescent="0.25">
      <c r="A289" s="26" t="s">
        <v>560</v>
      </c>
      <c r="B289" s="34" t="s">
        <v>592</v>
      </c>
      <c r="C289" s="28" t="s">
        <v>593</v>
      </c>
      <c r="D289" s="29">
        <v>1.1160000000000001</v>
      </c>
      <c r="E289" s="29">
        <v>0</v>
      </c>
      <c r="F289" s="29">
        <f t="shared" si="113"/>
        <v>1.1160000000000001</v>
      </c>
      <c r="G289" s="30">
        <v>1.1160000000000001</v>
      </c>
      <c r="H289" s="29">
        <f t="shared" si="114"/>
        <v>0</v>
      </c>
      <c r="I289" s="29">
        <v>0</v>
      </c>
      <c r="J289" s="29">
        <v>0</v>
      </c>
      <c r="K289" s="29">
        <v>0</v>
      </c>
      <c r="L289" s="29">
        <v>0</v>
      </c>
      <c r="M289" s="29">
        <v>1.1160000000000001</v>
      </c>
      <c r="N289" s="29">
        <v>0</v>
      </c>
      <c r="O289" s="29">
        <v>0</v>
      </c>
      <c r="P289" s="29">
        <v>0</v>
      </c>
      <c r="Q289" s="29">
        <f t="shared" si="115"/>
        <v>1.1160000000000001</v>
      </c>
      <c r="R289" s="29">
        <f t="shared" si="116"/>
        <v>-1.1160000000000001</v>
      </c>
      <c r="S289" s="31">
        <f t="shared" si="112"/>
        <v>-1</v>
      </c>
      <c r="T289" s="29" t="s">
        <v>594</v>
      </c>
    </row>
    <row r="290" spans="1:20" s="1" customFormat="1" x14ac:dyDescent="0.25">
      <c r="A290" s="18" t="s">
        <v>595</v>
      </c>
      <c r="B290" s="22" t="s">
        <v>596</v>
      </c>
      <c r="C290" s="20" t="s">
        <v>31</v>
      </c>
      <c r="D290" s="7">
        <f t="shared" ref="D290:R290" si="117">SUM(D291,D326,D339,D406,D413,D420,D421)</f>
        <v>8822.7771978585242</v>
      </c>
      <c r="E290" s="7">
        <f t="shared" si="117"/>
        <v>4186.4726765900004</v>
      </c>
      <c r="F290" s="7">
        <f t="shared" si="117"/>
        <v>4636.3045212685238</v>
      </c>
      <c r="G290" s="7">
        <f t="shared" si="117"/>
        <v>1504.6194896433701</v>
      </c>
      <c r="H290" s="7">
        <f t="shared" si="117"/>
        <v>1078.75835725</v>
      </c>
      <c r="I290" s="7">
        <f t="shared" si="117"/>
        <v>110.82519923952555</v>
      </c>
      <c r="J290" s="7">
        <f t="shared" si="117"/>
        <v>180.60710170000002</v>
      </c>
      <c r="K290" s="7">
        <f t="shared" si="117"/>
        <v>98.377401689199999</v>
      </c>
      <c r="L290" s="7">
        <f t="shared" si="117"/>
        <v>186.98566922999998</v>
      </c>
      <c r="M290" s="7">
        <f t="shared" si="117"/>
        <v>304.34028881806</v>
      </c>
      <c r="N290" s="7">
        <f t="shared" si="117"/>
        <v>326.49770263999994</v>
      </c>
      <c r="O290" s="7">
        <f t="shared" si="117"/>
        <v>991.07659989658191</v>
      </c>
      <c r="P290" s="7">
        <f t="shared" si="117"/>
        <v>384.66788367999993</v>
      </c>
      <c r="Q290" s="7">
        <f t="shared" si="117"/>
        <v>3557.6319640185247</v>
      </c>
      <c r="R290" s="7">
        <f t="shared" si="117"/>
        <v>-425.94693239336766</v>
      </c>
      <c r="S290" s="21">
        <f t="shared" si="112"/>
        <v>-0.28309279211472116</v>
      </c>
      <c r="T290" s="7" t="s">
        <v>32</v>
      </c>
    </row>
    <row r="291" spans="1:20" s="1" customFormat="1" ht="31.5" x14ac:dyDescent="0.25">
      <c r="A291" s="18" t="s">
        <v>597</v>
      </c>
      <c r="B291" s="22" t="s">
        <v>50</v>
      </c>
      <c r="C291" s="20" t="s">
        <v>31</v>
      </c>
      <c r="D291" s="7">
        <f t="shared" ref="D291:R291" si="118">D292+D295+D298+D325</f>
        <v>479.4992889940001</v>
      </c>
      <c r="E291" s="7">
        <f t="shared" si="118"/>
        <v>175.35317896999999</v>
      </c>
      <c r="F291" s="7">
        <f t="shared" si="118"/>
        <v>304.14611002400005</v>
      </c>
      <c r="G291" s="7">
        <f t="shared" si="118"/>
        <v>228.435483944</v>
      </c>
      <c r="H291" s="7">
        <f t="shared" si="118"/>
        <v>192.32043597999998</v>
      </c>
      <c r="I291" s="7">
        <f t="shared" si="118"/>
        <v>15.534056023369478</v>
      </c>
      <c r="J291" s="7">
        <f t="shared" si="118"/>
        <v>17.700126820000001</v>
      </c>
      <c r="K291" s="7">
        <f t="shared" si="118"/>
        <v>0</v>
      </c>
      <c r="L291" s="7">
        <f t="shared" si="118"/>
        <v>7.6810025399999997</v>
      </c>
      <c r="M291" s="7">
        <f t="shared" si="118"/>
        <v>19.692799999999998</v>
      </c>
      <c r="N291" s="7">
        <f t="shared" si="118"/>
        <v>54.848384000000003</v>
      </c>
      <c r="O291" s="7">
        <f t="shared" si="118"/>
        <v>193.20862792063053</v>
      </c>
      <c r="P291" s="7">
        <f t="shared" si="118"/>
        <v>112.09092262000001</v>
      </c>
      <c r="Q291" s="7">
        <f t="shared" si="118"/>
        <v>111.825674044</v>
      </c>
      <c r="R291" s="7">
        <f t="shared" si="118"/>
        <v>-36.115047963999984</v>
      </c>
      <c r="S291" s="21">
        <f t="shared" si="112"/>
        <v>-0.15809736447448522</v>
      </c>
      <c r="T291" s="7" t="s">
        <v>32</v>
      </c>
    </row>
    <row r="292" spans="1:20" s="1" customFormat="1" ht="78.75" x14ac:dyDescent="0.25">
      <c r="A292" s="18" t="s">
        <v>598</v>
      </c>
      <c r="B292" s="22" t="s">
        <v>52</v>
      </c>
      <c r="C292" s="20" t="s">
        <v>31</v>
      </c>
      <c r="D292" s="7">
        <v>0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21">
        <v>0</v>
      </c>
      <c r="T292" s="7" t="s">
        <v>32</v>
      </c>
    </row>
    <row r="293" spans="1:20" s="1" customFormat="1" ht="31.5" x14ac:dyDescent="0.25">
      <c r="A293" s="18" t="s">
        <v>599</v>
      </c>
      <c r="B293" s="22" t="s">
        <v>56</v>
      </c>
      <c r="C293" s="20" t="s">
        <v>31</v>
      </c>
      <c r="D293" s="7">
        <v>0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21">
        <v>0</v>
      </c>
      <c r="T293" s="7" t="s">
        <v>32</v>
      </c>
    </row>
    <row r="294" spans="1:20" s="1" customFormat="1" ht="31.5" x14ac:dyDescent="0.25">
      <c r="A294" s="18" t="s">
        <v>600</v>
      </c>
      <c r="B294" s="22" t="s">
        <v>56</v>
      </c>
      <c r="C294" s="20" t="s">
        <v>31</v>
      </c>
      <c r="D294" s="7">
        <v>0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21">
        <v>0</v>
      </c>
      <c r="T294" s="7" t="s">
        <v>32</v>
      </c>
    </row>
    <row r="295" spans="1:20" s="1" customFormat="1" ht="47.25" x14ac:dyDescent="0.25">
      <c r="A295" s="18" t="s">
        <v>601</v>
      </c>
      <c r="B295" s="22" t="s">
        <v>58</v>
      </c>
      <c r="C295" s="20" t="s">
        <v>31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21">
        <v>0</v>
      </c>
      <c r="T295" s="7" t="s">
        <v>32</v>
      </c>
    </row>
    <row r="296" spans="1:20" s="1" customFormat="1" ht="31.5" x14ac:dyDescent="0.25">
      <c r="A296" s="18" t="s">
        <v>602</v>
      </c>
      <c r="B296" s="22" t="s">
        <v>56</v>
      </c>
      <c r="C296" s="20" t="s">
        <v>31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21">
        <v>0</v>
      </c>
      <c r="T296" s="7" t="s">
        <v>32</v>
      </c>
    </row>
    <row r="297" spans="1:20" s="1" customFormat="1" ht="31.5" x14ac:dyDescent="0.25">
      <c r="A297" s="18" t="s">
        <v>603</v>
      </c>
      <c r="B297" s="22" t="s">
        <v>56</v>
      </c>
      <c r="C297" s="20" t="s">
        <v>31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21">
        <v>0</v>
      </c>
      <c r="T297" s="7" t="s">
        <v>32</v>
      </c>
    </row>
    <row r="298" spans="1:20" s="1" customFormat="1" ht="47.25" x14ac:dyDescent="0.25">
      <c r="A298" s="18" t="s">
        <v>604</v>
      </c>
      <c r="B298" s="22" t="s">
        <v>62</v>
      </c>
      <c r="C298" s="20" t="s">
        <v>31</v>
      </c>
      <c r="D298" s="7">
        <f>SUM(D299,D300,D303,D304,D305)</f>
        <v>479.4992889940001</v>
      </c>
      <c r="E298" s="7">
        <f t="shared" ref="E298:R298" si="119">E299+E300+E303+E304+E305</f>
        <v>175.35317896999999</v>
      </c>
      <c r="F298" s="7">
        <f t="shared" si="119"/>
        <v>304.14611002400005</v>
      </c>
      <c r="G298" s="7">
        <f t="shared" si="119"/>
        <v>228.435483944</v>
      </c>
      <c r="H298" s="7">
        <f t="shared" si="119"/>
        <v>192.32043597999998</v>
      </c>
      <c r="I298" s="7">
        <f t="shared" si="119"/>
        <v>15.534056023369478</v>
      </c>
      <c r="J298" s="7">
        <f t="shared" si="119"/>
        <v>17.700126820000001</v>
      </c>
      <c r="K298" s="7">
        <f t="shared" si="119"/>
        <v>0</v>
      </c>
      <c r="L298" s="7">
        <f t="shared" si="119"/>
        <v>7.6810025399999997</v>
      </c>
      <c r="M298" s="7">
        <f t="shared" si="119"/>
        <v>19.692799999999998</v>
      </c>
      <c r="N298" s="7">
        <f t="shared" si="119"/>
        <v>54.848384000000003</v>
      </c>
      <c r="O298" s="7">
        <f t="shared" si="119"/>
        <v>193.20862792063053</v>
      </c>
      <c r="P298" s="7">
        <f t="shared" si="119"/>
        <v>112.09092262000001</v>
      </c>
      <c r="Q298" s="7">
        <f t="shared" si="119"/>
        <v>111.825674044</v>
      </c>
      <c r="R298" s="7">
        <f t="shared" si="119"/>
        <v>-36.115047963999984</v>
      </c>
      <c r="S298" s="21">
        <f t="shared" ref="S298" si="120">R298/(I298+K298+M298+O298)</f>
        <v>-0.15809736447448522</v>
      </c>
      <c r="T298" s="7" t="s">
        <v>32</v>
      </c>
    </row>
    <row r="299" spans="1:20" s="1" customFormat="1" ht="63" x14ac:dyDescent="0.25">
      <c r="A299" s="18" t="s">
        <v>605</v>
      </c>
      <c r="B299" s="22" t="s">
        <v>64</v>
      </c>
      <c r="C299" s="20" t="s">
        <v>31</v>
      </c>
      <c r="D299" s="7">
        <v>0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21">
        <v>0</v>
      </c>
      <c r="T299" s="7" t="s">
        <v>32</v>
      </c>
    </row>
    <row r="300" spans="1:20" s="1" customFormat="1" ht="63" x14ac:dyDescent="0.25">
      <c r="A300" s="18" t="s">
        <v>606</v>
      </c>
      <c r="B300" s="22" t="s">
        <v>66</v>
      </c>
      <c r="C300" s="20" t="s">
        <v>31</v>
      </c>
      <c r="D300" s="7">
        <f t="shared" ref="D300:R300" si="121">SUM(D301:D302)</f>
        <v>14.70856792</v>
      </c>
      <c r="E300" s="7">
        <f t="shared" si="121"/>
        <v>6.0407200000000003E-3</v>
      </c>
      <c r="F300" s="7">
        <f t="shared" si="121"/>
        <v>14.7025272</v>
      </c>
      <c r="G300" s="7">
        <f t="shared" si="121"/>
        <v>11.024208</v>
      </c>
      <c r="H300" s="7">
        <f t="shared" si="121"/>
        <v>7.641431100000001</v>
      </c>
      <c r="I300" s="7">
        <f t="shared" si="121"/>
        <v>0.515208</v>
      </c>
      <c r="J300" s="7">
        <f t="shared" si="121"/>
        <v>0.515208</v>
      </c>
      <c r="K300" s="7">
        <f t="shared" si="121"/>
        <v>0</v>
      </c>
      <c r="L300" s="7">
        <f t="shared" si="121"/>
        <v>6.0536131800000001</v>
      </c>
      <c r="M300" s="7">
        <f t="shared" si="121"/>
        <v>0</v>
      </c>
      <c r="N300" s="7">
        <f t="shared" si="121"/>
        <v>0.71883108000000007</v>
      </c>
      <c r="O300" s="7">
        <f t="shared" si="121"/>
        <v>10.509</v>
      </c>
      <c r="P300" s="7">
        <f t="shared" si="121"/>
        <v>0.35377883999999998</v>
      </c>
      <c r="Q300" s="7">
        <f t="shared" si="121"/>
        <v>7.0610961000000003</v>
      </c>
      <c r="R300" s="7">
        <f t="shared" si="121"/>
        <v>-3.3827768999999996</v>
      </c>
      <c r="S300" s="21">
        <f>R300/(I300+K300+M300+O300)</f>
        <v>-0.30684987982810191</v>
      </c>
      <c r="T300" s="7" t="s">
        <v>32</v>
      </c>
    </row>
    <row r="301" spans="1:20" s="1" customFormat="1" ht="81" customHeight="1" x14ac:dyDescent="0.25">
      <c r="A301" s="26" t="s">
        <v>606</v>
      </c>
      <c r="B301" s="34" t="s">
        <v>607</v>
      </c>
      <c r="C301" s="28" t="s">
        <v>608</v>
      </c>
      <c r="D301" s="29">
        <v>0.52124872</v>
      </c>
      <c r="E301" s="29">
        <v>6.0407200000000003E-3</v>
      </c>
      <c r="F301" s="29">
        <f>D301-E301</f>
        <v>0.515208</v>
      </c>
      <c r="G301" s="30">
        <v>0.515208</v>
      </c>
      <c r="H301" s="29">
        <f>J301+L301+N301+P301</f>
        <v>0.515208</v>
      </c>
      <c r="I301" s="29">
        <v>0.515208</v>
      </c>
      <c r="J301" s="29">
        <v>0.515208</v>
      </c>
      <c r="K301" s="29">
        <v>0</v>
      </c>
      <c r="L301" s="29">
        <v>0</v>
      </c>
      <c r="M301" s="29">
        <v>0</v>
      </c>
      <c r="N301" s="29">
        <v>0</v>
      </c>
      <c r="O301" s="29">
        <v>0</v>
      </c>
      <c r="P301" s="29">
        <v>0</v>
      </c>
      <c r="Q301" s="29">
        <f>F301-H301</f>
        <v>0</v>
      </c>
      <c r="R301" s="29">
        <f t="shared" ref="R301:R302" si="122">H301-(I301+K301+M301+O301)</f>
        <v>0</v>
      </c>
      <c r="S301" s="31">
        <f t="shared" ref="S301:S302" si="123">R301/(I301+K301+M301+O301)</f>
        <v>0</v>
      </c>
      <c r="T301" s="30" t="s">
        <v>32</v>
      </c>
    </row>
    <row r="302" spans="1:20" s="1" customFormat="1" ht="47.25" x14ac:dyDescent="0.25">
      <c r="A302" s="26" t="s">
        <v>606</v>
      </c>
      <c r="B302" s="34" t="s">
        <v>609</v>
      </c>
      <c r="C302" s="28" t="s">
        <v>610</v>
      </c>
      <c r="D302" s="29">
        <v>14.187319200000001</v>
      </c>
      <c r="E302" s="29">
        <v>0</v>
      </c>
      <c r="F302" s="29">
        <v>14.187319200000001</v>
      </c>
      <c r="G302" s="30">
        <v>10.509</v>
      </c>
      <c r="H302" s="29">
        <f>J302+L302+N302+P302</f>
        <v>7.1262231000000007</v>
      </c>
      <c r="I302" s="29">
        <v>0</v>
      </c>
      <c r="J302" s="29">
        <v>0</v>
      </c>
      <c r="K302" s="29">
        <v>0</v>
      </c>
      <c r="L302" s="29">
        <v>6.0536131800000001</v>
      </c>
      <c r="M302" s="29">
        <v>0</v>
      </c>
      <c r="N302" s="29">
        <f>718.83108/1000</f>
        <v>0.71883108000000007</v>
      </c>
      <c r="O302" s="29">
        <v>10.509</v>
      </c>
      <c r="P302" s="29">
        <v>0.35377883999999998</v>
      </c>
      <c r="Q302" s="29">
        <f>F302-H302</f>
        <v>7.0610961000000003</v>
      </c>
      <c r="R302" s="29">
        <f t="shared" si="122"/>
        <v>-3.3827768999999996</v>
      </c>
      <c r="S302" s="31">
        <f t="shared" si="123"/>
        <v>-0.32189332001141874</v>
      </c>
      <c r="T302" s="30" t="s">
        <v>611</v>
      </c>
    </row>
    <row r="303" spans="1:20" s="1" customFormat="1" ht="63" x14ac:dyDescent="0.25">
      <c r="A303" s="18" t="s">
        <v>612</v>
      </c>
      <c r="B303" s="22" t="s">
        <v>68</v>
      </c>
      <c r="C303" s="20" t="s">
        <v>31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21">
        <v>0</v>
      </c>
      <c r="T303" s="7" t="s">
        <v>32</v>
      </c>
    </row>
    <row r="304" spans="1:20" s="1" customFormat="1" ht="78.75" x14ac:dyDescent="0.25">
      <c r="A304" s="18" t="s">
        <v>613</v>
      </c>
      <c r="B304" s="22" t="s">
        <v>75</v>
      </c>
      <c r="C304" s="20" t="s">
        <v>31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21">
        <v>0</v>
      </c>
      <c r="T304" s="7" t="s">
        <v>32</v>
      </c>
    </row>
    <row r="305" spans="1:20" s="1" customFormat="1" ht="78.75" x14ac:dyDescent="0.25">
      <c r="A305" s="18" t="s">
        <v>614</v>
      </c>
      <c r="B305" s="22" t="s">
        <v>80</v>
      </c>
      <c r="C305" s="20" t="s">
        <v>31</v>
      </c>
      <c r="D305" s="7">
        <f t="shared" ref="D305:R305" si="124">SUM(D306:D324)</f>
        <v>464.79072107400009</v>
      </c>
      <c r="E305" s="7">
        <f t="shared" si="124"/>
        <v>175.34713825</v>
      </c>
      <c r="F305" s="7">
        <f t="shared" si="124"/>
        <v>289.44358282400003</v>
      </c>
      <c r="G305" s="7">
        <f t="shared" si="124"/>
        <v>217.41127594400001</v>
      </c>
      <c r="H305" s="7">
        <f t="shared" si="124"/>
        <v>184.67900487999998</v>
      </c>
      <c r="I305" s="7">
        <f t="shared" si="124"/>
        <v>15.018848023369479</v>
      </c>
      <c r="J305" s="7">
        <f t="shared" si="124"/>
        <v>17.18491882</v>
      </c>
      <c r="K305" s="7">
        <f t="shared" si="124"/>
        <v>0</v>
      </c>
      <c r="L305" s="7">
        <f t="shared" si="124"/>
        <v>1.62738936</v>
      </c>
      <c r="M305" s="7">
        <f t="shared" si="124"/>
        <v>19.692799999999998</v>
      </c>
      <c r="N305" s="7">
        <f t="shared" si="124"/>
        <v>54.129552920000002</v>
      </c>
      <c r="O305" s="7">
        <f t="shared" si="124"/>
        <v>182.69962792063052</v>
      </c>
      <c r="P305" s="7">
        <f t="shared" si="124"/>
        <v>111.73714378000001</v>
      </c>
      <c r="Q305" s="7">
        <f t="shared" si="124"/>
        <v>104.764577944</v>
      </c>
      <c r="R305" s="7">
        <f t="shared" si="124"/>
        <v>-32.732271063999988</v>
      </c>
      <c r="S305" s="21">
        <f>R305/(I305+K305+M305+O305)</f>
        <v>-0.1505546155408749</v>
      </c>
      <c r="T305" s="7" t="s">
        <v>32</v>
      </c>
    </row>
    <row r="306" spans="1:20" s="1" customFormat="1" ht="47.25" x14ac:dyDescent="0.25">
      <c r="A306" s="26" t="s">
        <v>614</v>
      </c>
      <c r="B306" s="34" t="s">
        <v>615</v>
      </c>
      <c r="C306" s="28" t="s">
        <v>616</v>
      </c>
      <c r="D306" s="29">
        <v>63.883344579999999</v>
      </c>
      <c r="E306" s="29">
        <v>1.8580901599999999</v>
      </c>
      <c r="F306" s="29">
        <f t="shared" ref="F306:F315" si="125">D306-E306</f>
        <v>62.025254419999996</v>
      </c>
      <c r="G306" s="30">
        <v>62.025254419999996</v>
      </c>
      <c r="H306" s="29">
        <f t="shared" ref="H306:H324" si="126">J306+L306+N306+P306</f>
        <v>2.9360544200000001</v>
      </c>
      <c r="I306" s="29">
        <v>0</v>
      </c>
      <c r="J306" s="29">
        <v>2.4860544199999999</v>
      </c>
      <c r="K306" s="29">
        <v>0</v>
      </c>
      <c r="L306" s="29">
        <v>0</v>
      </c>
      <c r="M306" s="29">
        <v>19.692799999999998</v>
      </c>
      <c r="N306" s="29">
        <v>0.45</v>
      </c>
      <c r="O306" s="29">
        <f t="shared" ref="O306:O312" si="127">G306-I306-K306-M306</f>
        <v>42.332454419999998</v>
      </c>
      <c r="P306" s="29">
        <v>0</v>
      </c>
      <c r="Q306" s="29">
        <f t="shared" ref="Q306:Q324" si="128">F306-H306</f>
        <v>59.089199999999998</v>
      </c>
      <c r="R306" s="29">
        <f t="shared" ref="R306:R324" si="129">H306-(I306+K306+M306+O306)</f>
        <v>-59.089199999999998</v>
      </c>
      <c r="S306" s="31">
        <f t="shared" ref="S306:S324" si="130">R306/(I306+K306+M306+O306)</f>
        <v>-0.95266356506788841</v>
      </c>
      <c r="T306" s="29" t="s">
        <v>617</v>
      </c>
    </row>
    <row r="307" spans="1:20" s="1" customFormat="1" ht="31.5" x14ac:dyDescent="0.25">
      <c r="A307" s="46" t="s">
        <v>614</v>
      </c>
      <c r="B307" s="36" t="s">
        <v>618</v>
      </c>
      <c r="C307" s="33" t="s">
        <v>619</v>
      </c>
      <c r="D307" s="28">
        <v>40.25396215</v>
      </c>
      <c r="E307" s="29">
        <v>38.750957409999998</v>
      </c>
      <c r="F307" s="29">
        <f t="shared" si="125"/>
        <v>1.5030047400000015</v>
      </c>
      <c r="G307" s="30">
        <v>1.5030047400000002</v>
      </c>
      <c r="H307" s="29">
        <f t="shared" si="126"/>
        <v>1.50300474</v>
      </c>
      <c r="I307" s="29">
        <v>1.5030047400000002</v>
      </c>
      <c r="J307" s="29">
        <v>1.50300474</v>
      </c>
      <c r="K307" s="29">
        <v>0</v>
      </c>
      <c r="L307" s="29">
        <v>0</v>
      </c>
      <c r="M307" s="29">
        <v>0</v>
      </c>
      <c r="N307" s="29">
        <v>0</v>
      </c>
      <c r="O307" s="29">
        <f t="shared" si="127"/>
        <v>0</v>
      </c>
      <c r="P307" s="29">
        <v>0</v>
      </c>
      <c r="Q307" s="29">
        <f t="shared" si="128"/>
        <v>0</v>
      </c>
      <c r="R307" s="29">
        <f t="shared" si="129"/>
        <v>0</v>
      </c>
      <c r="S307" s="31">
        <f t="shared" si="130"/>
        <v>0</v>
      </c>
      <c r="T307" s="29" t="s">
        <v>32</v>
      </c>
    </row>
    <row r="308" spans="1:20" s="1" customFormat="1" ht="31.5" x14ac:dyDescent="0.25">
      <c r="A308" s="46" t="s">
        <v>614</v>
      </c>
      <c r="B308" s="36" t="s">
        <v>620</v>
      </c>
      <c r="C308" s="33" t="s">
        <v>621</v>
      </c>
      <c r="D308" s="28">
        <v>9.5253765999999995</v>
      </c>
      <c r="E308" s="29">
        <v>9.1747869299999998</v>
      </c>
      <c r="F308" s="29">
        <f t="shared" si="125"/>
        <v>0.35058966999999974</v>
      </c>
      <c r="G308" s="30">
        <v>0.35058966999999996</v>
      </c>
      <c r="H308" s="29">
        <f t="shared" si="126"/>
        <v>0.35058967000000002</v>
      </c>
      <c r="I308" s="29">
        <v>0.35058966999999996</v>
      </c>
      <c r="J308" s="29">
        <v>0.35058967000000002</v>
      </c>
      <c r="K308" s="29">
        <v>0</v>
      </c>
      <c r="L308" s="29">
        <v>0</v>
      </c>
      <c r="M308" s="29">
        <v>0</v>
      </c>
      <c r="N308" s="29">
        <v>0</v>
      </c>
      <c r="O308" s="29">
        <f t="shared" si="127"/>
        <v>0</v>
      </c>
      <c r="P308" s="29">
        <v>0</v>
      </c>
      <c r="Q308" s="29">
        <f t="shared" si="128"/>
        <v>0</v>
      </c>
      <c r="R308" s="29">
        <f t="shared" si="129"/>
        <v>0</v>
      </c>
      <c r="S308" s="31">
        <f t="shared" si="130"/>
        <v>0</v>
      </c>
      <c r="T308" s="29" t="s">
        <v>32</v>
      </c>
    </row>
    <row r="309" spans="1:20" s="1" customFormat="1" ht="31.5" x14ac:dyDescent="0.25">
      <c r="A309" s="46" t="s">
        <v>614</v>
      </c>
      <c r="B309" s="36" t="s">
        <v>622</v>
      </c>
      <c r="C309" s="33" t="s">
        <v>623</v>
      </c>
      <c r="D309" s="28">
        <v>26.428068759999999</v>
      </c>
      <c r="E309" s="29">
        <v>25.443785729999998</v>
      </c>
      <c r="F309" s="29">
        <f t="shared" si="125"/>
        <v>0.98428303000000028</v>
      </c>
      <c r="G309" s="30">
        <v>0.98428302999999995</v>
      </c>
      <c r="H309" s="29">
        <f t="shared" si="126"/>
        <v>0.98428302999999995</v>
      </c>
      <c r="I309" s="29">
        <v>0.94719337159999484</v>
      </c>
      <c r="J309" s="29">
        <v>0.98428302999999995</v>
      </c>
      <c r="K309" s="29">
        <v>0</v>
      </c>
      <c r="L309" s="29">
        <v>0</v>
      </c>
      <c r="M309" s="29">
        <v>0</v>
      </c>
      <c r="N309" s="29">
        <v>0</v>
      </c>
      <c r="O309" s="29">
        <f t="shared" si="127"/>
        <v>3.708965840000511E-2</v>
      </c>
      <c r="P309" s="29">
        <v>0</v>
      </c>
      <c r="Q309" s="29">
        <f t="shared" si="128"/>
        <v>0</v>
      </c>
      <c r="R309" s="29">
        <f t="shared" si="129"/>
        <v>0</v>
      </c>
      <c r="S309" s="31">
        <f t="shared" si="130"/>
        <v>0</v>
      </c>
      <c r="T309" s="29" t="s">
        <v>32</v>
      </c>
    </row>
    <row r="310" spans="1:20" s="1" customFormat="1" ht="47.25" x14ac:dyDescent="0.25">
      <c r="A310" s="26" t="s">
        <v>614</v>
      </c>
      <c r="B310" s="34" t="s">
        <v>624</v>
      </c>
      <c r="C310" s="28" t="s">
        <v>625</v>
      </c>
      <c r="D310" s="29">
        <v>12.219938970000001</v>
      </c>
      <c r="E310" s="29">
        <v>9.8810857500000004</v>
      </c>
      <c r="F310" s="29">
        <f t="shared" si="125"/>
        <v>2.3388532200000007</v>
      </c>
      <c r="G310" s="30">
        <v>2.3388532199999998</v>
      </c>
      <c r="H310" s="29">
        <f t="shared" si="126"/>
        <v>2.3388532199999998</v>
      </c>
      <c r="I310" s="29">
        <v>0.93722236800000069</v>
      </c>
      <c r="J310" s="29">
        <v>2.3388532199999998</v>
      </c>
      <c r="K310" s="29">
        <v>0</v>
      </c>
      <c r="L310" s="29">
        <v>0</v>
      </c>
      <c r="M310" s="29">
        <v>0</v>
      </c>
      <c r="N310" s="29">
        <v>0</v>
      </c>
      <c r="O310" s="29">
        <f t="shared" si="127"/>
        <v>1.4016308519999991</v>
      </c>
      <c r="P310" s="29">
        <v>0</v>
      </c>
      <c r="Q310" s="29">
        <f t="shared" si="128"/>
        <v>0</v>
      </c>
      <c r="R310" s="29">
        <f t="shared" si="129"/>
        <v>0</v>
      </c>
      <c r="S310" s="31">
        <f t="shared" si="130"/>
        <v>0</v>
      </c>
      <c r="T310" s="29" t="s">
        <v>32</v>
      </c>
    </row>
    <row r="311" spans="1:20" s="1" customFormat="1" ht="47.25" x14ac:dyDescent="0.25">
      <c r="A311" s="26" t="s">
        <v>614</v>
      </c>
      <c r="B311" s="34" t="s">
        <v>626</v>
      </c>
      <c r="C311" s="28" t="s">
        <v>627</v>
      </c>
      <c r="D311" s="29">
        <v>13.210199580000001</v>
      </c>
      <c r="E311" s="29">
        <v>10.8335487</v>
      </c>
      <c r="F311" s="29">
        <f t="shared" si="125"/>
        <v>2.3766508800000015</v>
      </c>
      <c r="G311" s="30">
        <v>2.3766508799999997</v>
      </c>
      <c r="H311" s="29">
        <f t="shared" si="126"/>
        <v>2.3766508800000001</v>
      </c>
      <c r="I311" s="29">
        <v>1.0459763799999982</v>
      </c>
      <c r="J311" s="29">
        <v>2.3766508800000001</v>
      </c>
      <c r="K311" s="29">
        <v>0</v>
      </c>
      <c r="L311" s="29">
        <v>0</v>
      </c>
      <c r="M311" s="29">
        <v>0</v>
      </c>
      <c r="N311" s="29">
        <v>0</v>
      </c>
      <c r="O311" s="29">
        <f t="shared" si="127"/>
        <v>1.3306745000000015</v>
      </c>
      <c r="P311" s="29">
        <v>0</v>
      </c>
      <c r="Q311" s="29">
        <f t="shared" si="128"/>
        <v>0</v>
      </c>
      <c r="R311" s="29">
        <f t="shared" si="129"/>
        <v>0</v>
      </c>
      <c r="S311" s="31">
        <f t="shared" si="130"/>
        <v>0</v>
      </c>
      <c r="T311" s="30" t="s">
        <v>32</v>
      </c>
    </row>
    <row r="312" spans="1:20" s="1" customFormat="1" ht="31.5" x14ac:dyDescent="0.25">
      <c r="A312" s="26" t="s">
        <v>614</v>
      </c>
      <c r="B312" s="36" t="s">
        <v>628</v>
      </c>
      <c r="C312" s="29" t="s">
        <v>629</v>
      </c>
      <c r="D312" s="29">
        <v>21.925549169999996</v>
      </c>
      <c r="E312" s="29">
        <v>8.3962181700000009</v>
      </c>
      <c r="F312" s="29">
        <f t="shared" si="125"/>
        <v>13.529330999999996</v>
      </c>
      <c r="G312" s="30">
        <v>13.529330999999999</v>
      </c>
      <c r="H312" s="29">
        <f t="shared" si="126"/>
        <v>9.7989973800000012</v>
      </c>
      <c r="I312" s="29">
        <v>2.1412763999999989</v>
      </c>
      <c r="J312" s="29">
        <v>2.3245023599999999</v>
      </c>
      <c r="K312" s="29">
        <v>0</v>
      </c>
      <c r="L312" s="29">
        <v>0</v>
      </c>
      <c r="M312" s="29">
        <v>0</v>
      </c>
      <c r="N312" s="29">
        <f>6652.27836/1000</f>
        <v>6.6522783600000004</v>
      </c>
      <c r="O312" s="29">
        <f t="shared" si="127"/>
        <v>11.3880546</v>
      </c>
      <c r="P312" s="29">
        <v>0.82221666000000004</v>
      </c>
      <c r="Q312" s="29">
        <f t="shared" si="128"/>
        <v>3.7303336199999944</v>
      </c>
      <c r="R312" s="29">
        <f t="shared" si="129"/>
        <v>-3.7303336199999979</v>
      </c>
      <c r="S312" s="31">
        <f t="shared" si="130"/>
        <v>-0.27572195698368218</v>
      </c>
      <c r="T312" s="30" t="s">
        <v>630</v>
      </c>
    </row>
    <row r="313" spans="1:20" s="1" customFormat="1" ht="47.25" x14ac:dyDescent="0.25">
      <c r="A313" s="26" t="s">
        <v>614</v>
      </c>
      <c r="B313" s="36" t="s">
        <v>631</v>
      </c>
      <c r="C313" s="29" t="s">
        <v>632</v>
      </c>
      <c r="D313" s="29">
        <v>12.629018690000001</v>
      </c>
      <c r="E313" s="29">
        <v>11.32431227</v>
      </c>
      <c r="F313" s="29">
        <f t="shared" si="125"/>
        <v>1.3047064200000005</v>
      </c>
      <c r="G313" s="30">
        <v>1.3047064200000007</v>
      </c>
      <c r="H313" s="29">
        <f t="shared" si="126"/>
        <v>1.30470642</v>
      </c>
      <c r="I313" s="29">
        <v>0.53489288759999543</v>
      </c>
      <c r="J313" s="29">
        <v>1.30470642</v>
      </c>
      <c r="K313" s="29">
        <v>0</v>
      </c>
      <c r="L313" s="29">
        <v>0</v>
      </c>
      <c r="M313" s="29">
        <v>0</v>
      </c>
      <c r="N313" s="29">
        <v>0</v>
      </c>
      <c r="O313" s="29">
        <f>G313-I313</f>
        <v>0.76981353240000527</v>
      </c>
      <c r="P313" s="29">
        <v>0</v>
      </c>
      <c r="Q313" s="29">
        <f t="shared" si="128"/>
        <v>0</v>
      </c>
      <c r="R313" s="29">
        <f t="shared" si="129"/>
        <v>0</v>
      </c>
      <c r="S313" s="31">
        <f t="shared" si="130"/>
        <v>0</v>
      </c>
      <c r="T313" s="45" t="s">
        <v>32</v>
      </c>
    </row>
    <row r="314" spans="1:20" s="1" customFormat="1" ht="31.5" x14ac:dyDescent="0.25">
      <c r="A314" s="26" t="s">
        <v>614</v>
      </c>
      <c r="B314" s="36" t="s">
        <v>633</v>
      </c>
      <c r="C314" s="29" t="s">
        <v>634</v>
      </c>
      <c r="D314" s="29">
        <v>22.532650880000002</v>
      </c>
      <c r="E314" s="29">
        <v>21.048644359999997</v>
      </c>
      <c r="F314" s="29">
        <f t="shared" si="125"/>
        <v>1.4840065200000048</v>
      </c>
      <c r="G314" s="30">
        <v>1.4840065199999999</v>
      </c>
      <c r="H314" s="29">
        <f t="shared" si="126"/>
        <v>1.4840065200000001</v>
      </c>
      <c r="I314" s="29">
        <v>1.4782724423728797</v>
      </c>
      <c r="J314" s="29">
        <v>1.4840065200000001</v>
      </c>
      <c r="K314" s="29">
        <v>0</v>
      </c>
      <c r="L314" s="29">
        <v>0</v>
      </c>
      <c r="M314" s="29">
        <v>0</v>
      </c>
      <c r="N314" s="29">
        <v>0</v>
      </c>
      <c r="O314" s="29">
        <f>G314-I314</f>
        <v>5.7340776271201932E-3</v>
      </c>
      <c r="P314" s="29">
        <v>0</v>
      </c>
      <c r="Q314" s="29">
        <f t="shared" si="128"/>
        <v>4.6629367034256575E-15</v>
      </c>
      <c r="R314" s="29">
        <f t="shared" si="129"/>
        <v>0</v>
      </c>
      <c r="S314" s="31">
        <f t="shared" si="130"/>
        <v>0</v>
      </c>
      <c r="T314" s="45" t="s">
        <v>32</v>
      </c>
    </row>
    <row r="315" spans="1:20" s="1" customFormat="1" ht="31.5" x14ac:dyDescent="0.25">
      <c r="A315" s="26" t="s">
        <v>614</v>
      </c>
      <c r="B315" s="36" t="s">
        <v>635</v>
      </c>
      <c r="C315" s="29" t="s">
        <v>636</v>
      </c>
      <c r="D315" s="29">
        <v>28.866746289999998</v>
      </c>
      <c r="E315" s="29">
        <v>23.838402130000002</v>
      </c>
      <c r="F315" s="29">
        <f t="shared" si="125"/>
        <v>5.0283441599999961</v>
      </c>
      <c r="G315" s="30">
        <v>4.4472675600000002</v>
      </c>
      <c r="H315" s="29">
        <f t="shared" si="126"/>
        <v>5.0559439299999998</v>
      </c>
      <c r="I315" s="29">
        <v>2.4636292355932237</v>
      </c>
      <c r="J315" s="29">
        <v>2.0322675600000002</v>
      </c>
      <c r="K315" s="29">
        <v>0</v>
      </c>
      <c r="L315" s="29">
        <v>0</v>
      </c>
      <c r="M315" s="29">
        <v>0</v>
      </c>
      <c r="N315" s="29">
        <f>2708.9262/1000</f>
        <v>2.7089262000000001</v>
      </c>
      <c r="O315" s="29">
        <f>G315-I315</f>
        <v>1.9836383244067766</v>
      </c>
      <c r="P315" s="29">
        <v>0.31475016999999988</v>
      </c>
      <c r="Q315" s="29">
        <f t="shared" si="128"/>
        <v>-2.7599770000003687E-2</v>
      </c>
      <c r="R315" s="29">
        <f t="shared" si="129"/>
        <v>0.60867636999999952</v>
      </c>
      <c r="S315" s="31">
        <f t="shared" si="130"/>
        <v>0.13686524630867936</v>
      </c>
      <c r="T315" s="30" t="s">
        <v>630</v>
      </c>
    </row>
    <row r="316" spans="1:20" s="1" customFormat="1" ht="31.5" x14ac:dyDescent="0.25">
      <c r="A316" s="26" t="s">
        <v>614</v>
      </c>
      <c r="B316" s="36" t="s">
        <v>637</v>
      </c>
      <c r="C316" s="29" t="s">
        <v>638</v>
      </c>
      <c r="D316" s="29">
        <v>12.187417199999999</v>
      </c>
      <c r="E316" s="29">
        <f>D316-F316</f>
        <v>0</v>
      </c>
      <c r="F316" s="29">
        <v>12.187417199999999</v>
      </c>
      <c r="G316" s="30">
        <v>5.0202325440000006</v>
      </c>
      <c r="H316" s="29">
        <f t="shared" si="126"/>
        <v>11.139239610000001</v>
      </c>
      <c r="I316" s="29">
        <v>0</v>
      </c>
      <c r="J316" s="29">
        <v>0</v>
      </c>
      <c r="K316" s="29">
        <v>0</v>
      </c>
      <c r="L316" s="29">
        <v>0</v>
      </c>
      <c r="M316" s="29">
        <v>0</v>
      </c>
      <c r="N316" s="29">
        <f>5304.18374/1000</f>
        <v>5.30418374</v>
      </c>
      <c r="O316" s="29">
        <v>5.0202325440000006</v>
      </c>
      <c r="P316" s="29">
        <v>5.8350558699999997</v>
      </c>
      <c r="Q316" s="29">
        <f t="shared" si="128"/>
        <v>1.0481775899999981</v>
      </c>
      <c r="R316" s="29">
        <f t="shared" si="129"/>
        <v>6.119007066</v>
      </c>
      <c r="S316" s="31">
        <f t="shared" si="130"/>
        <v>1.218869248061669</v>
      </c>
      <c r="T316" s="30" t="s">
        <v>630</v>
      </c>
    </row>
    <row r="317" spans="1:20" s="1" customFormat="1" ht="47.25" x14ac:dyDescent="0.25">
      <c r="A317" s="26" t="s">
        <v>614</v>
      </c>
      <c r="B317" s="36" t="s">
        <v>639</v>
      </c>
      <c r="C317" s="29" t="s">
        <v>640</v>
      </c>
      <c r="D317" s="29">
        <v>5.6565408000000001</v>
      </c>
      <c r="E317" s="29">
        <f t="shared" ref="E317:E322" si="131">D317-F317</f>
        <v>0</v>
      </c>
      <c r="F317" s="29">
        <v>5.6565408000000001</v>
      </c>
      <c r="G317" s="30">
        <v>3.3929055839999998</v>
      </c>
      <c r="H317" s="29">
        <f t="shared" si="126"/>
        <v>5.4212451300000009</v>
      </c>
      <c r="I317" s="29">
        <v>0</v>
      </c>
      <c r="J317" s="29">
        <v>0</v>
      </c>
      <c r="K317" s="29">
        <v>0</v>
      </c>
      <c r="L317" s="29">
        <v>0</v>
      </c>
      <c r="M317" s="29">
        <v>0</v>
      </c>
      <c r="N317" s="29">
        <f>271.04454/1000</f>
        <v>0.27104454</v>
      </c>
      <c r="O317" s="29">
        <v>3.3929055839999998</v>
      </c>
      <c r="P317" s="29">
        <v>5.1502005900000007</v>
      </c>
      <c r="Q317" s="29">
        <f t="shared" si="128"/>
        <v>0.23529566999999929</v>
      </c>
      <c r="R317" s="29">
        <f t="shared" si="129"/>
        <v>2.0283395460000011</v>
      </c>
      <c r="S317" s="31">
        <f t="shared" si="130"/>
        <v>0.59781785722688152</v>
      </c>
      <c r="T317" s="30" t="s">
        <v>630</v>
      </c>
    </row>
    <row r="318" spans="1:20" s="1" customFormat="1" ht="31.5" x14ac:dyDescent="0.25">
      <c r="A318" s="26" t="s">
        <v>614</v>
      </c>
      <c r="B318" s="36" t="s">
        <v>641</v>
      </c>
      <c r="C318" s="29" t="s">
        <v>642</v>
      </c>
      <c r="D318" s="29">
        <v>53.5430736</v>
      </c>
      <c r="E318" s="29">
        <f t="shared" si="131"/>
        <v>0</v>
      </c>
      <c r="F318" s="29">
        <v>53.5430736</v>
      </c>
      <c r="G318" s="30">
        <v>31.228139664</v>
      </c>
      <c r="H318" s="29">
        <f t="shared" si="126"/>
        <v>38.526829480000004</v>
      </c>
      <c r="I318" s="29">
        <v>0</v>
      </c>
      <c r="J318" s="29">
        <v>0</v>
      </c>
      <c r="K318" s="29">
        <v>0</v>
      </c>
      <c r="L318" s="29">
        <v>0</v>
      </c>
      <c r="M318" s="29">
        <v>0</v>
      </c>
      <c r="N318" s="29">
        <f>2036.8985/1000</f>
        <v>2.0368984999999999</v>
      </c>
      <c r="O318" s="29">
        <v>31.228139664</v>
      </c>
      <c r="P318" s="29">
        <v>36.489930980000004</v>
      </c>
      <c r="Q318" s="29">
        <f t="shared" si="128"/>
        <v>15.016244119999996</v>
      </c>
      <c r="R318" s="29">
        <f t="shared" si="129"/>
        <v>7.2986898160000031</v>
      </c>
      <c r="S318" s="31">
        <f t="shared" si="130"/>
        <v>0.23372156953729714</v>
      </c>
      <c r="T318" s="30" t="s">
        <v>630</v>
      </c>
    </row>
    <row r="319" spans="1:20" s="1" customFormat="1" ht="47.25" x14ac:dyDescent="0.25">
      <c r="A319" s="26" t="s">
        <v>614</v>
      </c>
      <c r="B319" s="36" t="s">
        <v>643</v>
      </c>
      <c r="C319" s="29" t="s">
        <v>644</v>
      </c>
      <c r="D319" s="29">
        <v>7.7923787999999998</v>
      </c>
      <c r="E319" s="29">
        <f t="shared" si="131"/>
        <v>0</v>
      </c>
      <c r="F319" s="29">
        <v>7.7923787999999998</v>
      </c>
      <c r="G319" s="30">
        <v>4.6326511440000004</v>
      </c>
      <c r="H319" s="29">
        <f t="shared" si="126"/>
        <v>0.34980525999999995</v>
      </c>
      <c r="I319" s="29">
        <v>0</v>
      </c>
      <c r="J319" s="29">
        <v>0</v>
      </c>
      <c r="K319" s="29">
        <v>0</v>
      </c>
      <c r="L319" s="29">
        <v>0</v>
      </c>
      <c r="M319" s="29">
        <v>0</v>
      </c>
      <c r="N319" s="29">
        <f>349.80526/1000</f>
        <v>0.34980525999999995</v>
      </c>
      <c r="O319" s="29">
        <v>4.6326511440000004</v>
      </c>
      <c r="P319" s="29">
        <v>0</v>
      </c>
      <c r="Q319" s="29">
        <f t="shared" si="128"/>
        <v>7.4425735399999997</v>
      </c>
      <c r="R319" s="29">
        <f t="shared" si="129"/>
        <v>-4.2828458840000003</v>
      </c>
      <c r="S319" s="31">
        <f t="shared" si="130"/>
        <v>-0.92449134434543989</v>
      </c>
      <c r="T319" s="30" t="s">
        <v>645</v>
      </c>
    </row>
    <row r="320" spans="1:20" s="1" customFormat="1" ht="31.5" x14ac:dyDescent="0.25">
      <c r="A320" s="26" t="s">
        <v>614</v>
      </c>
      <c r="B320" s="36" t="s">
        <v>646</v>
      </c>
      <c r="C320" s="29" t="s">
        <v>647</v>
      </c>
      <c r="D320" s="29">
        <v>33.662928000000008</v>
      </c>
      <c r="E320" s="29">
        <f t="shared" si="131"/>
        <v>0</v>
      </c>
      <c r="F320" s="29">
        <v>33.662928000000008</v>
      </c>
      <c r="G320" s="30">
        <v>22.96180479600001</v>
      </c>
      <c r="H320" s="29">
        <f t="shared" si="126"/>
        <v>30.03078451</v>
      </c>
      <c r="I320" s="29">
        <v>0</v>
      </c>
      <c r="J320" s="29">
        <v>0</v>
      </c>
      <c r="K320" s="29">
        <v>0</v>
      </c>
      <c r="L320" s="29">
        <v>0</v>
      </c>
      <c r="M320" s="29">
        <v>0</v>
      </c>
      <c r="N320" s="29">
        <f>1303.80234/1000</f>
        <v>1.3038023400000001</v>
      </c>
      <c r="O320" s="29">
        <v>22.96180479600001</v>
      </c>
      <c r="P320" s="29">
        <v>28.726982169999999</v>
      </c>
      <c r="Q320" s="29">
        <f t="shared" si="128"/>
        <v>3.6321434900000078</v>
      </c>
      <c r="R320" s="29">
        <f t="shared" si="129"/>
        <v>7.0689797139999904</v>
      </c>
      <c r="S320" s="31">
        <f t="shared" si="130"/>
        <v>0.30785819219364763</v>
      </c>
      <c r="T320" s="30" t="s">
        <v>630</v>
      </c>
    </row>
    <row r="321" spans="1:20" s="1" customFormat="1" ht="31.5" x14ac:dyDescent="0.25">
      <c r="A321" s="26" t="s">
        <v>614</v>
      </c>
      <c r="B321" s="36" t="s">
        <v>648</v>
      </c>
      <c r="C321" s="29" t="s">
        <v>649</v>
      </c>
      <c r="D321" s="29">
        <v>22.502035200000002</v>
      </c>
      <c r="E321" s="29">
        <f t="shared" si="131"/>
        <v>0</v>
      </c>
      <c r="F321" s="29">
        <v>22.502035200000002</v>
      </c>
      <c r="G321" s="30">
        <v>13.386487836000001</v>
      </c>
      <c r="H321" s="29">
        <f t="shared" si="126"/>
        <v>21.183997269999999</v>
      </c>
      <c r="I321" s="29">
        <v>0</v>
      </c>
      <c r="J321" s="29">
        <v>0</v>
      </c>
      <c r="K321" s="29">
        <v>0</v>
      </c>
      <c r="L321" s="29">
        <v>0</v>
      </c>
      <c r="M321" s="29">
        <v>0</v>
      </c>
      <c r="N321" s="29">
        <f>11009.97087/1000</f>
        <v>11.00997087</v>
      </c>
      <c r="O321" s="29">
        <v>13.386487836000001</v>
      </c>
      <c r="P321" s="29">
        <v>10.174026399999999</v>
      </c>
      <c r="Q321" s="29">
        <f t="shared" si="128"/>
        <v>1.3180379300000027</v>
      </c>
      <c r="R321" s="29">
        <f t="shared" si="129"/>
        <v>7.7975094339999984</v>
      </c>
      <c r="S321" s="31">
        <f t="shared" si="130"/>
        <v>0.58249105587130334</v>
      </c>
      <c r="T321" s="30" t="s">
        <v>630</v>
      </c>
    </row>
    <row r="322" spans="1:20" s="1" customFormat="1" ht="31.5" x14ac:dyDescent="0.25">
      <c r="A322" s="26" t="s">
        <v>614</v>
      </c>
      <c r="B322" s="36" t="s">
        <v>650</v>
      </c>
      <c r="C322" s="29" t="s">
        <v>651</v>
      </c>
      <c r="D322" s="29">
        <v>27.877097999999997</v>
      </c>
      <c r="E322" s="29">
        <f t="shared" si="131"/>
        <v>0</v>
      </c>
      <c r="F322" s="29">
        <v>27.877097999999997</v>
      </c>
      <c r="G322" s="30">
        <v>17.576167595999998</v>
      </c>
      <c r="H322" s="29">
        <f t="shared" si="126"/>
        <v>17.856342479999999</v>
      </c>
      <c r="I322" s="29">
        <v>0</v>
      </c>
      <c r="J322" s="29">
        <v>0</v>
      </c>
      <c r="K322" s="29">
        <v>0</v>
      </c>
      <c r="L322" s="29">
        <v>0</v>
      </c>
      <c r="M322" s="29">
        <v>0</v>
      </c>
      <c r="N322" s="29">
        <f>1090.44531/1000</f>
        <v>1.09044531</v>
      </c>
      <c r="O322" s="29">
        <v>17.576167595999998</v>
      </c>
      <c r="P322" s="29">
        <v>16.765897169999999</v>
      </c>
      <c r="Q322" s="29">
        <f t="shared" si="128"/>
        <v>10.020755519999998</v>
      </c>
      <c r="R322" s="29">
        <f t="shared" si="129"/>
        <v>0.2801748840000009</v>
      </c>
      <c r="S322" s="31">
        <f t="shared" si="130"/>
        <v>1.5940612904929478E-2</v>
      </c>
      <c r="T322" s="30" t="s">
        <v>32</v>
      </c>
    </row>
    <row r="323" spans="1:20" s="1" customFormat="1" ht="31.5" x14ac:dyDescent="0.25">
      <c r="A323" s="26" t="s">
        <v>614</v>
      </c>
      <c r="B323" s="36" t="s">
        <v>652</v>
      </c>
      <c r="C323" s="29" t="s">
        <v>653</v>
      </c>
      <c r="D323" s="28">
        <v>14.125579623999998</v>
      </c>
      <c r="E323" s="29">
        <v>0.58241866000000009</v>
      </c>
      <c r="F323" s="29">
        <f t="shared" ref="F323" si="132">D323-E323</f>
        <v>13.543160963999998</v>
      </c>
      <c r="G323" s="30">
        <v>10.0577416</v>
      </c>
      <c r="H323" s="29">
        <f t="shared" si="126"/>
        <v>14.33615075</v>
      </c>
      <c r="I323" s="29">
        <v>1.322350185220339</v>
      </c>
      <c r="J323" s="29">
        <v>0</v>
      </c>
      <c r="K323" s="29">
        <v>0</v>
      </c>
      <c r="L323" s="29">
        <v>0</v>
      </c>
      <c r="M323" s="29">
        <v>0</v>
      </c>
      <c r="N323" s="29">
        <f>10810.22548/1000</f>
        <v>10.81022548</v>
      </c>
      <c r="O323" s="29">
        <f>G323-I323-K323-M323</f>
        <v>8.7353914147796612</v>
      </c>
      <c r="P323" s="29">
        <v>3.5259252700000006</v>
      </c>
      <c r="Q323" s="29">
        <f t="shared" si="128"/>
        <v>-0.79298978600000147</v>
      </c>
      <c r="R323" s="29">
        <f t="shared" si="129"/>
        <v>4.2784091499999999</v>
      </c>
      <c r="S323" s="31">
        <f t="shared" si="130"/>
        <v>0.42538467582026562</v>
      </c>
      <c r="T323" s="29" t="s">
        <v>654</v>
      </c>
    </row>
    <row r="324" spans="1:20" s="1" customFormat="1" ht="31.5" x14ac:dyDescent="0.25">
      <c r="A324" s="26" t="s">
        <v>614</v>
      </c>
      <c r="B324" s="36" t="s">
        <v>655</v>
      </c>
      <c r="C324" s="29" t="s">
        <v>656</v>
      </c>
      <c r="D324" s="29">
        <v>35.968814180000003</v>
      </c>
      <c r="E324" s="29">
        <v>14.21488798</v>
      </c>
      <c r="F324" s="29">
        <f>D324-E324</f>
        <v>21.753926200000002</v>
      </c>
      <c r="G324" s="30">
        <v>18.811197719999999</v>
      </c>
      <c r="H324" s="29">
        <f t="shared" si="126"/>
        <v>17.701520180000003</v>
      </c>
      <c r="I324" s="29">
        <v>2.2944403429830489</v>
      </c>
      <c r="J324" s="29">
        <v>0</v>
      </c>
      <c r="K324" s="29">
        <v>0</v>
      </c>
      <c r="L324" s="29">
        <v>1.62738936</v>
      </c>
      <c r="M324" s="29">
        <v>0</v>
      </c>
      <c r="N324" s="29">
        <f>12141.97232/1000</f>
        <v>12.141972320000001</v>
      </c>
      <c r="O324" s="29">
        <f>G324-I324-K324-M324</f>
        <v>16.516757377016951</v>
      </c>
      <c r="P324" s="29">
        <v>3.9321585000000003</v>
      </c>
      <c r="Q324" s="29">
        <f t="shared" si="128"/>
        <v>4.0524060199999994</v>
      </c>
      <c r="R324" s="29">
        <f t="shared" si="129"/>
        <v>-1.1096775399999963</v>
      </c>
      <c r="S324" s="31">
        <f t="shared" si="130"/>
        <v>-5.8990265081323934E-2</v>
      </c>
      <c r="T324" s="45" t="s">
        <v>32</v>
      </c>
    </row>
    <row r="325" spans="1:20" s="1" customFormat="1" ht="31.5" x14ac:dyDescent="0.25">
      <c r="A325" s="18" t="s">
        <v>657</v>
      </c>
      <c r="B325" s="22" t="s">
        <v>102</v>
      </c>
      <c r="C325" s="20" t="s">
        <v>31</v>
      </c>
      <c r="D325" s="7">
        <v>0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21">
        <v>0</v>
      </c>
      <c r="T325" s="7" t="s">
        <v>32</v>
      </c>
    </row>
    <row r="326" spans="1:20" s="1" customFormat="1" ht="47.25" x14ac:dyDescent="0.25">
      <c r="A326" s="18" t="s">
        <v>658</v>
      </c>
      <c r="B326" s="22" t="s">
        <v>104</v>
      </c>
      <c r="C326" s="20" t="s">
        <v>31</v>
      </c>
      <c r="D326" s="7">
        <f t="shared" ref="D326:R326" si="133">D327+D332+D330+D331</f>
        <v>696.8748580219999</v>
      </c>
      <c r="E326" s="7">
        <f t="shared" si="133"/>
        <v>267.13042453000003</v>
      </c>
      <c r="F326" s="7">
        <f t="shared" si="133"/>
        <v>429.74443349199993</v>
      </c>
      <c r="G326" s="7">
        <f t="shared" si="133"/>
        <v>92.676021450000007</v>
      </c>
      <c r="H326" s="7">
        <f t="shared" si="133"/>
        <v>73.129040540000005</v>
      </c>
      <c r="I326" s="7">
        <f t="shared" si="133"/>
        <v>4.1087849999999975</v>
      </c>
      <c r="J326" s="7">
        <f t="shared" si="133"/>
        <v>18.196772729999999</v>
      </c>
      <c r="K326" s="7">
        <f t="shared" si="133"/>
        <v>13.09054143</v>
      </c>
      <c r="L326" s="7">
        <f t="shared" si="133"/>
        <v>1.2335423100000003</v>
      </c>
      <c r="M326" s="7">
        <f t="shared" si="133"/>
        <v>47.524084999999999</v>
      </c>
      <c r="N326" s="7">
        <f t="shared" si="133"/>
        <v>32.633780260000002</v>
      </c>
      <c r="O326" s="7">
        <f t="shared" si="133"/>
        <v>27.952610020000009</v>
      </c>
      <c r="P326" s="7">
        <f t="shared" si="133"/>
        <v>21.06494524</v>
      </c>
      <c r="Q326" s="7">
        <f t="shared" si="133"/>
        <v>356.61539295199998</v>
      </c>
      <c r="R326" s="7">
        <f t="shared" si="133"/>
        <v>-19.546980910000006</v>
      </c>
      <c r="S326" s="21">
        <f>R326/(I326+K326+M326+O326)</f>
        <v>-0.2109173506174504</v>
      </c>
      <c r="T326" s="7" t="s">
        <v>32</v>
      </c>
    </row>
    <row r="327" spans="1:20" s="1" customFormat="1" ht="31.5" x14ac:dyDescent="0.25">
      <c r="A327" s="18" t="s">
        <v>659</v>
      </c>
      <c r="B327" s="22" t="s">
        <v>106</v>
      </c>
      <c r="C327" s="20" t="s">
        <v>31</v>
      </c>
      <c r="D327" s="7">
        <f t="shared" ref="D327:R327" si="134">SUM(D328:D329)</f>
        <v>141.39066125000002</v>
      </c>
      <c r="E327" s="7">
        <f t="shared" si="134"/>
        <v>131.11127621</v>
      </c>
      <c r="F327" s="7">
        <f t="shared" si="134"/>
        <v>10.279385040000006</v>
      </c>
      <c r="G327" s="7">
        <f t="shared" si="134"/>
        <v>10.279385040000001</v>
      </c>
      <c r="H327" s="7">
        <f t="shared" si="134"/>
        <v>10.279385040000001</v>
      </c>
      <c r="I327" s="7">
        <f t="shared" si="134"/>
        <v>2.6326999999999972</v>
      </c>
      <c r="J327" s="7">
        <f t="shared" si="134"/>
        <v>10.279385040000001</v>
      </c>
      <c r="K327" s="7">
        <f t="shared" si="134"/>
        <v>0</v>
      </c>
      <c r="L327" s="7">
        <f t="shared" si="134"/>
        <v>0</v>
      </c>
      <c r="M327" s="7">
        <f t="shared" si="134"/>
        <v>0</v>
      </c>
      <c r="N327" s="7">
        <f t="shared" si="134"/>
        <v>0</v>
      </c>
      <c r="O327" s="7">
        <f t="shared" si="134"/>
        <v>7.646685040000003</v>
      </c>
      <c r="P327" s="7">
        <f t="shared" si="134"/>
        <v>0</v>
      </c>
      <c r="Q327" s="7">
        <f t="shared" si="134"/>
        <v>0</v>
      </c>
      <c r="R327" s="7">
        <f t="shared" si="134"/>
        <v>0</v>
      </c>
      <c r="S327" s="21">
        <f>R327/(I327+K327+M327)</f>
        <v>0</v>
      </c>
      <c r="T327" s="7" t="s">
        <v>32</v>
      </c>
    </row>
    <row r="328" spans="1:20" s="1" customFormat="1" ht="31.5" x14ac:dyDescent="0.25">
      <c r="A328" s="26" t="s">
        <v>659</v>
      </c>
      <c r="B328" s="36" t="s">
        <v>660</v>
      </c>
      <c r="C328" s="33" t="s">
        <v>661</v>
      </c>
      <c r="D328" s="29">
        <v>135.99066125000002</v>
      </c>
      <c r="E328" s="29">
        <v>129.18401621000001</v>
      </c>
      <c r="F328" s="29">
        <f>D328-E328</f>
        <v>6.8066450400000065</v>
      </c>
      <c r="G328" s="30">
        <v>6.8066450400000003</v>
      </c>
      <c r="H328" s="29">
        <f>J328+L328+N328+P328</f>
        <v>6.8066450400000003</v>
      </c>
      <c r="I328" s="29">
        <v>2.6326999999999972</v>
      </c>
      <c r="J328" s="29">
        <v>6.8066450400000003</v>
      </c>
      <c r="K328" s="29">
        <v>0</v>
      </c>
      <c r="L328" s="29">
        <v>0</v>
      </c>
      <c r="M328" s="29">
        <v>0</v>
      </c>
      <c r="N328" s="29">
        <v>0</v>
      </c>
      <c r="O328" s="29">
        <f>G328-I328-K328-M328</f>
        <v>4.1739450400000031</v>
      </c>
      <c r="P328" s="29">
        <v>0</v>
      </c>
      <c r="Q328" s="29">
        <f>F328-H328</f>
        <v>0</v>
      </c>
      <c r="R328" s="29">
        <f t="shared" ref="R328:R329" si="135">H328-(I328+K328+M328+O328)</f>
        <v>0</v>
      </c>
      <c r="S328" s="31">
        <f t="shared" ref="S328:S329" si="136">R328/(I328+K328+M328+O328)</f>
        <v>0</v>
      </c>
      <c r="T328" s="29" t="s">
        <v>237</v>
      </c>
    </row>
    <row r="329" spans="1:20" s="1" customFormat="1" x14ac:dyDescent="0.25">
      <c r="A329" s="26" t="s">
        <v>659</v>
      </c>
      <c r="B329" s="47" t="s">
        <v>662</v>
      </c>
      <c r="C329" s="33" t="s">
        <v>663</v>
      </c>
      <c r="D329" s="29">
        <v>5.4</v>
      </c>
      <c r="E329" s="29">
        <f>D329-F329</f>
        <v>1.9272600000000004</v>
      </c>
      <c r="F329" s="29">
        <v>3.4727399999999999</v>
      </c>
      <c r="G329" s="29">
        <v>3.4727399999999999</v>
      </c>
      <c r="H329" s="29">
        <f>J329+L329+N329+P329</f>
        <v>3.4727399999999999</v>
      </c>
      <c r="I329" s="29">
        <v>0</v>
      </c>
      <c r="J329" s="29">
        <v>3.4727399999999999</v>
      </c>
      <c r="K329" s="29">
        <v>0</v>
      </c>
      <c r="L329" s="29">
        <v>0</v>
      </c>
      <c r="M329" s="29">
        <v>0</v>
      </c>
      <c r="N329" s="29">
        <v>0</v>
      </c>
      <c r="O329" s="29">
        <v>3.4727399999999999</v>
      </c>
      <c r="P329" s="29">
        <v>0</v>
      </c>
      <c r="Q329" s="29">
        <f>F329-H329</f>
        <v>0</v>
      </c>
      <c r="R329" s="29">
        <f t="shared" si="135"/>
        <v>0</v>
      </c>
      <c r="S329" s="31">
        <f t="shared" si="136"/>
        <v>0</v>
      </c>
      <c r="T329" s="48" t="s">
        <v>237</v>
      </c>
    </row>
    <row r="330" spans="1:20" s="1" customFormat="1" x14ac:dyDescent="0.25">
      <c r="A330" s="18" t="s">
        <v>664</v>
      </c>
      <c r="B330" s="22" t="s">
        <v>117</v>
      </c>
      <c r="C330" s="20" t="s">
        <v>31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21">
        <v>0</v>
      </c>
      <c r="T330" s="7" t="s">
        <v>32</v>
      </c>
    </row>
    <row r="331" spans="1:20" s="1" customFormat="1" x14ac:dyDescent="0.25">
      <c r="A331" s="18" t="s">
        <v>665</v>
      </c>
      <c r="B331" s="22" t="s">
        <v>126</v>
      </c>
      <c r="C331" s="20" t="s">
        <v>31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21">
        <v>0</v>
      </c>
      <c r="T331" s="7" t="s">
        <v>32</v>
      </c>
    </row>
    <row r="332" spans="1:20" s="1" customFormat="1" ht="31.5" x14ac:dyDescent="0.25">
      <c r="A332" s="18" t="s">
        <v>666</v>
      </c>
      <c r="B332" s="22" t="s">
        <v>131</v>
      </c>
      <c r="C332" s="20" t="s">
        <v>31</v>
      </c>
      <c r="D332" s="7">
        <f t="shared" ref="D332:R332" si="137">SUM(D333:D338)</f>
        <v>555.4841967719999</v>
      </c>
      <c r="E332" s="7">
        <f t="shared" si="137"/>
        <v>136.01914832</v>
      </c>
      <c r="F332" s="7">
        <f t="shared" si="137"/>
        <v>419.46504845199991</v>
      </c>
      <c r="G332" s="7">
        <f t="shared" si="137"/>
        <v>82.396636409999999</v>
      </c>
      <c r="H332" s="7">
        <f t="shared" si="137"/>
        <v>62.849655499999997</v>
      </c>
      <c r="I332" s="7">
        <f t="shared" si="137"/>
        <v>1.4760850000000001</v>
      </c>
      <c r="J332" s="7">
        <f t="shared" si="137"/>
        <v>7.91738769</v>
      </c>
      <c r="K332" s="7">
        <f t="shared" si="137"/>
        <v>13.09054143</v>
      </c>
      <c r="L332" s="7">
        <f t="shared" si="137"/>
        <v>1.2335423100000003</v>
      </c>
      <c r="M332" s="7">
        <f t="shared" si="137"/>
        <v>47.524084999999999</v>
      </c>
      <c r="N332" s="7">
        <f t="shared" si="137"/>
        <v>32.633780260000002</v>
      </c>
      <c r="O332" s="7">
        <f t="shared" si="137"/>
        <v>20.305924980000007</v>
      </c>
      <c r="P332" s="7">
        <f t="shared" si="137"/>
        <v>21.06494524</v>
      </c>
      <c r="Q332" s="7">
        <f t="shared" si="137"/>
        <v>356.61539295199998</v>
      </c>
      <c r="R332" s="7">
        <f t="shared" si="137"/>
        <v>-19.546980910000006</v>
      </c>
      <c r="S332" s="21">
        <f>R332/(I332+K332+M332+O332)</f>
        <v>-0.23723032591689264</v>
      </c>
      <c r="T332" s="7" t="s">
        <v>32</v>
      </c>
    </row>
    <row r="333" spans="1:20" s="1" customFormat="1" ht="31.5" x14ac:dyDescent="0.25">
      <c r="A333" s="26" t="s">
        <v>666</v>
      </c>
      <c r="B333" s="47" t="s">
        <v>667</v>
      </c>
      <c r="C333" s="33" t="s">
        <v>668</v>
      </c>
      <c r="D333" s="29">
        <v>543.07379677199992</v>
      </c>
      <c r="E333" s="29">
        <v>136.01914832</v>
      </c>
      <c r="F333" s="29">
        <f t="shared" ref="F333:F338" si="138">D333-E333</f>
        <v>407.05464845199992</v>
      </c>
      <c r="G333" s="30">
        <v>69.986236410000004</v>
      </c>
      <c r="H333" s="29">
        <f t="shared" ref="H333:H338" si="139">J333+L333+N333+P333</f>
        <v>55.036879409999997</v>
      </c>
      <c r="I333" s="29">
        <v>1.4760850000000001</v>
      </c>
      <c r="J333" s="29">
        <v>7.91738769</v>
      </c>
      <c r="K333" s="29">
        <v>13.09054143</v>
      </c>
      <c r="L333" s="29">
        <v>1.11043527</v>
      </c>
      <c r="M333" s="29">
        <v>35.506084999999999</v>
      </c>
      <c r="N333" s="29">
        <f>25314.11099/1000</f>
        <v>25.31411099</v>
      </c>
      <c r="O333" s="29">
        <f>G333-I333-K333-M333</f>
        <v>19.913524980000005</v>
      </c>
      <c r="P333" s="29">
        <v>20.69494546</v>
      </c>
      <c r="Q333" s="29">
        <f t="shared" ref="Q333:Q338" si="140">F333-H333</f>
        <v>352.01776904199994</v>
      </c>
      <c r="R333" s="29">
        <f t="shared" ref="R333:R338" si="141">H333-(I333+K333+M333+O333)</f>
        <v>-14.949357000000006</v>
      </c>
      <c r="S333" s="31">
        <f t="shared" ref="S333:S396" si="142">R333/(I333+K333+M333+O333)</f>
        <v>-0.2136042423030475</v>
      </c>
      <c r="T333" s="29" t="s">
        <v>669</v>
      </c>
    </row>
    <row r="334" spans="1:20" s="1" customFormat="1" x14ac:dyDescent="0.25">
      <c r="A334" s="26" t="s">
        <v>666</v>
      </c>
      <c r="B334" s="47" t="s">
        <v>670</v>
      </c>
      <c r="C334" s="33" t="s">
        <v>671</v>
      </c>
      <c r="D334" s="29">
        <v>12</v>
      </c>
      <c r="E334" s="29">
        <v>0</v>
      </c>
      <c r="F334" s="29">
        <f t="shared" si="138"/>
        <v>12</v>
      </c>
      <c r="G334" s="30">
        <v>12</v>
      </c>
      <c r="H334" s="29">
        <f t="shared" si="139"/>
        <v>7.4</v>
      </c>
      <c r="I334" s="29">
        <v>0</v>
      </c>
      <c r="J334" s="29">
        <v>0</v>
      </c>
      <c r="K334" s="29">
        <v>0</v>
      </c>
      <c r="L334" s="29">
        <v>0</v>
      </c>
      <c r="M334" s="29">
        <v>12</v>
      </c>
      <c r="N334" s="29">
        <f>7030/1000</f>
        <v>7.03</v>
      </c>
      <c r="O334" s="29">
        <v>0</v>
      </c>
      <c r="P334" s="29">
        <v>0.37</v>
      </c>
      <c r="Q334" s="29">
        <f t="shared" si="140"/>
        <v>4.5999999999999996</v>
      </c>
      <c r="R334" s="29">
        <f t="shared" si="141"/>
        <v>-4.5999999999999996</v>
      </c>
      <c r="S334" s="31">
        <f t="shared" si="142"/>
        <v>-0.3833333333333333</v>
      </c>
      <c r="T334" s="29" t="s">
        <v>672</v>
      </c>
    </row>
    <row r="335" spans="1:20" s="1" customFormat="1" ht="31.5" x14ac:dyDescent="0.25">
      <c r="A335" s="26" t="s">
        <v>666</v>
      </c>
      <c r="B335" s="47" t="s">
        <v>673</v>
      </c>
      <c r="C335" s="33" t="s">
        <v>674</v>
      </c>
      <c r="D335" s="29">
        <v>0.12840000000000001</v>
      </c>
      <c r="E335" s="29">
        <v>0</v>
      </c>
      <c r="F335" s="29">
        <f t="shared" si="138"/>
        <v>0.12840000000000001</v>
      </c>
      <c r="G335" s="30">
        <v>0.12840000000000001</v>
      </c>
      <c r="H335" s="29">
        <f t="shared" si="139"/>
        <v>0.11564444000000002</v>
      </c>
      <c r="I335" s="29">
        <v>0</v>
      </c>
      <c r="J335" s="29">
        <v>0</v>
      </c>
      <c r="K335" s="29">
        <v>0</v>
      </c>
      <c r="L335" s="29">
        <v>3.8519999999999999E-2</v>
      </c>
      <c r="M335" s="29">
        <v>0</v>
      </c>
      <c r="N335" s="29">
        <f>77.12466/1000</f>
        <v>7.7124660000000012E-2</v>
      </c>
      <c r="O335" s="29">
        <v>0.12840000000000001</v>
      </c>
      <c r="P335" s="29">
        <v>-2.2000000000000001E-7</v>
      </c>
      <c r="Q335" s="29">
        <f t="shared" si="140"/>
        <v>1.2755559999999999E-2</v>
      </c>
      <c r="R335" s="29">
        <f t="shared" si="141"/>
        <v>-1.2755559999999999E-2</v>
      </c>
      <c r="S335" s="31">
        <f t="shared" si="142"/>
        <v>-9.9342367601246082E-2</v>
      </c>
      <c r="T335" s="29" t="s">
        <v>32</v>
      </c>
    </row>
    <row r="336" spans="1:20" s="1" customFormat="1" ht="31.5" x14ac:dyDescent="0.25">
      <c r="A336" s="26" t="s">
        <v>666</v>
      </c>
      <c r="B336" s="47" t="s">
        <v>675</v>
      </c>
      <c r="C336" s="33" t="s">
        <v>676</v>
      </c>
      <c r="D336" s="29">
        <v>0.13200000000000001</v>
      </c>
      <c r="E336" s="29">
        <v>0</v>
      </c>
      <c r="F336" s="29">
        <f t="shared" si="138"/>
        <v>0.13200000000000001</v>
      </c>
      <c r="G336" s="30">
        <v>0.13200000000000001</v>
      </c>
      <c r="H336" s="29">
        <f t="shared" si="139"/>
        <v>0.11774322000000001</v>
      </c>
      <c r="I336" s="29">
        <v>0</v>
      </c>
      <c r="J336" s="29">
        <v>0</v>
      </c>
      <c r="K336" s="29">
        <v>0</v>
      </c>
      <c r="L336" s="29">
        <v>3.9600000000000003E-2</v>
      </c>
      <c r="M336" s="29">
        <v>0</v>
      </c>
      <c r="N336" s="29">
        <f>78.14322/1000</f>
        <v>7.8143219999999999E-2</v>
      </c>
      <c r="O336" s="29">
        <v>0.13200000000000001</v>
      </c>
      <c r="P336" s="29">
        <v>0</v>
      </c>
      <c r="Q336" s="29">
        <f t="shared" si="140"/>
        <v>1.4256779999999997E-2</v>
      </c>
      <c r="R336" s="29">
        <f t="shared" si="141"/>
        <v>-1.4256779999999997E-2</v>
      </c>
      <c r="S336" s="31">
        <f t="shared" si="142"/>
        <v>-0.10800590909090906</v>
      </c>
      <c r="T336" s="29" t="s">
        <v>630</v>
      </c>
    </row>
    <row r="337" spans="1:20" s="1" customFormat="1" ht="31.5" x14ac:dyDescent="0.25">
      <c r="A337" s="26" t="s">
        <v>666</v>
      </c>
      <c r="B337" s="47" t="s">
        <v>677</v>
      </c>
      <c r="C337" s="33" t="s">
        <v>678</v>
      </c>
      <c r="D337" s="29">
        <v>0.1128</v>
      </c>
      <c r="E337" s="29">
        <v>0</v>
      </c>
      <c r="F337" s="29">
        <f t="shared" si="138"/>
        <v>0.1128</v>
      </c>
      <c r="G337" s="30">
        <v>0.1128</v>
      </c>
      <c r="H337" s="29">
        <f t="shared" si="139"/>
        <v>0.14052865</v>
      </c>
      <c r="I337" s="29">
        <v>0</v>
      </c>
      <c r="J337" s="29">
        <v>0</v>
      </c>
      <c r="K337" s="29">
        <v>0</v>
      </c>
      <c r="L337" s="29">
        <v>3.3840000000000002E-2</v>
      </c>
      <c r="M337" s="29">
        <v>0</v>
      </c>
      <c r="N337" s="29">
        <f>106.68865/1000</f>
        <v>0.10668865</v>
      </c>
      <c r="O337" s="29">
        <v>0.1128</v>
      </c>
      <c r="P337" s="29">
        <v>0</v>
      </c>
      <c r="Q337" s="29">
        <f t="shared" si="140"/>
        <v>-2.7728650000000007E-2</v>
      </c>
      <c r="R337" s="29">
        <f t="shared" si="141"/>
        <v>2.7728650000000007E-2</v>
      </c>
      <c r="S337" s="31">
        <f t="shared" si="142"/>
        <v>0.24582136524822701</v>
      </c>
      <c r="T337" s="29" t="s">
        <v>630</v>
      </c>
    </row>
    <row r="338" spans="1:20" s="1" customFormat="1" ht="31.5" x14ac:dyDescent="0.25">
      <c r="A338" s="26" t="s">
        <v>666</v>
      </c>
      <c r="B338" s="47" t="s">
        <v>679</v>
      </c>
      <c r="C338" s="33" t="s">
        <v>680</v>
      </c>
      <c r="D338" s="29">
        <v>3.7199999999999997E-2</v>
      </c>
      <c r="E338" s="29">
        <v>0</v>
      </c>
      <c r="F338" s="29">
        <f t="shared" si="138"/>
        <v>3.7199999999999997E-2</v>
      </c>
      <c r="G338" s="30">
        <v>3.7199999999999997E-2</v>
      </c>
      <c r="H338" s="29">
        <f t="shared" si="139"/>
        <v>3.8859779999999997E-2</v>
      </c>
      <c r="I338" s="29">
        <v>0</v>
      </c>
      <c r="J338" s="29">
        <v>0</v>
      </c>
      <c r="K338" s="29">
        <v>0</v>
      </c>
      <c r="L338" s="29">
        <v>1.114704E-2</v>
      </c>
      <c r="M338" s="29">
        <v>1.7999999999999999E-2</v>
      </c>
      <c r="N338" s="29">
        <f>27.71274/1000</f>
        <v>2.771274E-2</v>
      </c>
      <c r="O338" s="29">
        <v>1.9199999999999998E-2</v>
      </c>
      <c r="P338" s="29">
        <v>0</v>
      </c>
      <c r="Q338" s="29">
        <f t="shared" si="140"/>
        <v>-1.6597799999999996E-3</v>
      </c>
      <c r="R338" s="29">
        <f t="shared" si="141"/>
        <v>1.6597799999999996E-3</v>
      </c>
      <c r="S338" s="31">
        <f t="shared" si="142"/>
        <v>4.4617741935483866E-2</v>
      </c>
      <c r="T338" s="29" t="s">
        <v>681</v>
      </c>
    </row>
    <row r="339" spans="1:20" s="1" customFormat="1" ht="31.5" x14ac:dyDescent="0.25">
      <c r="A339" s="18" t="s">
        <v>682</v>
      </c>
      <c r="B339" s="22" t="s">
        <v>156</v>
      </c>
      <c r="C339" s="20" t="s">
        <v>31</v>
      </c>
      <c r="D339" s="7">
        <f t="shared" ref="D339:R339" si="143">D340+D355+D357+D378</f>
        <v>4435.0790473125426</v>
      </c>
      <c r="E339" s="7">
        <f t="shared" si="143"/>
        <v>1752.7100220500001</v>
      </c>
      <c r="F339" s="7">
        <f t="shared" si="143"/>
        <v>2682.3690252625415</v>
      </c>
      <c r="G339" s="7">
        <f t="shared" si="143"/>
        <v>573.36456225438769</v>
      </c>
      <c r="H339" s="7">
        <f t="shared" si="143"/>
        <v>502.32826276999998</v>
      </c>
      <c r="I339" s="7">
        <f t="shared" si="143"/>
        <v>76.040511293356076</v>
      </c>
      <c r="J339" s="7">
        <f t="shared" si="143"/>
        <v>128.51434872000002</v>
      </c>
      <c r="K339" s="7">
        <f t="shared" si="143"/>
        <v>17.583476775999998</v>
      </c>
      <c r="L339" s="7">
        <f t="shared" si="143"/>
        <v>134.77597190999998</v>
      </c>
      <c r="M339" s="7">
        <f t="shared" si="143"/>
        <v>166.71147767799999</v>
      </c>
      <c r="N339" s="7">
        <f t="shared" si="143"/>
        <v>111.40566630000001</v>
      </c>
      <c r="O339" s="7">
        <f t="shared" si="143"/>
        <v>313.02909650703157</v>
      </c>
      <c r="P339" s="7">
        <f t="shared" si="143"/>
        <v>127.63227583999999</v>
      </c>
      <c r="Q339" s="7">
        <f t="shared" si="143"/>
        <v>2180.0407624925429</v>
      </c>
      <c r="R339" s="7">
        <f t="shared" si="143"/>
        <v>-71.036299484387683</v>
      </c>
      <c r="S339" s="21">
        <f t="shared" si="142"/>
        <v>-0.12389377398052485</v>
      </c>
      <c r="T339" s="7" t="s">
        <v>32</v>
      </c>
    </row>
    <row r="340" spans="1:20" s="1" customFormat="1" ht="31.5" x14ac:dyDescent="0.25">
      <c r="A340" s="18" t="s">
        <v>683</v>
      </c>
      <c r="B340" s="22" t="s">
        <v>158</v>
      </c>
      <c r="C340" s="20" t="s">
        <v>31</v>
      </c>
      <c r="D340" s="7">
        <f t="shared" ref="D340:R340" si="144">SUM(D341:D354)</f>
        <v>1550.7815015839997</v>
      </c>
      <c r="E340" s="7">
        <f t="shared" si="144"/>
        <v>1321.8950458100001</v>
      </c>
      <c r="F340" s="7">
        <f t="shared" si="144"/>
        <v>228.88645577399998</v>
      </c>
      <c r="G340" s="7">
        <f t="shared" si="144"/>
        <v>120.56800563000002</v>
      </c>
      <c r="H340" s="7">
        <f t="shared" si="144"/>
        <v>107.87594457</v>
      </c>
      <c r="I340" s="7">
        <f t="shared" si="144"/>
        <v>62.074685894000005</v>
      </c>
      <c r="J340" s="7">
        <f t="shared" si="144"/>
        <v>84.306088250000002</v>
      </c>
      <c r="K340" s="7">
        <f t="shared" si="144"/>
        <v>0</v>
      </c>
      <c r="L340" s="7">
        <f t="shared" si="144"/>
        <v>23.569856320000003</v>
      </c>
      <c r="M340" s="7">
        <f t="shared" si="144"/>
        <v>0</v>
      </c>
      <c r="N340" s="7">
        <f t="shared" si="144"/>
        <v>0</v>
      </c>
      <c r="O340" s="7">
        <f t="shared" si="144"/>
        <v>58.493319735999989</v>
      </c>
      <c r="P340" s="7">
        <f t="shared" si="144"/>
        <v>0</v>
      </c>
      <c r="Q340" s="7">
        <f t="shared" si="144"/>
        <v>121.01051120399997</v>
      </c>
      <c r="R340" s="7">
        <f t="shared" si="144"/>
        <v>-12.692061060000007</v>
      </c>
      <c r="S340" s="21">
        <f t="shared" si="142"/>
        <v>-0.10526889777831692</v>
      </c>
      <c r="T340" s="7" t="s">
        <v>32</v>
      </c>
    </row>
    <row r="341" spans="1:20" s="1" customFormat="1" ht="47.25" x14ac:dyDescent="0.25">
      <c r="A341" s="26" t="s">
        <v>683</v>
      </c>
      <c r="B341" s="47" t="s">
        <v>684</v>
      </c>
      <c r="C341" s="33" t="s">
        <v>685</v>
      </c>
      <c r="D341" s="29">
        <v>93.823018149999996</v>
      </c>
      <c r="E341" s="29">
        <v>89.651823069999992</v>
      </c>
      <c r="F341" s="29">
        <f t="shared" ref="F341:F345" si="145">D341-E341</f>
        <v>4.1711950800000039</v>
      </c>
      <c r="G341" s="30">
        <v>4.1711950800000004</v>
      </c>
      <c r="H341" s="29">
        <f t="shared" ref="H341:H354" si="146">J341+L341+N341+P341</f>
        <v>4.1711950800000004</v>
      </c>
      <c r="I341" s="29">
        <v>1.1739464699999971</v>
      </c>
      <c r="J341" s="29">
        <v>4.1711950800000004</v>
      </c>
      <c r="K341" s="29">
        <v>0</v>
      </c>
      <c r="L341" s="29">
        <v>0</v>
      </c>
      <c r="M341" s="29">
        <v>0</v>
      </c>
      <c r="N341" s="29">
        <v>0</v>
      </c>
      <c r="O341" s="29">
        <f>G341-I341-K341-M341</f>
        <v>2.9972486100000033</v>
      </c>
      <c r="P341" s="29">
        <v>0</v>
      </c>
      <c r="Q341" s="29">
        <f t="shared" ref="Q341:Q354" si="147">F341-H341</f>
        <v>0</v>
      </c>
      <c r="R341" s="29">
        <f t="shared" ref="R341:R405" si="148">H341-(I341+K341+M341+O341)</f>
        <v>0</v>
      </c>
      <c r="S341" s="31">
        <f t="shared" si="142"/>
        <v>0</v>
      </c>
      <c r="T341" s="29" t="s">
        <v>32</v>
      </c>
    </row>
    <row r="342" spans="1:20" s="1" customFormat="1" ht="31.5" x14ac:dyDescent="0.25">
      <c r="A342" s="26" t="s">
        <v>683</v>
      </c>
      <c r="B342" s="47" t="s">
        <v>686</v>
      </c>
      <c r="C342" s="33" t="s">
        <v>687</v>
      </c>
      <c r="D342" s="29">
        <v>83.089950143999999</v>
      </c>
      <c r="E342" s="29">
        <v>0</v>
      </c>
      <c r="F342" s="29">
        <f t="shared" si="145"/>
        <v>83.089950143999999</v>
      </c>
      <c r="G342" s="30">
        <v>8.4915000000000003</v>
      </c>
      <c r="H342" s="29">
        <f t="shared" si="146"/>
        <v>0</v>
      </c>
      <c r="I342" s="29">
        <v>0</v>
      </c>
      <c r="J342" s="29">
        <v>0</v>
      </c>
      <c r="K342" s="29">
        <v>0</v>
      </c>
      <c r="L342" s="29">
        <v>0</v>
      </c>
      <c r="M342" s="29">
        <v>0</v>
      </c>
      <c r="N342" s="29">
        <v>0</v>
      </c>
      <c r="O342" s="29">
        <v>8.4915000000000003</v>
      </c>
      <c r="P342" s="29">
        <v>0</v>
      </c>
      <c r="Q342" s="29">
        <f t="shared" si="147"/>
        <v>83.089950143999999</v>
      </c>
      <c r="R342" s="29">
        <f t="shared" si="148"/>
        <v>-8.4915000000000003</v>
      </c>
      <c r="S342" s="31">
        <f t="shared" si="142"/>
        <v>-1</v>
      </c>
      <c r="T342" s="29" t="s">
        <v>688</v>
      </c>
    </row>
    <row r="343" spans="1:20" s="1" customFormat="1" ht="31.5" x14ac:dyDescent="0.25">
      <c r="A343" s="26" t="s">
        <v>683</v>
      </c>
      <c r="B343" s="47" t="s">
        <v>689</v>
      </c>
      <c r="C343" s="33" t="s">
        <v>690</v>
      </c>
      <c r="D343" s="29">
        <v>36.72</v>
      </c>
      <c r="E343" s="29">
        <v>0</v>
      </c>
      <c r="F343" s="29">
        <f t="shared" si="145"/>
        <v>36.72</v>
      </c>
      <c r="G343" s="30">
        <v>3</v>
      </c>
      <c r="H343" s="29">
        <f t="shared" si="146"/>
        <v>0</v>
      </c>
      <c r="I343" s="29">
        <v>0</v>
      </c>
      <c r="J343" s="29">
        <v>0</v>
      </c>
      <c r="K343" s="29">
        <v>0</v>
      </c>
      <c r="L343" s="29">
        <v>0</v>
      </c>
      <c r="M343" s="29">
        <v>0</v>
      </c>
      <c r="N343" s="29">
        <v>0</v>
      </c>
      <c r="O343" s="29">
        <v>3</v>
      </c>
      <c r="P343" s="29">
        <v>0</v>
      </c>
      <c r="Q343" s="29">
        <f t="shared" si="147"/>
        <v>36.72</v>
      </c>
      <c r="R343" s="29">
        <f t="shared" si="148"/>
        <v>-3</v>
      </c>
      <c r="S343" s="31">
        <f t="shared" si="142"/>
        <v>-1</v>
      </c>
      <c r="T343" s="29" t="s">
        <v>688</v>
      </c>
    </row>
    <row r="344" spans="1:20" s="1" customFormat="1" ht="33.75" customHeight="1" x14ac:dyDescent="0.25">
      <c r="A344" s="26" t="s">
        <v>683</v>
      </c>
      <c r="B344" s="47" t="s">
        <v>691</v>
      </c>
      <c r="C344" s="33" t="s">
        <v>692</v>
      </c>
      <c r="D344" s="29">
        <v>924.33017974999996</v>
      </c>
      <c r="E344" s="29">
        <v>857.51221389</v>
      </c>
      <c r="F344" s="29">
        <f t="shared" si="145"/>
        <v>66.817965859999958</v>
      </c>
      <c r="G344" s="30">
        <v>66.817965860000001</v>
      </c>
      <c r="H344" s="29">
        <f t="shared" si="146"/>
        <v>66.821667379999994</v>
      </c>
      <c r="I344" s="29">
        <v>41.641015992</v>
      </c>
      <c r="J344" s="29">
        <v>52.556599949999999</v>
      </c>
      <c r="K344" s="29">
        <v>0</v>
      </c>
      <c r="L344" s="29">
        <v>14.26506743</v>
      </c>
      <c r="M344" s="29">
        <v>0</v>
      </c>
      <c r="N344" s="29">
        <v>0</v>
      </c>
      <c r="O344" s="29">
        <f>G344-I344-K344-M344</f>
        <v>25.176949868000001</v>
      </c>
      <c r="P344" s="29">
        <v>0</v>
      </c>
      <c r="Q344" s="29">
        <f t="shared" si="147"/>
        <v>-3.7015200000354298E-3</v>
      </c>
      <c r="R344" s="29">
        <f t="shared" si="148"/>
        <v>3.7015199999927972E-3</v>
      </c>
      <c r="S344" s="31">
        <f t="shared" si="142"/>
        <v>5.5397077003936158E-5</v>
      </c>
      <c r="T344" s="29" t="s">
        <v>693</v>
      </c>
    </row>
    <row r="345" spans="1:20" s="1" customFormat="1" x14ac:dyDescent="0.25">
      <c r="A345" s="26" t="s">
        <v>683</v>
      </c>
      <c r="B345" s="47" t="s">
        <v>694</v>
      </c>
      <c r="C345" s="33" t="s">
        <v>695</v>
      </c>
      <c r="D345" s="29">
        <v>8.1639612099999983</v>
      </c>
      <c r="E345" s="29">
        <v>3.4791120000000002E-2</v>
      </c>
      <c r="F345" s="29">
        <f t="shared" si="145"/>
        <v>8.1291700899999988</v>
      </c>
      <c r="G345" s="30">
        <v>8.1291700899999988</v>
      </c>
      <c r="H345" s="29">
        <f t="shared" si="146"/>
        <v>6.8850675100000007</v>
      </c>
      <c r="I345" s="29">
        <v>0</v>
      </c>
      <c r="J345" s="29">
        <v>3.5216192899999998</v>
      </c>
      <c r="K345" s="29">
        <v>0</v>
      </c>
      <c r="L345" s="29">
        <v>3.3634482200000004</v>
      </c>
      <c r="M345" s="29">
        <v>0</v>
      </c>
      <c r="N345" s="29">
        <v>0</v>
      </c>
      <c r="O345" s="29">
        <v>8.1291700899999988</v>
      </c>
      <c r="P345" s="29">
        <v>0</v>
      </c>
      <c r="Q345" s="29">
        <f t="shared" si="147"/>
        <v>1.2441025799999981</v>
      </c>
      <c r="R345" s="29">
        <f t="shared" si="148"/>
        <v>-1.2441025799999981</v>
      </c>
      <c r="S345" s="31">
        <f t="shared" si="142"/>
        <v>-0.15304177009783765</v>
      </c>
      <c r="T345" s="29" t="s">
        <v>163</v>
      </c>
    </row>
    <row r="346" spans="1:20" s="1" customFormat="1" ht="31.5" x14ac:dyDescent="0.25">
      <c r="A346" s="26" t="s">
        <v>683</v>
      </c>
      <c r="B346" s="47" t="s">
        <v>696</v>
      </c>
      <c r="C346" s="33" t="s">
        <v>697</v>
      </c>
      <c r="D346" s="29">
        <v>25.722555379999999</v>
      </c>
      <c r="E346" s="29">
        <f>D346-F346</f>
        <v>23.286483860000001</v>
      </c>
      <c r="F346" s="29">
        <v>2.43607152</v>
      </c>
      <c r="G346" s="29">
        <v>2.43607152</v>
      </c>
      <c r="H346" s="29">
        <f t="shared" si="146"/>
        <v>2.43607152</v>
      </c>
      <c r="I346" s="29">
        <v>0</v>
      </c>
      <c r="J346" s="29">
        <v>2.43607152</v>
      </c>
      <c r="K346" s="29">
        <v>0</v>
      </c>
      <c r="L346" s="29">
        <v>0</v>
      </c>
      <c r="M346" s="29">
        <v>0</v>
      </c>
      <c r="N346" s="29">
        <v>0</v>
      </c>
      <c r="O346" s="29">
        <v>2.43607152</v>
      </c>
      <c r="P346" s="29">
        <v>0</v>
      </c>
      <c r="Q346" s="29">
        <f t="shared" si="147"/>
        <v>0</v>
      </c>
      <c r="R346" s="29">
        <f t="shared" si="148"/>
        <v>0</v>
      </c>
      <c r="S346" s="31">
        <f t="shared" si="142"/>
        <v>0</v>
      </c>
      <c r="T346" s="29" t="s">
        <v>237</v>
      </c>
    </row>
    <row r="347" spans="1:20" s="1" customFormat="1" ht="31.5" x14ac:dyDescent="0.25">
      <c r="A347" s="26" t="s">
        <v>683</v>
      </c>
      <c r="B347" s="47" t="s">
        <v>698</v>
      </c>
      <c r="C347" s="33" t="s">
        <v>699</v>
      </c>
      <c r="D347" s="29">
        <v>83.012066180000005</v>
      </c>
      <c r="E347" s="29">
        <v>76.545432259999998</v>
      </c>
      <c r="F347" s="29">
        <f>D347-E347</f>
        <v>6.4666339200000067</v>
      </c>
      <c r="G347" s="30">
        <v>6.4666339200000005</v>
      </c>
      <c r="H347" s="29">
        <f t="shared" si="146"/>
        <v>6.4666339200000005</v>
      </c>
      <c r="I347" s="29">
        <v>6.443541432</v>
      </c>
      <c r="J347" s="29">
        <v>0.56513325000000003</v>
      </c>
      <c r="K347" s="29">
        <v>0</v>
      </c>
      <c r="L347" s="29">
        <v>5.9015006700000008</v>
      </c>
      <c r="M347" s="29">
        <v>0</v>
      </c>
      <c r="N347" s="29">
        <v>0</v>
      </c>
      <c r="O347" s="29">
        <f>G347-I347-K347-M347</f>
        <v>2.3092488000000522E-2</v>
      </c>
      <c r="P347" s="29">
        <v>0</v>
      </c>
      <c r="Q347" s="29">
        <f t="shared" si="147"/>
        <v>0</v>
      </c>
      <c r="R347" s="29">
        <f t="shared" si="148"/>
        <v>0</v>
      </c>
      <c r="S347" s="31">
        <f t="shared" si="142"/>
        <v>0</v>
      </c>
      <c r="T347" s="29" t="s">
        <v>700</v>
      </c>
    </row>
    <row r="348" spans="1:20" s="1" customFormat="1" ht="31.5" x14ac:dyDescent="0.25">
      <c r="A348" s="26" t="s">
        <v>683</v>
      </c>
      <c r="B348" s="47" t="s">
        <v>701</v>
      </c>
      <c r="C348" s="33" t="s">
        <v>702</v>
      </c>
      <c r="D348" s="29">
        <v>7.2057080099999995</v>
      </c>
      <c r="E348" s="29">
        <f>D348-F348</f>
        <v>5.7338036099999998</v>
      </c>
      <c r="F348" s="29">
        <v>1.4719043999999999</v>
      </c>
      <c r="G348" s="29">
        <v>1.4719043999999999</v>
      </c>
      <c r="H348" s="29">
        <f t="shared" si="146"/>
        <v>1.4719043999999999</v>
      </c>
      <c r="I348" s="29">
        <v>0</v>
      </c>
      <c r="J348" s="29">
        <v>1.4719043999999999</v>
      </c>
      <c r="K348" s="29">
        <v>0</v>
      </c>
      <c r="L348" s="29">
        <v>0</v>
      </c>
      <c r="M348" s="29">
        <v>0</v>
      </c>
      <c r="N348" s="29">
        <v>0</v>
      </c>
      <c r="O348" s="29">
        <v>1.4719043999999999</v>
      </c>
      <c r="P348" s="29">
        <v>0</v>
      </c>
      <c r="Q348" s="29">
        <f t="shared" si="147"/>
        <v>0</v>
      </c>
      <c r="R348" s="29">
        <f t="shared" si="148"/>
        <v>0</v>
      </c>
      <c r="S348" s="31">
        <f t="shared" si="142"/>
        <v>0</v>
      </c>
      <c r="T348" s="29" t="s">
        <v>237</v>
      </c>
    </row>
    <row r="349" spans="1:20" s="1" customFormat="1" ht="29.25" customHeight="1" x14ac:dyDescent="0.25">
      <c r="A349" s="26" t="s">
        <v>683</v>
      </c>
      <c r="B349" s="47" t="s">
        <v>703</v>
      </c>
      <c r="C349" s="33" t="s">
        <v>704</v>
      </c>
      <c r="D349" s="29">
        <v>6.9125581799999996</v>
      </c>
      <c r="E349" s="29">
        <f>D349-F349</f>
        <v>6.4514462999999997</v>
      </c>
      <c r="F349" s="29">
        <v>0.46111187999999997</v>
      </c>
      <c r="G349" s="29">
        <v>0.46111187999999997</v>
      </c>
      <c r="H349" s="29">
        <f t="shared" si="146"/>
        <v>0.46111187999999997</v>
      </c>
      <c r="I349" s="29">
        <v>0</v>
      </c>
      <c r="J349" s="29">
        <v>0.46111187999999997</v>
      </c>
      <c r="K349" s="29">
        <v>0</v>
      </c>
      <c r="L349" s="29">
        <v>0</v>
      </c>
      <c r="M349" s="29">
        <v>0</v>
      </c>
      <c r="N349" s="29">
        <v>0</v>
      </c>
      <c r="O349" s="29">
        <v>0.46111187999999997</v>
      </c>
      <c r="P349" s="29">
        <v>0</v>
      </c>
      <c r="Q349" s="29">
        <f t="shared" si="147"/>
        <v>0</v>
      </c>
      <c r="R349" s="29">
        <f t="shared" si="148"/>
        <v>0</v>
      </c>
      <c r="S349" s="31">
        <f t="shared" si="142"/>
        <v>0</v>
      </c>
      <c r="T349" s="29" t="s">
        <v>237</v>
      </c>
    </row>
    <row r="350" spans="1:20" s="1" customFormat="1" x14ac:dyDescent="0.25">
      <c r="A350" s="26" t="s">
        <v>683</v>
      </c>
      <c r="B350" s="47" t="s">
        <v>705</v>
      </c>
      <c r="C350" s="33" t="s">
        <v>706</v>
      </c>
      <c r="D350" s="29">
        <v>134.47254519000001</v>
      </c>
      <c r="E350" s="29">
        <v>126.35636319000001</v>
      </c>
      <c r="F350" s="29">
        <f>D350-E350</f>
        <v>8.1161819999999949</v>
      </c>
      <c r="G350" s="30">
        <v>8.1161820000000002</v>
      </c>
      <c r="H350" s="29">
        <f t="shared" si="146"/>
        <v>8.1161820000000002</v>
      </c>
      <c r="I350" s="29">
        <v>8.1161820000000002</v>
      </c>
      <c r="J350" s="29">
        <v>8.1161820000000002</v>
      </c>
      <c r="K350" s="29">
        <v>0</v>
      </c>
      <c r="L350" s="29">
        <v>0</v>
      </c>
      <c r="M350" s="29">
        <v>0</v>
      </c>
      <c r="N350" s="29">
        <v>0</v>
      </c>
      <c r="O350" s="29">
        <v>0</v>
      </c>
      <c r="P350" s="29">
        <v>0</v>
      </c>
      <c r="Q350" s="29">
        <f t="shared" si="147"/>
        <v>0</v>
      </c>
      <c r="R350" s="29">
        <f t="shared" si="148"/>
        <v>0</v>
      </c>
      <c r="S350" s="31">
        <f t="shared" si="142"/>
        <v>0</v>
      </c>
      <c r="T350" s="29" t="s">
        <v>32</v>
      </c>
    </row>
    <row r="351" spans="1:20" s="1" customFormat="1" ht="31.5" x14ac:dyDescent="0.25">
      <c r="A351" s="26" t="s">
        <v>683</v>
      </c>
      <c r="B351" s="47" t="s">
        <v>707</v>
      </c>
      <c r="C351" s="33" t="s">
        <v>708</v>
      </c>
      <c r="D351" s="29">
        <v>36.568239609999992</v>
      </c>
      <c r="E351" s="29">
        <f>D351-F351</f>
        <v>35.199550689999995</v>
      </c>
      <c r="F351" s="29">
        <v>1.3686889200000001</v>
      </c>
      <c r="G351" s="29">
        <v>1.3686889200000001</v>
      </c>
      <c r="H351" s="29">
        <f t="shared" si="146"/>
        <v>1.3686889200000001</v>
      </c>
      <c r="I351" s="29">
        <v>0</v>
      </c>
      <c r="J351" s="29">
        <v>1.3686889200000001</v>
      </c>
      <c r="K351" s="29">
        <v>0</v>
      </c>
      <c r="L351" s="29">
        <v>0</v>
      </c>
      <c r="M351" s="29">
        <v>0</v>
      </c>
      <c r="N351" s="29">
        <v>0</v>
      </c>
      <c r="O351" s="29">
        <v>1.3686889200000001</v>
      </c>
      <c r="P351" s="29">
        <v>0</v>
      </c>
      <c r="Q351" s="29">
        <f t="shared" si="147"/>
        <v>0</v>
      </c>
      <c r="R351" s="29">
        <f t="shared" si="148"/>
        <v>0</v>
      </c>
      <c r="S351" s="31">
        <f t="shared" si="142"/>
        <v>0</v>
      </c>
      <c r="T351" s="29" t="s">
        <v>237</v>
      </c>
    </row>
    <row r="352" spans="1:20" s="1" customFormat="1" ht="31.5" x14ac:dyDescent="0.25">
      <c r="A352" s="26" t="s">
        <v>683</v>
      </c>
      <c r="B352" s="47" t="s">
        <v>709</v>
      </c>
      <c r="C352" s="33" t="s">
        <v>710</v>
      </c>
      <c r="D352" s="29">
        <v>86.6054867</v>
      </c>
      <c r="E352" s="29">
        <v>78.538610779999999</v>
      </c>
      <c r="F352" s="29">
        <f>D352-E352</f>
        <v>8.0668759200000011</v>
      </c>
      <c r="G352" s="30">
        <v>8.0668759200000011</v>
      </c>
      <c r="H352" s="29">
        <f t="shared" si="146"/>
        <v>8.1067159199999992</v>
      </c>
      <c r="I352" s="29">
        <v>4.7</v>
      </c>
      <c r="J352" s="29">
        <v>8.0668759199999993</v>
      </c>
      <c r="K352" s="29">
        <v>0</v>
      </c>
      <c r="L352" s="29">
        <v>3.984E-2</v>
      </c>
      <c r="M352" s="29">
        <v>0</v>
      </c>
      <c r="N352" s="29">
        <v>0</v>
      </c>
      <c r="O352" s="29">
        <f>G352-I352-K352-M352</f>
        <v>3.3668759200000009</v>
      </c>
      <c r="P352" s="29">
        <v>0</v>
      </c>
      <c r="Q352" s="29">
        <f t="shared" si="147"/>
        <v>-3.9839999999998099E-2</v>
      </c>
      <c r="R352" s="29">
        <f t="shared" si="148"/>
        <v>3.9839999999998099E-2</v>
      </c>
      <c r="S352" s="31">
        <f t="shared" si="142"/>
        <v>4.9387148624938926E-3</v>
      </c>
      <c r="T352" s="29" t="s">
        <v>700</v>
      </c>
    </row>
    <row r="353" spans="1:20" s="1" customFormat="1" ht="31.5" x14ac:dyDescent="0.25">
      <c r="A353" s="26" t="s">
        <v>683</v>
      </c>
      <c r="B353" s="47" t="s">
        <v>711</v>
      </c>
      <c r="C353" s="33" t="s">
        <v>712</v>
      </c>
      <c r="D353" s="29">
        <v>0.19146960000000002</v>
      </c>
      <c r="E353" s="29">
        <v>0</v>
      </c>
      <c r="F353" s="29">
        <f>D353-E353</f>
        <v>0.19146960000000002</v>
      </c>
      <c r="G353" s="30">
        <v>0.19146960000000002</v>
      </c>
      <c r="H353" s="29">
        <f t="shared" si="146"/>
        <v>0.19146959999999999</v>
      </c>
      <c r="I353" s="29">
        <v>0</v>
      </c>
      <c r="J353" s="29">
        <v>0.19146959999999999</v>
      </c>
      <c r="K353" s="29">
        <v>0</v>
      </c>
      <c r="L353" s="29">
        <v>0</v>
      </c>
      <c r="M353" s="29">
        <v>0</v>
      </c>
      <c r="N353" s="29">
        <v>0</v>
      </c>
      <c r="O353" s="29">
        <v>0.19146960000000002</v>
      </c>
      <c r="P353" s="29">
        <v>0</v>
      </c>
      <c r="Q353" s="29">
        <f t="shared" si="147"/>
        <v>0</v>
      </c>
      <c r="R353" s="29">
        <f t="shared" si="148"/>
        <v>0</v>
      </c>
      <c r="S353" s="31">
        <f t="shared" si="142"/>
        <v>0</v>
      </c>
      <c r="T353" s="29" t="s">
        <v>163</v>
      </c>
    </row>
    <row r="354" spans="1:20" s="1" customFormat="1" ht="52.5" customHeight="1" x14ac:dyDescent="0.25">
      <c r="A354" s="26" t="s">
        <v>683</v>
      </c>
      <c r="B354" s="47" t="s">
        <v>713</v>
      </c>
      <c r="C354" s="33" t="s">
        <v>714</v>
      </c>
      <c r="D354" s="29">
        <v>23.963763480000001</v>
      </c>
      <c r="E354" s="29">
        <f>D354-F354</f>
        <v>22.584527040000001</v>
      </c>
      <c r="F354" s="29">
        <v>1.3792364399999999</v>
      </c>
      <c r="G354" s="29">
        <v>1.3792364399999999</v>
      </c>
      <c r="H354" s="29">
        <f t="shared" si="146"/>
        <v>1.3792364399999999</v>
      </c>
      <c r="I354" s="29">
        <v>0</v>
      </c>
      <c r="J354" s="29">
        <v>1.3792364399999999</v>
      </c>
      <c r="K354" s="29">
        <v>0</v>
      </c>
      <c r="L354" s="29">
        <v>0</v>
      </c>
      <c r="M354" s="29">
        <v>0</v>
      </c>
      <c r="N354" s="29">
        <v>0</v>
      </c>
      <c r="O354" s="29">
        <v>1.3792364399999999</v>
      </c>
      <c r="P354" s="29">
        <v>0</v>
      </c>
      <c r="Q354" s="29">
        <f t="shared" si="147"/>
        <v>0</v>
      </c>
      <c r="R354" s="29">
        <f t="shared" si="148"/>
        <v>0</v>
      </c>
      <c r="S354" s="31">
        <f t="shared" si="142"/>
        <v>0</v>
      </c>
      <c r="T354" s="29" t="s">
        <v>237</v>
      </c>
    </row>
    <row r="355" spans="1:20" s="1" customFormat="1" ht="42" customHeight="1" x14ac:dyDescent="0.25">
      <c r="A355" s="18" t="s">
        <v>715</v>
      </c>
      <c r="B355" s="22" t="s">
        <v>188</v>
      </c>
      <c r="C355" s="20" t="s">
        <v>31</v>
      </c>
      <c r="D355" s="7">
        <f t="shared" ref="D355:R355" si="149">SUM(D356)</f>
        <v>57.266824620000001</v>
      </c>
      <c r="E355" s="7">
        <f t="shared" si="149"/>
        <v>0</v>
      </c>
      <c r="F355" s="7">
        <f t="shared" si="149"/>
        <v>57.266824620000001</v>
      </c>
      <c r="G355" s="7">
        <f t="shared" si="149"/>
        <v>6</v>
      </c>
      <c r="H355" s="7">
        <f t="shared" si="149"/>
        <v>0</v>
      </c>
      <c r="I355" s="7">
        <f t="shared" si="149"/>
        <v>0</v>
      </c>
      <c r="J355" s="7">
        <f t="shared" si="149"/>
        <v>0</v>
      </c>
      <c r="K355" s="7">
        <f t="shared" si="149"/>
        <v>0</v>
      </c>
      <c r="L355" s="7">
        <f t="shared" si="149"/>
        <v>0</v>
      </c>
      <c r="M355" s="7">
        <f t="shared" si="149"/>
        <v>0</v>
      </c>
      <c r="N355" s="7">
        <f t="shared" si="149"/>
        <v>0</v>
      </c>
      <c r="O355" s="7">
        <f t="shared" si="149"/>
        <v>6</v>
      </c>
      <c r="P355" s="7">
        <f t="shared" si="149"/>
        <v>0</v>
      </c>
      <c r="Q355" s="7">
        <f t="shared" si="149"/>
        <v>57.266824620000001</v>
      </c>
      <c r="R355" s="7">
        <f t="shared" si="149"/>
        <v>-6</v>
      </c>
      <c r="S355" s="21">
        <f>R355/(I355+K355+M355+O355)</f>
        <v>-1</v>
      </c>
      <c r="T355" s="7" t="s">
        <v>32</v>
      </c>
    </row>
    <row r="356" spans="1:20" s="1" customFormat="1" ht="31.5" x14ac:dyDescent="0.25">
      <c r="A356" s="26" t="s">
        <v>715</v>
      </c>
      <c r="B356" s="32" t="s">
        <v>716</v>
      </c>
      <c r="C356" s="33" t="s">
        <v>717</v>
      </c>
      <c r="D356" s="29">
        <v>57.266824620000001</v>
      </c>
      <c r="E356" s="29">
        <v>0</v>
      </c>
      <c r="F356" s="29">
        <f>D356-E356</f>
        <v>57.266824620000001</v>
      </c>
      <c r="G356" s="30">
        <v>6</v>
      </c>
      <c r="H356" s="29">
        <f>J356+L356+N356+P356</f>
        <v>0</v>
      </c>
      <c r="I356" s="29">
        <v>0</v>
      </c>
      <c r="J356" s="29">
        <v>0</v>
      </c>
      <c r="K356" s="29">
        <v>0</v>
      </c>
      <c r="L356" s="29">
        <v>0</v>
      </c>
      <c r="M356" s="29">
        <v>0</v>
      </c>
      <c r="N356" s="29">
        <v>0</v>
      </c>
      <c r="O356" s="29">
        <v>6</v>
      </c>
      <c r="P356" s="29">
        <v>0</v>
      </c>
      <c r="Q356" s="29">
        <f>F356-H356</f>
        <v>57.266824620000001</v>
      </c>
      <c r="R356" s="29">
        <f t="shared" si="148"/>
        <v>-6</v>
      </c>
      <c r="S356" s="31">
        <f t="shared" si="142"/>
        <v>-1</v>
      </c>
      <c r="T356" s="29" t="s">
        <v>688</v>
      </c>
    </row>
    <row r="357" spans="1:20" s="1" customFormat="1" ht="31.5" x14ac:dyDescent="0.25">
      <c r="A357" s="18" t="s">
        <v>718</v>
      </c>
      <c r="B357" s="22" t="s">
        <v>190</v>
      </c>
      <c r="C357" s="20" t="s">
        <v>31</v>
      </c>
      <c r="D357" s="7">
        <f t="shared" ref="D357:R357" si="150">SUM(D358:D377)</f>
        <v>468.11634033380574</v>
      </c>
      <c r="E357" s="7">
        <f t="shared" si="150"/>
        <v>156.85914268999997</v>
      </c>
      <c r="F357" s="7">
        <f t="shared" si="150"/>
        <v>311.2571976438058</v>
      </c>
      <c r="G357" s="7">
        <f t="shared" si="150"/>
        <v>193.05836455420578</v>
      </c>
      <c r="H357" s="7">
        <f t="shared" si="150"/>
        <v>195.98147532999999</v>
      </c>
      <c r="I357" s="7">
        <f t="shared" si="150"/>
        <v>8.6917529333560726</v>
      </c>
      <c r="J357" s="7">
        <f t="shared" si="150"/>
        <v>18.921374150000002</v>
      </c>
      <c r="K357" s="7">
        <f t="shared" si="150"/>
        <v>4.308739396</v>
      </c>
      <c r="L357" s="7">
        <f t="shared" si="150"/>
        <v>81.39491971999999</v>
      </c>
      <c r="M357" s="7">
        <f t="shared" si="150"/>
        <v>69.427580137999996</v>
      </c>
      <c r="N357" s="7">
        <f t="shared" si="150"/>
        <v>55.440115569999996</v>
      </c>
      <c r="O357" s="7">
        <f t="shared" si="150"/>
        <v>110.63029208684971</v>
      </c>
      <c r="P357" s="7">
        <f t="shared" si="150"/>
        <v>40.225065889999996</v>
      </c>
      <c r="Q357" s="7">
        <f t="shared" si="150"/>
        <v>115.27572231380576</v>
      </c>
      <c r="R357" s="7">
        <f t="shared" si="150"/>
        <v>2.9231107757942141</v>
      </c>
      <c r="S357" s="21">
        <f>R357/(I357+K357+M357+O357)</f>
        <v>1.5141072921362495E-2</v>
      </c>
      <c r="T357" s="7" t="s">
        <v>32</v>
      </c>
    </row>
    <row r="358" spans="1:20" s="1" customFormat="1" ht="31.5" x14ac:dyDescent="0.25">
      <c r="A358" s="26" t="s">
        <v>718</v>
      </c>
      <c r="B358" s="36" t="s">
        <v>719</v>
      </c>
      <c r="C358" s="33" t="s">
        <v>720</v>
      </c>
      <c r="D358" s="28">
        <v>9.7394260499999987</v>
      </c>
      <c r="E358" s="29">
        <v>9.0453568499999975</v>
      </c>
      <c r="F358" s="29">
        <f t="shared" ref="F358:F371" si="151">D358-E358</f>
        <v>0.69406920000000127</v>
      </c>
      <c r="G358" s="30">
        <v>0.69406920000000005</v>
      </c>
      <c r="H358" s="29">
        <f t="shared" ref="H358:H377" si="152">J358+L358+N358+P358</f>
        <v>0.69406920000000005</v>
      </c>
      <c r="I358" s="29">
        <v>0.25871038399999996</v>
      </c>
      <c r="J358" s="29">
        <v>0.69406920000000005</v>
      </c>
      <c r="K358" s="29">
        <v>0</v>
      </c>
      <c r="L358" s="29">
        <v>0</v>
      </c>
      <c r="M358" s="29">
        <v>0</v>
      </c>
      <c r="N358" s="29">
        <v>0</v>
      </c>
      <c r="O358" s="29">
        <f t="shared" ref="O358:O365" si="153">G358-I358-K358-M358</f>
        <v>0.43535881600000009</v>
      </c>
      <c r="P358" s="29">
        <v>0</v>
      </c>
      <c r="Q358" s="29">
        <f t="shared" ref="Q358:Q377" si="154">F358-H358</f>
        <v>1.2212453270876722E-15</v>
      </c>
      <c r="R358" s="29">
        <f t="shared" si="148"/>
        <v>0</v>
      </c>
      <c r="S358" s="31">
        <f t="shared" si="142"/>
        <v>0</v>
      </c>
      <c r="T358" s="29" t="s">
        <v>32</v>
      </c>
    </row>
    <row r="359" spans="1:20" s="1" customFormat="1" ht="47.25" x14ac:dyDescent="0.25">
      <c r="A359" s="26" t="s">
        <v>718</v>
      </c>
      <c r="B359" s="36" t="s">
        <v>721</v>
      </c>
      <c r="C359" s="33" t="s">
        <v>722</v>
      </c>
      <c r="D359" s="28">
        <v>24.865420491999998</v>
      </c>
      <c r="E359" s="29">
        <v>11.80936406</v>
      </c>
      <c r="F359" s="29">
        <f t="shared" si="151"/>
        <v>13.056056431999998</v>
      </c>
      <c r="G359" s="30">
        <v>11.46140724</v>
      </c>
      <c r="H359" s="29">
        <f t="shared" si="152"/>
        <v>9.0502846199999993</v>
      </c>
      <c r="I359" s="29">
        <v>1.0195120740001475</v>
      </c>
      <c r="J359" s="29">
        <v>0.50930724000000005</v>
      </c>
      <c r="K359" s="29">
        <v>0</v>
      </c>
      <c r="L359" s="29">
        <v>0</v>
      </c>
      <c r="M359" s="29">
        <v>0</v>
      </c>
      <c r="N359" s="29">
        <v>6.2238898000000002</v>
      </c>
      <c r="O359" s="29">
        <f t="shared" si="153"/>
        <v>10.441895165999853</v>
      </c>
      <c r="P359" s="29">
        <v>2.3170875799999999</v>
      </c>
      <c r="Q359" s="29">
        <f t="shared" si="154"/>
        <v>4.005771811999999</v>
      </c>
      <c r="R359" s="29">
        <f t="shared" si="148"/>
        <v>-2.4111226200000004</v>
      </c>
      <c r="S359" s="31">
        <f t="shared" si="142"/>
        <v>-0.21036881157012274</v>
      </c>
      <c r="T359" s="30" t="s">
        <v>723</v>
      </c>
    </row>
    <row r="360" spans="1:20" s="1" customFormat="1" ht="47.25" x14ac:dyDescent="0.25">
      <c r="A360" s="26" t="s">
        <v>718</v>
      </c>
      <c r="B360" s="36" t="s">
        <v>724</v>
      </c>
      <c r="C360" s="33" t="s">
        <v>725</v>
      </c>
      <c r="D360" s="28">
        <v>6.6890647199999993</v>
      </c>
      <c r="E360" s="29">
        <v>6.3450153600000005</v>
      </c>
      <c r="F360" s="29">
        <f t="shared" si="151"/>
        <v>0.34404935999999875</v>
      </c>
      <c r="G360" s="30">
        <v>0.34404935999999997</v>
      </c>
      <c r="H360" s="29">
        <f t="shared" si="152"/>
        <v>0.34404936000000003</v>
      </c>
      <c r="I360" s="29">
        <v>0.32662687400000051</v>
      </c>
      <c r="J360" s="29">
        <v>0.34404936000000003</v>
      </c>
      <c r="K360" s="29">
        <v>0</v>
      </c>
      <c r="L360" s="29">
        <v>0</v>
      </c>
      <c r="M360" s="29">
        <v>0</v>
      </c>
      <c r="N360" s="29">
        <v>0</v>
      </c>
      <c r="O360" s="29">
        <f t="shared" si="153"/>
        <v>1.742248599999946E-2</v>
      </c>
      <c r="P360" s="29">
        <v>0</v>
      </c>
      <c r="Q360" s="29">
        <f t="shared" si="154"/>
        <v>-1.27675647831893E-15</v>
      </c>
      <c r="R360" s="29">
        <f t="shared" si="148"/>
        <v>0</v>
      </c>
      <c r="S360" s="31">
        <f t="shared" si="142"/>
        <v>0</v>
      </c>
      <c r="T360" s="29" t="s">
        <v>32</v>
      </c>
    </row>
    <row r="361" spans="1:20" s="1" customFormat="1" ht="31.5" x14ac:dyDescent="0.25">
      <c r="A361" s="26" t="s">
        <v>718</v>
      </c>
      <c r="B361" s="36" t="s">
        <v>726</v>
      </c>
      <c r="C361" s="33" t="s">
        <v>727</v>
      </c>
      <c r="D361" s="28">
        <v>15.074150310000002</v>
      </c>
      <c r="E361" s="29">
        <v>14.112549389999998</v>
      </c>
      <c r="F361" s="29">
        <f t="shared" si="151"/>
        <v>0.96160092000000397</v>
      </c>
      <c r="G361" s="30">
        <v>0.96160091999999997</v>
      </c>
      <c r="H361" s="29">
        <f t="shared" si="152"/>
        <v>0.96160091999999997</v>
      </c>
      <c r="I361" s="29">
        <v>0.60489000400000081</v>
      </c>
      <c r="J361" s="29">
        <v>0.96160091999999997</v>
      </c>
      <c r="K361" s="29">
        <v>0</v>
      </c>
      <c r="L361" s="29">
        <v>0</v>
      </c>
      <c r="M361" s="29">
        <v>0</v>
      </c>
      <c r="N361" s="29">
        <v>0</v>
      </c>
      <c r="O361" s="29">
        <f t="shared" si="153"/>
        <v>0.35671091599999916</v>
      </c>
      <c r="P361" s="29">
        <v>0</v>
      </c>
      <c r="Q361" s="29">
        <f t="shared" si="154"/>
        <v>3.9968028886505635E-15</v>
      </c>
      <c r="R361" s="29">
        <f t="shared" si="148"/>
        <v>0</v>
      </c>
      <c r="S361" s="31">
        <f t="shared" si="142"/>
        <v>0</v>
      </c>
      <c r="T361" s="29" t="s">
        <v>32</v>
      </c>
    </row>
    <row r="362" spans="1:20" s="1" customFormat="1" ht="31.5" x14ac:dyDescent="0.25">
      <c r="A362" s="26" t="s">
        <v>718</v>
      </c>
      <c r="B362" s="36" t="s">
        <v>728</v>
      </c>
      <c r="C362" s="33" t="s">
        <v>729</v>
      </c>
      <c r="D362" s="28">
        <v>32.02955661</v>
      </c>
      <c r="E362" s="29">
        <v>29.52870021</v>
      </c>
      <c r="F362" s="29">
        <f t="shared" si="151"/>
        <v>2.5008564</v>
      </c>
      <c r="G362" s="30">
        <v>2.5008564</v>
      </c>
      <c r="H362" s="29">
        <f t="shared" si="152"/>
        <v>2.5008564</v>
      </c>
      <c r="I362" s="29">
        <v>0.53263263199999711</v>
      </c>
      <c r="J362" s="29">
        <v>2.5008564</v>
      </c>
      <c r="K362" s="29">
        <v>0</v>
      </c>
      <c r="L362" s="29">
        <v>0</v>
      </c>
      <c r="M362" s="29">
        <v>0</v>
      </c>
      <c r="N362" s="29">
        <v>0</v>
      </c>
      <c r="O362" s="29">
        <f t="shared" si="153"/>
        <v>1.9682237680000028</v>
      </c>
      <c r="P362" s="29">
        <v>0</v>
      </c>
      <c r="Q362" s="29">
        <f t="shared" si="154"/>
        <v>0</v>
      </c>
      <c r="R362" s="29">
        <f t="shared" si="148"/>
        <v>0</v>
      </c>
      <c r="S362" s="31">
        <f t="shared" si="142"/>
        <v>0</v>
      </c>
      <c r="T362" s="29" t="s">
        <v>32</v>
      </c>
    </row>
    <row r="363" spans="1:20" s="1" customFormat="1" ht="31.5" x14ac:dyDescent="0.25">
      <c r="A363" s="26" t="s">
        <v>718</v>
      </c>
      <c r="B363" s="36" t="s">
        <v>730</v>
      </c>
      <c r="C363" s="33" t="s">
        <v>731</v>
      </c>
      <c r="D363" s="28">
        <v>19.516835010000001</v>
      </c>
      <c r="E363" s="29">
        <v>18.147407250000001</v>
      </c>
      <c r="F363" s="29">
        <f t="shared" si="151"/>
        <v>1.3694277600000007</v>
      </c>
      <c r="G363" s="30">
        <v>1.36942776</v>
      </c>
      <c r="H363" s="29">
        <f t="shared" si="152"/>
        <v>1.36942776</v>
      </c>
      <c r="I363" s="29">
        <v>0.3873220619999993</v>
      </c>
      <c r="J363" s="29">
        <v>1.36942776</v>
      </c>
      <c r="K363" s="29">
        <v>0</v>
      </c>
      <c r="L363" s="29">
        <v>0</v>
      </c>
      <c r="M363" s="29">
        <v>0</v>
      </c>
      <c r="N363" s="29">
        <v>0</v>
      </c>
      <c r="O363" s="29">
        <f t="shared" si="153"/>
        <v>0.98210569800000069</v>
      </c>
      <c r="P363" s="29">
        <v>0</v>
      </c>
      <c r="Q363" s="29">
        <f t="shared" si="154"/>
        <v>0</v>
      </c>
      <c r="R363" s="29">
        <f t="shared" si="148"/>
        <v>0</v>
      </c>
      <c r="S363" s="31">
        <f t="shared" si="142"/>
        <v>0</v>
      </c>
      <c r="T363" s="29" t="s">
        <v>32</v>
      </c>
    </row>
    <row r="364" spans="1:20" s="1" customFormat="1" ht="47.25" x14ac:dyDescent="0.25">
      <c r="A364" s="26" t="s">
        <v>718</v>
      </c>
      <c r="B364" s="36" t="s">
        <v>732</v>
      </c>
      <c r="C364" s="33" t="s">
        <v>733</v>
      </c>
      <c r="D364" s="28">
        <v>10.16386185</v>
      </c>
      <c r="E364" s="29">
        <v>9.4732238100000004</v>
      </c>
      <c r="F364" s="29">
        <f t="shared" si="151"/>
        <v>0.69063803999999962</v>
      </c>
      <c r="G364" s="30">
        <v>0.69063804000000006</v>
      </c>
      <c r="H364" s="29">
        <f t="shared" si="152"/>
        <v>0.69063803999999995</v>
      </c>
      <c r="I364" s="29">
        <v>0.56351525599999874</v>
      </c>
      <c r="J364" s="29">
        <v>0.69063803999999995</v>
      </c>
      <c r="K364" s="29">
        <v>0</v>
      </c>
      <c r="L364" s="29">
        <v>0</v>
      </c>
      <c r="M364" s="29">
        <v>0</v>
      </c>
      <c r="N364" s="29">
        <v>0</v>
      </c>
      <c r="O364" s="29">
        <f t="shared" si="153"/>
        <v>0.12712278400000132</v>
      </c>
      <c r="P364" s="29">
        <v>0</v>
      </c>
      <c r="Q364" s="29">
        <f t="shared" si="154"/>
        <v>0</v>
      </c>
      <c r="R364" s="29">
        <f t="shared" si="148"/>
        <v>0</v>
      </c>
      <c r="S364" s="31">
        <f t="shared" si="142"/>
        <v>0</v>
      </c>
      <c r="T364" s="29" t="s">
        <v>32</v>
      </c>
    </row>
    <row r="365" spans="1:20" s="1" customFormat="1" ht="47.25" x14ac:dyDescent="0.25">
      <c r="A365" s="26" t="s">
        <v>718</v>
      </c>
      <c r="B365" s="36" t="s">
        <v>734</v>
      </c>
      <c r="C365" s="33" t="s">
        <v>735</v>
      </c>
      <c r="D365" s="28">
        <v>57.983477853805795</v>
      </c>
      <c r="E365" s="29">
        <v>26.843904690000002</v>
      </c>
      <c r="F365" s="29">
        <f t="shared" si="151"/>
        <v>31.139573163805792</v>
      </c>
      <c r="G365" s="30">
        <v>24.16381967460579</v>
      </c>
      <c r="H365" s="29">
        <f t="shared" si="152"/>
        <v>29.236717730000002</v>
      </c>
      <c r="I365" s="29">
        <v>0.27520650000000002</v>
      </c>
      <c r="J365" s="29">
        <v>5.2257212099999997</v>
      </c>
      <c r="K365" s="29">
        <v>0.27520650000000002</v>
      </c>
      <c r="L365" s="29">
        <v>18.789845830000001</v>
      </c>
      <c r="M365" s="29">
        <v>12.2763805</v>
      </c>
      <c r="N365" s="29">
        <f>1251.45853/1000</f>
        <v>1.2514585300000001</v>
      </c>
      <c r="O365" s="29">
        <f t="shared" si="153"/>
        <v>11.337026174605791</v>
      </c>
      <c r="P365" s="29">
        <v>3.9696921599999997</v>
      </c>
      <c r="Q365" s="29">
        <f t="shared" si="154"/>
        <v>1.9028554338057901</v>
      </c>
      <c r="R365" s="29">
        <f t="shared" si="148"/>
        <v>5.0728980553942122</v>
      </c>
      <c r="S365" s="31">
        <f t="shared" si="142"/>
        <v>0.2099377550282506</v>
      </c>
      <c r="T365" s="29" t="s">
        <v>630</v>
      </c>
    </row>
    <row r="366" spans="1:20" s="1" customFormat="1" ht="47.25" x14ac:dyDescent="0.25">
      <c r="A366" s="26" t="s">
        <v>718</v>
      </c>
      <c r="B366" s="36" t="s">
        <v>736</v>
      </c>
      <c r="C366" s="33" t="s">
        <v>737</v>
      </c>
      <c r="D366" s="28">
        <v>42.447915239999993</v>
      </c>
      <c r="E366" s="29">
        <v>0</v>
      </c>
      <c r="F366" s="29">
        <f t="shared" si="151"/>
        <v>42.447915239999993</v>
      </c>
      <c r="G366" s="30">
        <v>38.347915243599999</v>
      </c>
      <c r="H366" s="29">
        <f t="shared" si="152"/>
        <v>36.871210160000004</v>
      </c>
      <c r="I366" s="29">
        <v>0.63741250000000005</v>
      </c>
      <c r="J366" s="29">
        <v>3.2539963300000001</v>
      </c>
      <c r="K366" s="29">
        <v>1.59838086</v>
      </c>
      <c r="L366" s="29">
        <v>14.654044880000001</v>
      </c>
      <c r="M366" s="29">
        <v>15.538331510000001</v>
      </c>
      <c r="N366" s="29">
        <f>12495.54037/1000</f>
        <v>12.495540370000001</v>
      </c>
      <c r="O366" s="29">
        <v>20.573790373600001</v>
      </c>
      <c r="P366" s="29">
        <v>6.4676285800000004</v>
      </c>
      <c r="Q366" s="29">
        <f t="shared" si="154"/>
        <v>5.5767050799999893</v>
      </c>
      <c r="R366" s="29">
        <f t="shared" si="148"/>
        <v>-1.4767050835999953</v>
      </c>
      <c r="S366" s="31">
        <f t="shared" si="142"/>
        <v>-3.8508092922898779E-2</v>
      </c>
      <c r="T366" s="29" t="s">
        <v>32</v>
      </c>
    </row>
    <row r="367" spans="1:20" s="1" customFormat="1" ht="31.5" x14ac:dyDescent="0.25">
      <c r="A367" s="26" t="s">
        <v>718</v>
      </c>
      <c r="B367" s="36" t="s">
        <v>738</v>
      </c>
      <c r="C367" s="33" t="s">
        <v>739</v>
      </c>
      <c r="D367" s="28">
        <v>6.4683999999999999</v>
      </c>
      <c r="E367" s="29">
        <v>0</v>
      </c>
      <c r="F367" s="29">
        <f t="shared" si="151"/>
        <v>6.4683999999999999</v>
      </c>
      <c r="G367" s="30">
        <v>6.4683999999999999</v>
      </c>
      <c r="H367" s="29">
        <f t="shared" si="152"/>
        <v>5.7866992799999997</v>
      </c>
      <c r="I367" s="29">
        <v>5.8000000000000003E-2</v>
      </c>
      <c r="J367" s="29">
        <v>6.0727419999999997E-2</v>
      </c>
      <c r="K367" s="29">
        <v>0.1889296</v>
      </c>
      <c r="L367" s="29">
        <v>0.97017631999999998</v>
      </c>
      <c r="M367" s="29">
        <v>2.35501592</v>
      </c>
      <c r="N367" s="29">
        <f>2402.39517/1000</f>
        <v>2.4023951699999997</v>
      </c>
      <c r="O367" s="29">
        <v>3.8664544799999998</v>
      </c>
      <c r="P367" s="29">
        <v>2.3534003700000001</v>
      </c>
      <c r="Q367" s="29">
        <f t="shared" si="154"/>
        <v>0.68170072000000026</v>
      </c>
      <c r="R367" s="29">
        <f t="shared" si="148"/>
        <v>-0.68170072000000026</v>
      </c>
      <c r="S367" s="31">
        <f t="shared" si="142"/>
        <v>-0.1053893884113537</v>
      </c>
      <c r="T367" s="29" t="s">
        <v>630</v>
      </c>
    </row>
    <row r="368" spans="1:20" s="1" customFormat="1" ht="47.25" x14ac:dyDescent="0.25">
      <c r="A368" s="26" t="s">
        <v>718</v>
      </c>
      <c r="B368" s="36" t="s">
        <v>740</v>
      </c>
      <c r="C368" s="33" t="s">
        <v>741</v>
      </c>
      <c r="D368" s="28">
        <v>13.7822</v>
      </c>
      <c r="E368" s="29">
        <v>0</v>
      </c>
      <c r="F368" s="29">
        <f t="shared" si="151"/>
        <v>13.7822</v>
      </c>
      <c r="G368" s="30">
        <v>10.7822</v>
      </c>
      <c r="H368" s="29">
        <f t="shared" si="152"/>
        <v>12.902897979999999</v>
      </c>
      <c r="I368" s="29">
        <v>9.7201750000000003E-2</v>
      </c>
      <c r="J368" s="29">
        <v>0.10074123</v>
      </c>
      <c r="K368" s="29">
        <v>0.45041865000000003</v>
      </c>
      <c r="L368" s="29">
        <v>7.4860204499999998</v>
      </c>
      <c r="M368" s="29">
        <v>5.15029424</v>
      </c>
      <c r="N368" s="29">
        <f>4024.26788/1000</f>
        <v>4.02426788</v>
      </c>
      <c r="O368" s="29">
        <v>5.08428536</v>
      </c>
      <c r="P368" s="29">
        <v>1.2918684199999997</v>
      </c>
      <c r="Q368" s="29">
        <f t="shared" si="154"/>
        <v>0.87930202000000079</v>
      </c>
      <c r="R368" s="29">
        <f t="shared" si="148"/>
        <v>2.1206979799999992</v>
      </c>
      <c r="S368" s="31">
        <f t="shared" si="142"/>
        <v>0.19668509024132361</v>
      </c>
      <c r="T368" s="29" t="s">
        <v>630</v>
      </c>
    </row>
    <row r="369" spans="1:20" s="1" customFormat="1" ht="31.5" x14ac:dyDescent="0.25">
      <c r="A369" s="26" t="s">
        <v>718</v>
      </c>
      <c r="B369" s="36" t="s">
        <v>742</v>
      </c>
      <c r="C369" s="33" t="s">
        <v>743</v>
      </c>
      <c r="D369" s="28">
        <v>17.221599999999999</v>
      </c>
      <c r="E369" s="29">
        <v>0</v>
      </c>
      <c r="F369" s="29">
        <f t="shared" si="151"/>
        <v>17.221599999999999</v>
      </c>
      <c r="G369" s="30">
        <v>15.221599999999999</v>
      </c>
      <c r="H369" s="29">
        <f t="shared" si="152"/>
        <v>12.893727030000001</v>
      </c>
      <c r="I369" s="29">
        <v>9.8155500000000007E-2</v>
      </c>
      <c r="J369" s="29">
        <v>0.10195777</v>
      </c>
      <c r="K369" s="29">
        <v>0.43970877600000002</v>
      </c>
      <c r="L369" s="29">
        <v>0.90224461</v>
      </c>
      <c r="M369" s="29">
        <v>6.2766109560000007</v>
      </c>
      <c r="N369" s="29">
        <f>6332.64852/1000</f>
        <v>6.3326485199999993</v>
      </c>
      <c r="O369" s="29">
        <v>8.4071247679999992</v>
      </c>
      <c r="P369" s="29">
        <v>5.5568761300000009</v>
      </c>
      <c r="Q369" s="29">
        <f t="shared" si="154"/>
        <v>4.3278729699999978</v>
      </c>
      <c r="R369" s="29">
        <f t="shared" si="148"/>
        <v>-2.3278729699999996</v>
      </c>
      <c r="S369" s="31">
        <f t="shared" si="142"/>
        <v>-0.15293221277658062</v>
      </c>
      <c r="T369" s="29" t="s">
        <v>744</v>
      </c>
    </row>
    <row r="370" spans="1:20" s="1" customFormat="1" ht="47.25" x14ac:dyDescent="0.25">
      <c r="A370" s="26" t="s">
        <v>718</v>
      </c>
      <c r="B370" s="36" t="s">
        <v>745</v>
      </c>
      <c r="C370" s="33" t="s">
        <v>746</v>
      </c>
      <c r="D370" s="28">
        <v>19.860599999999998</v>
      </c>
      <c r="E370" s="29">
        <v>0</v>
      </c>
      <c r="F370" s="29">
        <f t="shared" si="151"/>
        <v>19.860599999999998</v>
      </c>
      <c r="G370" s="30">
        <v>17.860599999999998</v>
      </c>
      <c r="H370" s="29">
        <f t="shared" si="152"/>
        <v>18.138155510000001</v>
      </c>
      <c r="I370" s="29">
        <v>0.11898775</v>
      </c>
      <c r="J370" s="29">
        <v>0.12380975</v>
      </c>
      <c r="K370" s="29">
        <v>0.42115210999999997</v>
      </c>
      <c r="L370" s="29">
        <v>5.43881441</v>
      </c>
      <c r="M370" s="29">
        <v>7.0847950099999997</v>
      </c>
      <c r="N370" s="29">
        <f>9119.74177/1000</f>
        <v>9.119741770000001</v>
      </c>
      <c r="O370" s="29">
        <v>10.235665129999999</v>
      </c>
      <c r="P370" s="29">
        <v>3.4557895800000007</v>
      </c>
      <c r="Q370" s="29">
        <f t="shared" si="154"/>
        <v>1.7224444899999973</v>
      </c>
      <c r="R370" s="29">
        <f t="shared" si="148"/>
        <v>0.27755551000000267</v>
      </c>
      <c r="S370" s="31">
        <f t="shared" si="142"/>
        <v>1.5540099996640801E-2</v>
      </c>
      <c r="T370" s="29" t="s">
        <v>32</v>
      </c>
    </row>
    <row r="371" spans="1:20" s="1" customFormat="1" ht="31.5" x14ac:dyDescent="0.25">
      <c r="A371" s="26" t="s">
        <v>718</v>
      </c>
      <c r="B371" s="36" t="s">
        <v>747</v>
      </c>
      <c r="C371" s="33" t="s">
        <v>748</v>
      </c>
      <c r="D371" s="28">
        <v>18.807399999999998</v>
      </c>
      <c r="E371" s="29">
        <v>0</v>
      </c>
      <c r="F371" s="29">
        <f t="shared" si="151"/>
        <v>18.807399999999998</v>
      </c>
      <c r="G371" s="30">
        <v>17.807399999999998</v>
      </c>
      <c r="H371" s="29">
        <f t="shared" si="152"/>
        <v>15.65198131</v>
      </c>
      <c r="I371" s="29">
        <v>0.21370975</v>
      </c>
      <c r="J371" s="29">
        <v>0.22117234999999999</v>
      </c>
      <c r="K371" s="29">
        <v>0.63494289999999998</v>
      </c>
      <c r="L371" s="29">
        <v>11.12680553</v>
      </c>
      <c r="M371" s="29">
        <v>6.9001520019999996</v>
      </c>
      <c r="N371" s="29">
        <f>2191.20844/1000</f>
        <v>2.19120844</v>
      </c>
      <c r="O371" s="29">
        <f>G371-I371-K371-M371</f>
        <v>10.058595348000001</v>
      </c>
      <c r="P371" s="29">
        <v>2.1127949900000003</v>
      </c>
      <c r="Q371" s="29">
        <f t="shared" si="154"/>
        <v>3.1554186899999976</v>
      </c>
      <c r="R371" s="29">
        <f t="shared" si="148"/>
        <v>-2.1554186900000012</v>
      </c>
      <c r="S371" s="31">
        <f t="shared" si="142"/>
        <v>-0.12104061738378433</v>
      </c>
      <c r="T371" s="29" t="s">
        <v>744</v>
      </c>
    </row>
    <row r="372" spans="1:20" s="1" customFormat="1" ht="41.25" customHeight="1" x14ac:dyDescent="0.25">
      <c r="A372" s="26" t="s">
        <v>718</v>
      </c>
      <c r="B372" s="36" t="s">
        <v>749</v>
      </c>
      <c r="C372" s="33" t="s">
        <v>750</v>
      </c>
      <c r="D372" s="28">
        <v>8.9782080000000004</v>
      </c>
      <c r="E372" s="29">
        <f>D372-F372</f>
        <v>0</v>
      </c>
      <c r="F372" s="29">
        <v>8.9782080000000004</v>
      </c>
      <c r="G372" s="30">
        <v>5.190593436000003</v>
      </c>
      <c r="H372" s="29">
        <f t="shared" si="152"/>
        <v>8.6027090699999977</v>
      </c>
      <c r="I372" s="29">
        <v>0</v>
      </c>
      <c r="J372" s="29">
        <v>0</v>
      </c>
      <c r="K372" s="29">
        <v>0</v>
      </c>
      <c r="L372" s="29">
        <v>0</v>
      </c>
      <c r="M372" s="29">
        <v>0</v>
      </c>
      <c r="N372" s="29">
        <f>393.53367/1000</f>
        <v>0.39353366999999995</v>
      </c>
      <c r="O372" s="29">
        <v>5.190593436000003</v>
      </c>
      <c r="P372" s="29">
        <v>8.2091753999999977</v>
      </c>
      <c r="Q372" s="29">
        <f t="shared" si="154"/>
        <v>0.37549893000000267</v>
      </c>
      <c r="R372" s="29">
        <f t="shared" si="148"/>
        <v>3.4121156339999947</v>
      </c>
      <c r="S372" s="31">
        <f t="shared" si="142"/>
        <v>0.65736522732349723</v>
      </c>
      <c r="T372" s="29" t="s">
        <v>630</v>
      </c>
    </row>
    <row r="373" spans="1:20" s="1" customFormat="1" ht="31.5" x14ac:dyDescent="0.25">
      <c r="A373" s="26" t="s">
        <v>718</v>
      </c>
      <c r="B373" s="36" t="s">
        <v>751</v>
      </c>
      <c r="C373" s="33" t="s">
        <v>752</v>
      </c>
      <c r="D373" s="28">
        <v>14.595190510000002</v>
      </c>
      <c r="E373" s="29">
        <v>13.575261430000001</v>
      </c>
      <c r="F373" s="29">
        <f t="shared" ref="F373:F377" si="155">D373-E373</f>
        <v>1.0199290800000007</v>
      </c>
      <c r="G373" s="30">
        <v>1.0199290799999998</v>
      </c>
      <c r="H373" s="29">
        <f t="shared" si="152"/>
        <v>1.01992908</v>
      </c>
      <c r="I373" s="29">
        <v>0.81470060433898284</v>
      </c>
      <c r="J373" s="29">
        <v>1.01992908</v>
      </c>
      <c r="K373" s="29">
        <v>0</v>
      </c>
      <c r="L373" s="29">
        <v>0</v>
      </c>
      <c r="M373" s="29">
        <v>0</v>
      </c>
      <c r="N373" s="29">
        <v>0</v>
      </c>
      <c r="O373" s="29">
        <f>G373-I373-K373-M373</f>
        <v>0.20522847566101698</v>
      </c>
      <c r="P373" s="29">
        <v>0</v>
      </c>
      <c r="Q373" s="29">
        <f t="shared" si="154"/>
        <v>0</v>
      </c>
      <c r="R373" s="29">
        <f t="shared" si="148"/>
        <v>0</v>
      </c>
      <c r="S373" s="31">
        <f t="shared" si="142"/>
        <v>0</v>
      </c>
      <c r="T373" s="29" t="s">
        <v>32</v>
      </c>
    </row>
    <row r="374" spans="1:20" s="1" customFormat="1" ht="31.5" x14ac:dyDescent="0.25">
      <c r="A374" s="26" t="s">
        <v>718</v>
      </c>
      <c r="B374" s="36" t="s">
        <v>753</v>
      </c>
      <c r="C374" s="33" t="s">
        <v>754</v>
      </c>
      <c r="D374" s="28">
        <v>10.162332048</v>
      </c>
      <c r="E374" s="29">
        <v>1.6210546799999996</v>
      </c>
      <c r="F374" s="29">
        <f t="shared" si="155"/>
        <v>8.5412773679999994</v>
      </c>
      <c r="G374" s="30">
        <v>5.7110000000000003</v>
      </c>
      <c r="H374" s="29">
        <f t="shared" si="152"/>
        <v>7.46744568</v>
      </c>
      <c r="I374" s="29">
        <v>0.85467813301694695</v>
      </c>
      <c r="J374" s="29">
        <v>0</v>
      </c>
      <c r="K374" s="29">
        <v>0</v>
      </c>
      <c r="L374" s="29">
        <v>0</v>
      </c>
      <c r="M374" s="29">
        <v>0</v>
      </c>
      <c r="N374" s="29">
        <f>6629.80032/1000</f>
        <v>6.6298003200000002</v>
      </c>
      <c r="O374" s="29">
        <f>G374-I374-K374-M374</f>
        <v>4.8563218669830537</v>
      </c>
      <c r="P374" s="29">
        <v>0.83764535999999978</v>
      </c>
      <c r="Q374" s="29">
        <f t="shared" si="154"/>
        <v>1.0738316879999994</v>
      </c>
      <c r="R374" s="29">
        <f t="shared" si="148"/>
        <v>1.7564456799999997</v>
      </c>
      <c r="S374" s="31">
        <f t="shared" si="142"/>
        <v>0.30755483803186823</v>
      </c>
      <c r="T374" s="29" t="s">
        <v>630</v>
      </c>
    </row>
    <row r="375" spans="1:20" s="1" customFormat="1" ht="31.5" x14ac:dyDescent="0.25">
      <c r="A375" s="26" t="s">
        <v>718</v>
      </c>
      <c r="B375" s="36" t="s">
        <v>755</v>
      </c>
      <c r="C375" s="33" t="s">
        <v>756</v>
      </c>
      <c r="D375" s="28">
        <v>16.017729379999999</v>
      </c>
      <c r="E375" s="29">
        <v>14.667238220000002</v>
      </c>
      <c r="F375" s="29">
        <f t="shared" si="155"/>
        <v>1.3504911599999971</v>
      </c>
      <c r="G375" s="30">
        <v>1.35049116</v>
      </c>
      <c r="H375" s="29">
        <f t="shared" si="152"/>
        <v>1.35049116</v>
      </c>
      <c r="I375" s="29">
        <v>1.35049116</v>
      </c>
      <c r="J375" s="29">
        <v>1.35049116</v>
      </c>
      <c r="K375" s="29">
        <v>0</v>
      </c>
      <c r="L375" s="29">
        <v>0</v>
      </c>
      <c r="M375" s="29">
        <v>0</v>
      </c>
      <c r="N375" s="29">
        <v>0</v>
      </c>
      <c r="O375" s="29">
        <v>0</v>
      </c>
      <c r="P375" s="29">
        <v>0</v>
      </c>
      <c r="Q375" s="29">
        <f t="shared" si="154"/>
        <v>-2.886579864025407E-15</v>
      </c>
      <c r="R375" s="29">
        <f t="shared" si="148"/>
        <v>0</v>
      </c>
      <c r="S375" s="31">
        <f t="shared" si="142"/>
        <v>0</v>
      </c>
      <c r="T375" s="29" t="s">
        <v>32</v>
      </c>
    </row>
    <row r="376" spans="1:20" s="1" customFormat="1" ht="31.5" x14ac:dyDescent="0.25">
      <c r="A376" s="26" t="s">
        <v>718</v>
      </c>
      <c r="B376" s="36" t="s">
        <v>757</v>
      </c>
      <c r="C376" s="33" t="s">
        <v>758</v>
      </c>
      <c r="D376" s="28">
        <v>8.9717491799999998</v>
      </c>
      <c r="E376" s="29">
        <v>1.69006674</v>
      </c>
      <c r="F376" s="29">
        <f t="shared" si="155"/>
        <v>7.28168244</v>
      </c>
      <c r="G376" s="30">
        <v>1.8816824400000001</v>
      </c>
      <c r="H376" s="29">
        <f t="shared" si="152"/>
        <v>1.7949572400000002</v>
      </c>
      <c r="I376" s="29">
        <v>0.18</v>
      </c>
      <c r="J376" s="29">
        <v>8.1682439999999995E-2</v>
      </c>
      <c r="K376" s="29">
        <v>0</v>
      </c>
      <c r="L376" s="29">
        <v>0</v>
      </c>
      <c r="M376" s="29">
        <v>1.2</v>
      </c>
      <c r="N376" s="29">
        <v>0</v>
      </c>
      <c r="O376" s="29">
        <f>G376-I376-K376-M376</f>
        <v>0.50168244000000017</v>
      </c>
      <c r="P376" s="29">
        <v>1.7132748000000002</v>
      </c>
      <c r="Q376" s="29">
        <f t="shared" si="154"/>
        <v>5.4867251999999995</v>
      </c>
      <c r="R376" s="29">
        <f>H376-(I376+K376+M376+O376)</f>
        <v>-8.6725199999999836E-2</v>
      </c>
      <c r="S376" s="31">
        <f t="shared" si="142"/>
        <v>-4.6089179638621615E-2</v>
      </c>
      <c r="T376" s="29" t="s">
        <v>32</v>
      </c>
    </row>
    <row r="377" spans="1:20" s="1" customFormat="1" ht="47.25" x14ac:dyDescent="0.25">
      <c r="A377" s="26" t="s">
        <v>718</v>
      </c>
      <c r="B377" s="36" t="s">
        <v>759</v>
      </c>
      <c r="C377" s="33" t="s">
        <v>760</v>
      </c>
      <c r="D377" s="28">
        <v>114.74122307999998</v>
      </c>
      <c r="E377" s="29">
        <v>0</v>
      </c>
      <c r="F377" s="29">
        <f t="shared" si="155"/>
        <v>114.74122307999998</v>
      </c>
      <c r="G377" s="30">
        <v>29.2306846</v>
      </c>
      <c r="H377" s="29">
        <f t="shared" si="152"/>
        <v>28.653627799999999</v>
      </c>
      <c r="I377" s="29">
        <v>0.3</v>
      </c>
      <c r="J377" s="29">
        <v>0.31119648999999999</v>
      </c>
      <c r="K377" s="29">
        <v>0.3</v>
      </c>
      <c r="L377" s="29">
        <v>22.026967689999999</v>
      </c>
      <c r="M377" s="29">
        <v>12.646000000000001</v>
      </c>
      <c r="N377" s="29">
        <f>4375.6311/1000</f>
        <v>4.3756310999999997</v>
      </c>
      <c r="O377" s="29">
        <f>G377-I377-K377-M377</f>
        <v>15.984684599999998</v>
      </c>
      <c r="P377" s="29">
        <v>1.9398325200000002</v>
      </c>
      <c r="Q377" s="29">
        <f t="shared" si="154"/>
        <v>86.087595279999988</v>
      </c>
      <c r="R377" s="29">
        <f t="shared" si="148"/>
        <v>-0.57705679999999759</v>
      </c>
      <c r="S377" s="31">
        <f t="shared" si="142"/>
        <v>-1.9741473998867536E-2</v>
      </c>
      <c r="T377" s="45" t="s">
        <v>32</v>
      </c>
    </row>
    <row r="378" spans="1:20" s="1" customFormat="1" ht="31.5" x14ac:dyDescent="0.25">
      <c r="A378" s="18" t="s">
        <v>761</v>
      </c>
      <c r="B378" s="22" t="s">
        <v>227</v>
      </c>
      <c r="C378" s="20" t="s">
        <v>31</v>
      </c>
      <c r="D378" s="7">
        <f t="shared" ref="D378:R378" si="156">SUM(D379:D405)</f>
        <v>2358.9143807747369</v>
      </c>
      <c r="E378" s="7">
        <f t="shared" si="156"/>
        <v>273.95583354999997</v>
      </c>
      <c r="F378" s="7">
        <f t="shared" si="156"/>
        <v>2084.9585472247359</v>
      </c>
      <c r="G378" s="7">
        <f t="shared" si="156"/>
        <v>253.73819207018192</v>
      </c>
      <c r="H378" s="7">
        <f t="shared" si="156"/>
        <v>198.47084287000001</v>
      </c>
      <c r="I378" s="7">
        <f t="shared" si="156"/>
        <v>5.2740724659999998</v>
      </c>
      <c r="J378" s="7">
        <f t="shared" si="156"/>
        <v>25.286886319999997</v>
      </c>
      <c r="K378" s="7">
        <f t="shared" si="156"/>
        <v>13.274737379999998</v>
      </c>
      <c r="L378" s="7">
        <f t="shared" si="156"/>
        <v>29.811195869999999</v>
      </c>
      <c r="M378" s="7">
        <f t="shared" si="156"/>
        <v>97.283897539999998</v>
      </c>
      <c r="N378" s="7">
        <f t="shared" si="156"/>
        <v>55.965550730000011</v>
      </c>
      <c r="O378" s="7">
        <f t="shared" si="156"/>
        <v>137.90548468418191</v>
      </c>
      <c r="P378" s="7">
        <f t="shared" si="156"/>
        <v>87.407209949999995</v>
      </c>
      <c r="Q378" s="7">
        <f t="shared" si="156"/>
        <v>1886.4877043547372</v>
      </c>
      <c r="R378" s="7">
        <f t="shared" si="156"/>
        <v>-55.267349200181897</v>
      </c>
      <c r="S378" s="21">
        <f>R378/(I378+K378+M378+O378)</f>
        <v>-0.21781249700437449</v>
      </c>
      <c r="T378" s="7" t="s">
        <v>32</v>
      </c>
    </row>
    <row r="379" spans="1:20" s="1" customFormat="1" ht="31.5" x14ac:dyDescent="0.25">
      <c r="A379" s="26" t="s">
        <v>761</v>
      </c>
      <c r="B379" s="47" t="s">
        <v>762</v>
      </c>
      <c r="C379" s="33" t="s">
        <v>763</v>
      </c>
      <c r="D379" s="29">
        <v>1.4073815099999998</v>
      </c>
      <c r="E379" s="29">
        <f>D379-F379</f>
        <v>1.3622995199999999</v>
      </c>
      <c r="F379" s="29">
        <v>4.5081989999999995E-2</v>
      </c>
      <c r="G379" s="29">
        <v>4.5081989999999995E-2</v>
      </c>
      <c r="H379" s="29">
        <f t="shared" ref="H379:H405" si="157">J379+L379+N379+P379</f>
        <v>4.5081990000000002E-2</v>
      </c>
      <c r="I379" s="29">
        <v>0</v>
      </c>
      <c r="J379" s="29">
        <v>4.5081990000000002E-2</v>
      </c>
      <c r="K379" s="29">
        <v>0</v>
      </c>
      <c r="L379" s="29">
        <v>0</v>
      </c>
      <c r="M379" s="29">
        <v>0</v>
      </c>
      <c r="N379" s="29">
        <v>0</v>
      </c>
      <c r="O379" s="29">
        <v>4.5081989999999995E-2</v>
      </c>
      <c r="P379" s="29">
        <v>0</v>
      </c>
      <c r="Q379" s="29">
        <f t="shared" ref="Q379:Q405" si="158">F379-H379</f>
        <v>0</v>
      </c>
      <c r="R379" s="29">
        <f t="shared" si="148"/>
        <v>0</v>
      </c>
      <c r="S379" s="31">
        <f t="shared" si="142"/>
        <v>0</v>
      </c>
      <c r="T379" s="29" t="s">
        <v>32</v>
      </c>
    </row>
    <row r="380" spans="1:20" s="1" customFormat="1" ht="47.25" x14ac:dyDescent="0.25">
      <c r="A380" s="26" t="s">
        <v>761</v>
      </c>
      <c r="B380" s="34" t="s">
        <v>764</v>
      </c>
      <c r="C380" s="33" t="s">
        <v>765</v>
      </c>
      <c r="D380" s="29">
        <v>577.14270550399988</v>
      </c>
      <c r="E380" s="29">
        <v>0</v>
      </c>
      <c r="F380" s="29">
        <f t="shared" ref="F380:F401" si="159">D380-E380</f>
        <v>577.14270550399988</v>
      </c>
      <c r="G380" s="30">
        <v>116.58486958999998</v>
      </c>
      <c r="H380" s="29">
        <f t="shared" si="157"/>
        <v>103.19557902000001</v>
      </c>
      <c r="I380" s="29">
        <v>2.4547310499999999</v>
      </c>
      <c r="J380" s="29">
        <v>1.6446514800000001</v>
      </c>
      <c r="K380" s="29">
        <v>12.43888643</v>
      </c>
      <c r="L380" s="29">
        <v>19.503470549999999</v>
      </c>
      <c r="M380" s="29">
        <v>70.338037229999998</v>
      </c>
      <c r="N380" s="29">
        <f>41507.60113/1000</f>
        <v>41.507601130000005</v>
      </c>
      <c r="O380" s="29">
        <f>G380-I380-K380-M380</f>
        <v>31.353214879999982</v>
      </c>
      <c r="P380" s="29">
        <v>40.539855860000003</v>
      </c>
      <c r="Q380" s="29">
        <f t="shared" si="158"/>
        <v>473.94712648399985</v>
      </c>
      <c r="R380" s="29">
        <f t="shared" si="148"/>
        <v>-13.389290569999972</v>
      </c>
      <c r="S380" s="31">
        <f t="shared" si="142"/>
        <v>-0.11484586822532615</v>
      </c>
      <c r="T380" s="30" t="s">
        <v>766</v>
      </c>
    </row>
    <row r="381" spans="1:20" s="1" customFormat="1" ht="31.5" x14ac:dyDescent="0.25">
      <c r="A381" s="26" t="s">
        <v>761</v>
      </c>
      <c r="B381" s="34" t="s">
        <v>767</v>
      </c>
      <c r="C381" s="33" t="s">
        <v>768</v>
      </c>
      <c r="D381" s="29">
        <v>41.493476830181926</v>
      </c>
      <c r="E381" s="29">
        <v>0</v>
      </c>
      <c r="F381" s="29">
        <f t="shared" si="159"/>
        <v>41.493476830181926</v>
      </c>
      <c r="G381" s="30">
        <v>5.7072768301819314</v>
      </c>
      <c r="H381" s="29">
        <f t="shared" si="157"/>
        <v>0</v>
      </c>
      <c r="I381" s="29">
        <v>0</v>
      </c>
      <c r="J381" s="29">
        <v>0</v>
      </c>
      <c r="K381" s="29">
        <v>0</v>
      </c>
      <c r="L381" s="29">
        <v>0</v>
      </c>
      <c r="M381" s="29">
        <v>0</v>
      </c>
      <c r="N381" s="29">
        <v>0</v>
      </c>
      <c r="O381" s="29">
        <f>G381-I381-K381-M381</f>
        <v>5.7072768301819314</v>
      </c>
      <c r="P381" s="29">
        <v>0</v>
      </c>
      <c r="Q381" s="29">
        <f t="shared" si="158"/>
        <v>41.493476830181926</v>
      </c>
      <c r="R381" s="29">
        <f t="shared" si="148"/>
        <v>-5.7072768301819314</v>
      </c>
      <c r="S381" s="31">
        <f t="shared" si="142"/>
        <v>-1</v>
      </c>
      <c r="T381" s="30" t="s">
        <v>769</v>
      </c>
    </row>
    <row r="382" spans="1:20" s="1" customFormat="1" ht="31.5" x14ac:dyDescent="0.25">
      <c r="A382" s="26" t="s">
        <v>761</v>
      </c>
      <c r="B382" s="47" t="s">
        <v>770</v>
      </c>
      <c r="C382" s="33" t="s">
        <v>771</v>
      </c>
      <c r="D382" s="29">
        <v>237.40437009220278</v>
      </c>
      <c r="E382" s="29">
        <v>10.609262749999999</v>
      </c>
      <c r="F382" s="29">
        <f t="shared" si="159"/>
        <v>226.79510734220278</v>
      </c>
      <c r="G382" s="30">
        <v>10.113419180000001</v>
      </c>
      <c r="H382" s="29">
        <f t="shared" si="157"/>
        <v>10.896316790000002</v>
      </c>
      <c r="I382" s="29">
        <v>0.36511340000000003</v>
      </c>
      <c r="J382" s="29">
        <v>1.6476648</v>
      </c>
      <c r="K382" s="29">
        <v>7.5225E-2</v>
      </c>
      <c r="L382" s="29">
        <v>7.5660779999999997E-2</v>
      </c>
      <c r="M382" s="29">
        <v>4.0752249999999997</v>
      </c>
      <c r="N382" s="29">
        <f>7817.25935/1000</f>
        <v>7.8172593500000005</v>
      </c>
      <c r="O382" s="29">
        <f>G382-I382-K382-M382</f>
        <v>5.5978557800000015</v>
      </c>
      <c r="P382" s="29">
        <v>1.3557318600000001</v>
      </c>
      <c r="Q382" s="29">
        <f t="shared" si="158"/>
        <v>215.89879055220277</v>
      </c>
      <c r="R382" s="29">
        <f t="shared" si="148"/>
        <v>0.78289761000000091</v>
      </c>
      <c r="S382" s="31">
        <f t="shared" si="142"/>
        <v>7.7411763130340344E-2</v>
      </c>
      <c r="T382" s="29" t="s">
        <v>32</v>
      </c>
    </row>
    <row r="383" spans="1:20" s="1" customFormat="1" ht="31.5" x14ac:dyDescent="0.25">
      <c r="A383" s="26" t="s">
        <v>761</v>
      </c>
      <c r="B383" s="47" t="s">
        <v>772</v>
      </c>
      <c r="C383" s="33" t="s">
        <v>773</v>
      </c>
      <c r="D383" s="29">
        <v>276.1085350866</v>
      </c>
      <c r="E383" s="29">
        <v>19.55638892</v>
      </c>
      <c r="F383" s="29">
        <f t="shared" si="159"/>
        <v>256.55214616659998</v>
      </c>
      <c r="G383" s="30">
        <v>9.8250036000000005</v>
      </c>
      <c r="H383" s="29">
        <f t="shared" si="157"/>
        <v>8.5969900700000004</v>
      </c>
      <c r="I383" s="29">
        <v>0.3593286</v>
      </c>
      <c r="J383" s="29">
        <v>7.4057419999999999E-2</v>
      </c>
      <c r="K383" s="29">
        <v>7.5225E-2</v>
      </c>
      <c r="L383" s="29">
        <v>7.9949919999999994E-2</v>
      </c>
      <c r="M383" s="29">
        <v>2.475225</v>
      </c>
      <c r="N383" s="29">
        <f>2262.15568/1000</f>
        <v>2.2621556799999998</v>
      </c>
      <c r="O383" s="29">
        <v>6.9152250000000004</v>
      </c>
      <c r="P383" s="29">
        <v>6.1808270500000004</v>
      </c>
      <c r="Q383" s="29">
        <f t="shared" si="158"/>
        <v>247.95515609659998</v>
      </c>
      <c r="R383" s="29">
        <f t="shared" si="148"/>
        <v>-1.2280135300000001</v>
      </c>
      <c r="S383" s="31">
        <f t="shared" si="142"/>
        <v>-0.12498860865557343</v>
      </c>
      <c r="T383" s="29" t="s">
        <v>774</v>
      </c>
    </row>
    <row r="384" spans="1:20" s="1" customFormat="1" ht="31.5" x14ac:dyDescent="0.25">
      <c r="A384" s="26" t="s">
        <v>761</v>
      </c>
      <c r="B384" s="47" t="s">
        <v>775</v>
      </c>
      <c r="C384" s="33" t="s">
        <v>776</v>
      </c>
      <c r="D384" s="29">
        <v>205.68734713356599</v>
      </c>
      <c r="E384" s="29">
        <v>21.75802281</v>
      </c>
      <c r="F384" s="29">
        <f t="shared" si="159"/>
        <v>183.92932432356599</v>
      </c>
      <c r="G384" s="30">
        <v>5.3443000000000005</v>
      </c>
      <c r="H384" s="29">
        <f t="shared" si="157"/>
        <v>7.65956E-2</v>
      </c>
      <c r="I384" s="29">
        <v>2.4774999999999998E-2</v>
      </c>
      <c r="J384" s="29">
        <v>2.5084510000000001E-2</v>
      </c>
      <c r="K384" s="29">
        <v>2.5075E-2</v>
      </c>
      <c r="L384" s="29">
        <v>2.4430190000000001E-2</v>
      </c>
      <c r="M384" s="29">
        <v>1.2250750000000001</v>
      </c>
      <c r="N384" s="29">
        <f>7.58279/1000</f>
        <v>7.5827899999999998E-3</v>
      </c>
      <c r="O384" s="29">
        <f>G384-I384-K384-M384</f>
        <v>4.069375</v>
      </c>
      <c r="P384" s="29">
        <v>1.9498109999999999E-2</v>
      </c>
      <c r="Q384" s="29">
        <f t="shared" si="158"/>
        <v>183.852728723566</v>
      </c>
      <c r="R384" s="29">
        <f t="shared" si="148"/>
        <v>-5.2677044000000004</v>
      </c>
      <c r="S384" s="31">
        <f t="shared" si="142"/>
        <v>-0.98566779559530715</v>
      </c>
      <c r="T384" s="29" t="s">
        <v>777</v>
      </c>
    </row>
    <row r="385" spans="1:20" s="1" customFormat="1" ht="31.5" x14ac:dyDescent="0.25">
      <c r="A385" s="26" t="s">
        <v>761</v>
      </c>
      <c r="B385" s="47" t="s">
        <v>778</v>
      </c>
      <c r="C385" s="33" t="s">
        <v>779</v>
      </c>
      <c r="D385" s="29">
        <v>0.69599999999999995</v>
      </c>
      <c r="E385" s="29">
        <v>0</v>
      </c>
      <c r="F385" s="29">
        <f t="shared" si="159"/>
        <v>0.69599999999999995</v>
      </c>
      <c r="G385" s="30">
        <v>0.69599999999999995</v>
      </c>
      <c r="H385" s="29">
        <f t="shared" si="157"/>
        <v>0.68839444999999999</v>
      </c>
      <c r="I385" s="29">
        <v>0</v>
      </c>
      <c r="J385" s="29">
        <v>0.12959999999999999</v>
      </c>
      <c r="K385" s="29">
        <v>0</v>
      </c>
      <c r="L385" s="29">
        <v>0</v>
      </c>
      <c r="M385" s="29">
        <v>0.69599999999999995</v>
      </c>
      <c r="N385" s="29">
        <f>592.39445/1000</f>
        <v>0.59239445000000002</v>
      </c>
      <c r="O385" s="29">
        <v>0</v>
      </c>
      <c r="P385" s="29">
        <v>-3.3599999999999991E-2</v>
      </c>
      <c r="Q385" s="29">
        <f t="shared" si="158"/>
        <v>7.605549999999961E-3</v>
      </c>
      <c r="R385" s="29">
        <f t="shared" si="148"/>
        <v>-7.605549999999961E-3</v>
      </c>
      <c r="S385" s="31">
        <f t="shared" si="142"/>
        <v>-1.0927514367816037E-2</v>
      </c>
      <c r="T385" s="29" t="s">
        <v>32</v>
      </c>
    </row>
    <row r="386" spans="1:20" s="1" customFormat="1" ht="47.25" x14ac:dyDescent="0.25">
      <c r="A386" s="26" t="s">
        <v>761</v>
      </c>
      <c r="B386" s="47" t="s">
        <v>780</v>
      </c>
      <c r="C386" s="33" t="s">
        <v>781</v>
      </c>
      <c r="D386" s="29">
        <v>0.31482791999999998</v>
      </c>
      <c r="E386" s="29">
        <v>0</v>
      </c>
      <c r="F386" s="29">
        <f t="shared" si="159"/>
        <v>0.31482791999999998</v>
      </c>
      <c r="G386" s="30">
        <v>0.31482791999999998</v>
      </c>
      <c r="H386" s="29">
        <f t="shared" si="157"/>
        <v>0.27776579999999995</v>
      </c>
      <c r="I386" s="29">
        <v>0</v>
      </c>
      <c r="J386" s="29">
        <v>0</v>
      </c>
      <c r="K386" s="29">
        <v>0</v>
      </c>
      <c r="L386" s="29">
        <v>0</v>
      </c>
      <c r="M386" s="29">
        <v>0.31482791999999998</v>
      </c>
      <c r="N386" s="29">
        <v>0</v>
      </c>
      <c r="O386" s="29">
        <v>0</v>
      </c>
      <c r="P386" s="29">
        <v>0.27776579999999995</v>
      </c>
      <c r="Q386" s="29">
        <f t="shared" si="158"/>
        <v>3.7062120000000032E-2</v>
      </c>
      <c r="R386" s="29">
        <f t="shared" si="148"/>
        <v>-3.7062120000000032E-2</v>
      </c>
      <c r="S386" s="31">
        <f t="shared" si="142"/>
        <v>-0.11772183356546025</v>
      </c>
      <c r="T386" s="29" t="s">
        <v>681</v>
      </c>
    </row>
    <row r="387" spans="1:20" s="1" customFormat="1" ht="47.25" x14ac:dyDescent="0.25">
      <c r="A387" s="26" t="s">
        <v>761</v>
      </c>
      <c r="B387" s="47" t="s">
        <v>782</v>
      </c>
      <c r="C387" s="33" t="s">
        <v>783</v>
      </c>
      <c r="D387" s="29">
        <v>0.12108768</v>
      </c>
      <c r="E387" s="29">
        <v>0</v>
      </c>
      <c r="F387" s="29">
        <f t="shared" si="159"/>
        <v>0.12108768</v>
      </c>
      <c r="G387" s="30">
        <v>0.12108768</v>
      </c>
      <c r="H387" s="29">
        <f t="shared" si="157"/>
        <v>0.14619133000000001</v>
      </c>
      <c r="I387" s="29">
        <v>0</v>
      </c>
      <c r="J387" s="29">
        <v>0</v>
      </c>
      <c r="K387" s="29">
        <v>0</v>
      </c>
      <c r="L387" s="29">
        <v>0</v>
      </c>
      <c r="M387" s="29">
        <v>0.12108768</v>
      </c>
      <c r="N387" s="29">
        <v>0</v>
      </c>
      <c r="O387" s="29">
        <v>0</v>
      </c>
      <c r="P387" s="29">
        <v>0.14619133000000001</v>
      </c>
      <c r="Q387" s="29">
        <f t="shared" si="158"/>
        <v>-2.5103650000000005E-2</v>
      </c>
      <c r="R387" s="29">
        <f t="shared" si="148"/>
        <v>2.5103650000000005E-2</v>
      </c>
      <c r="S387" s="31">
        <f t="shared" si="142"/>
        <v>0.20731795340368239</v>
      </c>
      <c r="T387" s="29" t="s">
        <v>681</v>
      </c>
    </row>
    <row r="388" spans="1:20" s="1" customFormat="1" ht="31.5" x14ac:dyDescent="0.25">
      <c r="A388" s="26" t="s">
        <v>761</v>
      </c>
      <c r="B388" s="47" t="s">
        <v>784</v>
      </c>
      <c r="C388" s="33" t="s">
        <v>785</v>
      </c>
      <c r="D388" s="29">
        <v>4.2468000000000004</v>
      </c>
      <c r="E388" s="29">
        <v>0</v>
      </c>
      <c r="F388" s="29">
        <f t="shared" si="159"/>
        <v>4.2468000000000004</v>
      </c>
      <c r="G388" s="30">
        <v>4.2468000000000004</v>
      </c>
      <c r="H388" s="29">
        <f t="shared" si="157"/>
        <v>4.7679979600000006</v>
      </c>
      <c r="I388" s="29">
        <v>0</v>
      </c>
      <c r="J388" s="29">
        <v>0</v>
      </c>
      <c r="K388" s="29">
        <v>0</v>
      </c>
      <c r="L388" s="29">
        <v>2.9159999999999999</v>
      </c>
      <c r="M388" s="29">
        <v>3.6311999999999998</v>
      </c>
      <c r="N388" s="29">
        <f>707.32299/1000</f>
        <v>0.70732298999999998</v>
      </c>
      <c r="O388" s="29">
        <v>0.61560000000000004</v>
      </c>
      <c r="P388" s="29">
        <v>1.1446749700000001</v>
      </c>
      <c r="Q388" s="29">
        <f t="shared" si="158"/>
        <v>-0.52119796000000029</v>
      </c>
      <c r="R388" s="29">
        <f t="shared" si="148"/>
        <v>0.52119796000000118</v>
      </c>
      <c r="S388" s="31">
        <f t="shared" si="142"/>
        <v>0.12272722049543215</v>
      </c>
      <c r="T388" s="29" t="s">
        <v>786</v>
      </c>
    </row>
    <row r="389" spans="1:20" s="1" customFormat="1" ht="31.5" x14ac:dyDescent="0.25">
      <c r="A389" s="26" t="s">
        <v>761</v>
      </c>
      <c r="B389" s="47" t="s">
        <v>787</v>
      </c>
      <c r="C389" s="33" t="s">
        <v>788</v>
      </c>
      <c r="D389" s="29">
        <v>1.464</v>
      </c>
      <c r="E389" s="29">
        <v>0</v>
      </c>
      <c r="F389" s="29">
        <f t="shared" si="159"/>
        <v>1.464</v>
      </c>
      <c r="G389" s="30">
        <v>1.464</v>
      </c>
      <c r="H389" s="29">
        <f t="shared" si="157"/>
        <v>1.4315387300000002</v>
      </c>
      <c r="I389" s="29">
        <v>0</v>
      </c>
      <c r="J389" s="29">
        <v>0</v>
      </c>
      <c r="K389" s="29">
        <v>0</v>
      </c>
      <c r="L389" s="29">
        <v>6.6316799999999995E-2</v>
      </c>
      <c r="M389" s="29">
        <v>1.0640000000000001</v>
      </c>
      <c r="N389" s="29">
        <f>1221.56861/1000</f>
        <v>1.2215686100000001</v>
      </c>
      <c r="O389" s="29">
        <v>0.4</v>
      </c>
      <c r="P389" s="29">
        <v>0.14365332</v>
      </c>
      <c r="Q389" s="29">
        <f t="shared" si="158"/>
        <v>3.2461269999999764E-2</v>
      </c>
      <c r="R389" s="29">
        <f t="shared" si="148"/>
        <v>-3.2461269999999764E-2</v>
      </c>
      <c r="S389" s="31">
        <f t="shared" si="142"/>
        <v>-2.2172998633879622E-2</v>
      </c>
      <c r="T389" s="29" t="s">
        <v>32</v>
      </c>
    </row>
    <row r="390" spans="1:20" s="1" customFormat="1" ht="47.25" x14ac:dyDescent="0.25">
      <c r="A390" s="26" t="s">
        <v>761</v>
      </c>
      <c r="B390" s="47" t="s">
        <v>789</v>
      </c>
      <c r="C390" s="33" t="s">
        <v>790</v>
      </c>
      <c r="D390" s="29">
        <v>3.7326912800000001</v>
      </c>
      <c r="E390" s="29">
        <v>0</v>
      </c>
      <c r="F390" s="29">
        <f t="shared" si="159"/>
        <v>3.7326912800000001</v>
      </c>
      <c r="G390" s="30">
        <v>0.96</v>
      </c>
      <c r="H390" s="29">
        <f t="shared" si="157"/>
        <v>0.56647793999999996</v>
      </c>
      <c r="I390" s="29">
        <v>0</v>
      </c>
      <c r="J390" s="29">
        <v>0</v>
      </c>
      <c r="K390" s="29">
        <v>0</v>
      </c>
      <c r="L390" s="29">
        <v>0</v>
      </c>
      <c r="M390" s="29">
        <v>0.4</v>
      </c>
      <c r="N390" s="29">
        <f>233.17524/1000</f>
        <v>0.23317524000000001</v>
      </c>
      <c r="O390" s="29">
        <v>0.56000000000000005</v>
      </c>
      <c r="P390" s="29">
        <v>0.33330270000000001</v>
      </c>
      <c r="Q390" s="29">
        <f t="shared" si="158"/>
        <v>3.1662133400000001</v>
      </c>
      <c r="R390" s="29">
        <f t="shared" si="148"/>
        <v>-0.39352206000000012</v>
      </c>
      <c r="S390" s="31">
        <f t="shared" si="142"/>
        <v>-0.40991881250000012</v>
      </c>
      <c r="T390" s="29" t="s">
        <v>791</v>
      </c>
    </row>
    <row r="391" spans="1:20" s="1" customFormat="1" ht="63" x14ac:dyDescent="0.25">
      <c r="A391" s="26" t="s">
        <v>761</v>
      </c>
      <c r="B391" s="47" t="s">
        <v>792</v>
      </c>
      <c r="C391" s="33" t="s">
        <v>793</v>
      </c>
      <c r="D391" s="29">
        <v>8.2799999999999994</v>
      </c>
      <c r="E391" s="29">
        <v>0</v>
      </c>
      <c r="F391" s="29">
        <f t="shared" si="159"/>
        <v>8.2799999999999994</v>
      </c>
      <c r="G391" s="30">
        <v>5.18</v>
      </c>
      <c r="H391" s="29">
        <f t="shared" si="157"/>
        <v>0</v>
      </c>
      <c r="I391" s="29">
        <v>0</v>
      </c>
      <c r="J391" s="29">
        <v>0</v>
      </c>
      <c r="K391" s="29">
        <v>0</v>
      </c>
      <c r="L391" s="29">
        <v>0</v>
      </c>
      <c r="M391" s="29">
        <v>0</v>
      </c>
      <c r="N391" s="29">
        <v>0</v>
      </c>
      <c r="O391" s="29">
        <f>G391-I391-K391-M391</f>
        <v>5.18</v>
      </c>
      <c r="P391" s="29">
        <v>0</v>
      </c>
      <c r="Q391" s="29">
        <f t="shared" si="158"/>
        <v>8.2799999999999994</v>
      </c>
      <c r="R391" s="29">
        <f t="shared" si="148"/>
        <v>-5.18</v>
      </c>
      <c r="S391" s="31">
        <f t="shared" si="142"/>
        <v>-1</v>
      </c>
      <c r="T391" s="29" t="s">
        <v>794</v>
      </c>
    </row>
    <row r="392" spans="1:20" s="1" customFormat="1" ht="63" x14ac:dyDescent="0.25">
      <c r="A392" s="26" t="s">
        <v>761</v>
      </c>
      <c r="B392" s="47" t="s">
        <v>795</v>
      </c>
      <c r="C392" s="33" t="s">
        <v>796</v>
      </c>
      <c r="D392" s="29">
        <v>18.053072</v>
      </c>
      <c r="E392" s="29">
        <v>0</v>
      </c>
      <c r="F392" s="29">
        <f t="shared" si="159"/>
        <v>18.053072</v>
      </c>
      <c r="G392" s="30">
        <v>16.253072</v>
      </c>
      <c r="H392" s="29">
        <f t="shared" si="157"/>
        <v>0</v>
      </c>
      <c r="I392" s="29">
        <v>0.12537499999999999</v>
      </c>
      <c r="J392" s="29">
        <v>0.13071079999999999</v>
      </c>
      <c r="K392" s="29">
        <v>0.12537499999999999</v>
      </c>
      <c r="L392" s="29">
        <v>0.11564246</v>
      </c>
      <c r="M392" s="29">
        <v>0.124375</v>
      </c>
      <c r="N392" s="29">
        <f>117.91092/1000</f>
        <v>0.11791092</v>
      </c>
      <c r="O392" s="29">
        <f>G392-I392-K392-M392</f>
        <v>15.877947000000002</v>
      </c>
      <c r="P392" s="29">
        <v>-0.36426417999999994</v>
      </c>
      <c r="Q392" s="29">
        <f t="shared" si="158"/>
        <v>18.053072</v>
      </c>
      <c r="R392" s="29">
        <f t="shared" si="148"/>
        <v>-16.253072000000003</v>
      </c>
      <c r="S392" s="31">
        <f t="shared" si="142"/>
        <v>-1</v>
      </c>
      <c r="T392" s="29" t="s">
        <v>794</v>
      </c>
    </row>
    <row r="393" spans="1:20" s="1" customFormat="1" ht="31.5" x14ac:dyDescent="0.25">
      <c r="A393" s="26" t="s">
        <v>761</v>
      </c>
      <c r="B393" s="47" t="s">
        <v>797</v>
      </c>
      <c r="C393" s="33" t="s">
        <v>798</v>
      </c>
      <c r="D393" s="29">
        <v>4.32</v>
      </c>
      <c r="E393" s="29">
        <v>0</v>
      </c>
      <c r="F393" s="29">
        <f t="shared" si="159"/>
        <v>4.32</v>
      </c>
      <c r="G393" s="30">
        <v>4.32</v>
      </c>
      <c r="H393" s="29">
        <f t="shared" si="157"/>
        <v>0.38978588000000003</v>
      </c>
      <c r="I393" s="29">
        <v>0</v>
      </c>
      <c r="J393" s="29">
        <v>0</v>
      </c>
      <c r="K393" s="29">
        <v>0</v>
      </c>
      <c r="L393" s="29">
        <v>0</v>
      </c>
      <c r="M393" s="29">
        <v>0</v>
      </c>
      <c r="N393" s="29">
        <f>364.1618/1000</f>
        <v>0.36416180000000004</v>
      </c>
      <c r="O393" s="29">
        <v>4.32</v>
      </c>
      <c r="P393" s="29">
        <v>2.5624079999999997E-2</v>
      </c>
      <c r="Q393" s="29">
        <f t="shared" si="158"/>
        <v>3.9302141200000005</v>
      </c>
      <c r="R393" s="29">
        <f t="shared" si="148"/>
        <v>-3.9302141200000005</v>
      </c>
      <c r="S393" s="31">
        <f t="shared" si="142"/>
        <v>-0.90977178703703709</v>
      </c>
      <c r="T393" s="30" t="s">
        <v>799</v>
      </c>
    </row>
    <row r="394" spans="1:20" s="1" customFormat="1" ht="31.5" x14ac:dyDescent="0.25">
      <c r="A394" s="26" t="s">
        <v>761</v>
      </c>
      <c r="B394" s="47" t="s">
        <v>800</v>
      </c>
      <c r="C394" s="33" t="s">
        <v>801</v>
      </c>
      <c r="D394" s="29">
        <v>134.64249107118638</v>
      </c>
      <c r="E394" s="29">
        <v>19.142752680000001</v>
      </c>
      <c r="F394" s="29">
        <f t="shared" si="159"/>
        <v>115.49973839118638</v>
      </c>
      <c r="G394" s="30">
        <v>10.905863099999999</v>
      </c>
      <c r="H394" s="29">
        <f t="shared" si="157"/>
        <v>10.12506803</v>
      </c>
      <c r="I394" s="29">
        <v>0.37097084000000002</v>
      </c>
      <c r="J394" s="29">
        <v>7.4206244000000003</v>
      </c>
      <c r="K394" s="29">
        <v>4.2000000000000003E-2</v>
      </c>
      <c r="L394" s="29">
        <v>2.5754619600000002</v>
      </c>
      <c r="M394" s="29">
        <v>1.2294800000000001</v>
      </c>
      <c r="N394" s="29">
        <f>128.98167/1000</f>
        <v>0.12898167000000002</v>
      </c>
      <c r="O394" s="29">
        <f>G394-I394-K394-M394</f>
        <v>9.2634122599999991</v>
      </c>
      <c r="P394" s="29">
        <v>0</v>
      </c>
      <c r="Q394" s="29">
        <f t="shared" si="158"/>
        <v>105.37467036118639</v>
      </c>
      <c r="R394" s="29">
        <f t="shared" si="148"/>
        <v>-0.78079506999999992</v>
      </c>
      <c r="S394" s="31">
        <f t="shared" si="142"/>
        <v>-7.1594064847558925E-2</v>
      </c>
      <c r="T394" s="29" t="s">
        <v>32</v>
      </c>
    </row>
    <row r="395" spans="1:20" s="1" customFormat="1" ht="31.5" x14ac:dyDescent="0.25">
      <c r="A395" s="26" t="s">
        <v>761</v>
      </c>
      <c r="B395" s="47" t="s">
        <v>802</v>
      </c>
      <c r="C395" s="33" t="s">
        <v>803</v>
      </c>
      <c r="D395" s="29">
        <v>81.681968095600013</v>
      </c>
      <c r="E395" s="29">
        <v>1.1115600000000001</v>
      </c>
      <c r="F395" s="29">
        <f t="shared" si="159"/>
        <v>80.570408095600015</v>
      </c>
      <c r="G395" s="30">
        <v>8.9499999999999993</v>
      </c>
      <c r="H395" s="29">
        <f t="shared" si="157"/>
        <v>7.5893872</v>
      </c>
      <c r="I395" s="29">
        <v>6.2687499999999993E-2</v>
      </c>
      <c r="J395" s="29">
        <v>6.4561439999999998E-2</v>
      </c>
      <c r="K395" s="29">
        <v>6.2687499999999993E-2</v>
      </c>
      <c r="L395" s="29">
        <v>7.0706270000000002E-2</v>
      </c>
      <c r="M395" s="29">
        <v>3.0626875</v>
      </c>
      <c r="N395" s="29">
        <f>35.45992/1000</f>
        <v>3.5459919999999999E-2</v>
      </c>
      <c r="O395" s="29">
        <v>5.7619375000000002</v>
      </c>
      <c r="P395" s="29">
        <v>7.41865957</v>
      </c>
      <c r="Q395" s="29">
        <f t="shared" si="158"/>
        <v>72.981020895600011</v>
      </c>
      <c r="R395" s="29">
        <f t="shared" si="148"/>
        <v>-1.3606127999999993</v>
      </c>
      <c r="S395" s="31">
        <f t="shared" si="142"/>
        <v>-0.15202377653631277</v>
      </c>
      <c r="T395" s="29" t="s">
        <v>744</v>
      </c>
    </row>
    <row r="396" spans="1:20" s="1" customFormat="1" ht="31.5" x14ac:dyDescent="0.25">
      <c r="A396" s="26" t="s">
        <v>761</v>
      </c>
      <c r="B396" s="47" t="s">
        <v>804</v>
      </c>
      <c r="C396" s="33" t="s">
        <v>805</v>
      </c>
      <c r="D396" s="29">
        <v>20.147618135999998</v>
      </c>
      <c r="E396" s="29">
        <v>0</v>
      </c>
      <c r="F396" s="29">
        <f t="shared" si="159"/>
        <v>20.147618135999998</v>
      </c>
      <c r="G396" s="30">
        <v>19.562618130000001</v>
      </c>
      <c r="H396" s="29">
        <f t="shared" si="157"/>
        <v>9.9126082100000019</v>
      </c>
      <c r="I396" s="29">
        <v>0.31570920999999996</v>
      </c>
      <c r="J396" s="29">
        <v>0.32802586</v>
      </c>
      <c r="K396" s="29">
        <v>0.31570920000000002</v>
      </c>
      <c r="L396" s="29">
        <v>3.2848942600000002</v>
      </c>
      <c r="M396" s="29">
        <v>3.6848509600000003</v>
      </c>
      <c r="N396" s="29">
        <f>422.45916/1000</f>
        <v>0.42245916</v>
      </c>
      <c r="O396" s="29">
        <f>G396-I396-K396-M396</f>
        <v>15.246348759999998</v>
      </c>
      <c r="P396" s="29">
        <v>5.8772289300000011</v>
      </c>
      <c r="Q396" s="29">
        <f t="shared" si="158"/>
        <v>10.235009925999996</v>
      </c>
      <c r="R396" s="29">
        <f t="shared" si="148"/>
        <v>-9.6500099199999951</v>
      </c>
      <c r="S396" s="31">
        <f t="shared" si="142"/>
        <v>-0.49328826314926366</v>
      </c>
      <c r="T396" s="29" t="s">
        <v>806</v>
      </c>
    </row>
    <row r="397" spans="1:20" s="1" customFormat="1" ht="31.5" x14ac:dyDescent="0.25">
      <c r="A397" s="26" t="s">
        <v>761</v>
      </c>
      <c r="B397" s="47" t="s">
        <v>807</v>
      </c>
      <c r="C397" s="33" t="s">
        <v>808</v>
      </c>
      <c r="D397" s="29">
        <v>13.19</v>
      </c>
      <c r="E397" s="29">
        <v>0</v>
      </c>
      <c r="F397" s="29">
        <f t="shared" si="159"/>
        <v>13.19</v>
      </c>
      <c r="G397" s="30">
        <v>1.44</v>
      </c>
      <c r="H397" s="29">
        <f t="shared" si="157"/>
        <v>0.45</v>
      </c>
      <c r="I397" s="29">
        <v>0</v>
      </c>
      <c r="J397" s="29">
        <v>0</v>
      </c>
      <c r="K397" s="29">
        <v>0</v>
      </c>
      <c r="L397" s="29">
        <v>0</v>
      </c>
      <c r="M397" s="29">
        <v>0</v>
      </c>
      <c r="N397" s="29">
        <f>450/1000</f>
        <v>0.45</v>
      </c>
      <c r="O397" s="29">
        <v>1.44</v>
      </c>
      <c r="P397" s="29">
        <v>0</v>
      </c>
      <c r="Q397" s="29">
        <f t="shared" si="158"/>
        <v>12.74</v>
      </c>
      <c r="R397" s="29">
        <f t="shared" si="148"/>
        <v>-0.99</v>
      </c>
      <c r="S397" s="31">
        <f t="shared" ref="S397:S405" si="160">R397/(I397+K397+M397+O397)</f>
        <v>-0.6875</v>
      </c>
      <c r="T397" s="30" t="s">
        <v>799</v>
      </c>
    </row>
    <row r="398" spans="1:20" s="1" customFormat="1" ht="56.25" customHeight="1" x14ac:dyDescent="0.25">
      <c r="A398" s="26" t="s">
        <v>761</v>
      </c>
      <c r="B398" s="47" t="s">
        <v>809</v>
      </c>
      <c r="C398" s="33" t="s">
        <v>810</v>
      </c>
      <c r="D398" s="29">
        <v>63.858999999999995</v>
      </c>
      <c r="E398" s="29">
        <v>0</v>
      </c>
      <c r="F398" s="29">
        <f t="shared" si="159"/>
        <v>63.858999999999995</v>
      </c>
      <c r="G398" s="30">
        <v>17.059359999999998</v>
      </c>
      <c r="H398" s="29">
        <f t="shared" si="157"/>
        <v>24.670451820000004</v>
      </c>
      <c r="I398" s="29">
        <v>0.11455425</v>
      </c>
      <c r="J398" s="29">
        <v>0.11861157</v>
      </c>
      <c r="K398" s="29">
        <v>0.11455425</v>
      </c>
      <c r="L398" s="29">
        <v>0.11226268</v>
      </c>
      <c r="M398" s="29">
        <v>4.8418262500000004</v>
      </c>
      <c r="N398" s="29">
        <f>97.51702/1000</f>
        <v>9.7517019999999996E-2</v>
      </c>
      <c r="O398" s="29">
        <v>11.988425250000001</v>
      </c>
      <c r="P398" s="29">
        <v>24.342060550000003</v>
      </c>
      <c r="Q398" s="29">
        <f t="shared" si="158"/>
        <v>39.188548179999991</v>
      </c>
      <c r="R398" s="29">
        <f t="shared" si="148"/>
        <v>7.6110918200000022</v>
      </c>
      <c r="S398" s="31">
        <f t="shared" si="160"/>
        <v>0.44615342076138853</v>
      </c>
      <c r="T398" s="29" t="s">
        <v>811</v>
      </c>
    </row>
    <row r="399" spans="1:20" s="1" customFormat="1" ht="84" customHeight="1" x14ac:dyDescent="0.25">
      <c r="A399" s="26" t="s">
        <v>761</v>
      </c>
      <c r="B399" s="47" t="s">
        <v>812</v>
      </c>
      <c r="C399" s="33" t="s">
        <v>813</v>
      </c>
      <c r="D399" s="29">
        <v>458.95989887539997</v>
      </c>
      <c r="E399" s="29">
        <v>8.993362659999999</v>
      </c>
      <c r="F399" s="29">
        <f t="shared" si="159"/>
        <v>449.96653621539997</v>
      </c>
      <c r="G399" s="30">
        <v>0.10568670000000001</v>
      </c>
      <c r="H399" s="29">
        <f t="shared" si="157"/>
        <v>0.10568669999999999</v>
      </c>
      <c r="I399" s="29">
        <v>0.10568670000000001</v>
      </c>
      <c r="J399" s="29">
        <v>0.10568669999999999</v>
      </c>
      <c r="K399" s="29">
        <v>0</v>
      </c>
      <c r="L399" s="29">
        <v>0</v>
      </c>
      <c r="M399" s="29">
        <v>0</v>
      </c>
      <c r="N399" s="29">
        <v>0</v>
      </c>
      <c r="O399" s="29">
        <v>0</v>
      </c>
      <c r="P399" s="29">
        <v>0</v>
      </c>
      <c r="Q399" s="29">
        <f t="shared" si="158"/>
        <v>449.86084951539999</v>
      </c>
      <c r="R399" s="29">
        <f t="shared" si="148"/>
        <v>0</v>
      </c>
      <c r="S399" s="31">
        <f t="shared" si="160"/>
        <v>0</v>
      </c>
      <c r="T399" s="29" t="s">
        <v>32</v>
      </c>
    </row>
    <row r="400" spans="1:20" s="1" customFormat="1" ht="37.5" customHeight="1" x14ac:dyDescent="0.25">
      <c r="A400" s="26" t="s">
        <v>761</v>
      </c>
      <c r="B400" s="47" t="s">
        <v>814</v>
      </c>
      <c r="C400" s="33" t="s">
        <v>815</v>
      </c>
      <c r="D400" s="29">
        <v>16.525352099999999</v>
      </c>
      <c r="E400" s="29">
        <v>16.34133491</v>
      </c>
      <c r="F400" s="29">
        <f t="shared" si="159"/>
        <v>0.18401718999999872</v>
      </c>
      <c r="G400" s="30">
        <v>0.18401719</v>
      </c>
      <c r="H400" s="29">
        <f t="shared" si="157"/>
        <v>0.18401719</v>
      </c>
      <c r="I400" s="29">
        <v>0.18401719</v>
      </c>
      <c r="J400" s="29">
        <v>0.18401719</v>
      </c>
      <c r="K400" s="29">
        <v>0</v>
      </c>
      <c r="L400" s="29">
        <v>0</v>
      </c>
      <c r="M400" s="29">
        <v>0</v>
      </c>
      <c r="N400" s="29">
        <v>0</v>
      </c>
      <c r="O400" s="29">
        <v>0</v>
      </c>
      <c r="P400" s="29">
        <v>0</v>
      </c>
      <c r="Q400" s="29">
        <f t="shared" si="158"/>
        <v>-1.27675647831893E-15</v>
      </c>
      <c r="R400" s="29">
        <f t="shared" si="148"/>
        <v>0</v>
      </c>
      <c r="S400" s="31">
        <f t="shared" si="160"/>
        <v>0</v>
      </c>
      <c r="T400" s="30" t="s">
        <v>237</v>
      </c>
    </row>
    <row r="401" spans="1:20" s="1" customFormat="1" ht="31.5" x14ac:dyDescent="0.25">
      <c r="A401" s="26" t="s">
        <v>761</v>
      </c>
      <c r="B401" s="47" t="s">
        <v>816</v>
      </c>
      <c r="C401" s="33" t="s">
        <v>817</v>
      </c>
      <c r="D401" s="29">
        <v>33.1586</v>
      </c>
      <c r="E401" s="29">
        <v>31.61927953</v>
      </c>
      <c r="F401" s="29">
        <f t="shared" si="159"/>
        <v>1.5393204699999998</v>
      </c>
      <c r="G401" s="30">
        <v>1.5393204699999998</v>
      </c>
      <c r="H401" s="29">
        <f t="shared" si="157"/>
        <v>1.5393204700000001</v>
      </c>
      <c r="I401" s="29">
        <v>0.79112372600000003</v>
      </c>
      <c r="J401" s="29">
        <v>1.5393204700000001</v>
      </c>
      <c r="K401" s="29">
        <v>0</v>
      </c>
      <c r="L401" s="29">
        <v>0</v>
      </c>
      <c r="M401" s="29">
        <v>0</v>
      </c>
      <c r="N401" s="29">
        <v>0</v>
      </c>
      <c r="O401" s="29">
        <f>G401-I401-K401-M401</f>
        <v>0.7481967439999998</v>
      </c>
      <c r="P401" s="29">
        <v>0</v>
      </c>
      <c r="Q401" s="29">
        <f t="shared" si="158"/>
        <v>0</v>
      </c>
      <c r="R401" s="29">
        <f t="shared" si="148"/>
        <v>0</v>
      </c>
      <c r="S401" s="31">
        <f t="shared" si="160"/>
        <v>0</v>
      </c>
      <c r="T401" s="29" t="s">
        <v>237</v>
      </c>
    </row>
    <row r="402" spans="1:20" s="1" customFormat="1" ht="31.5" x14ac:dyDescent="0.25">
      <c r="A402" s="26" t="s">
        <v>761</v>
      </c>
      <c r="B402" s="36" t="s">
        <v>818</v>
      </c>
      <c r="C402" s="29" t="s">
        <v>819</v>
      </c>
      <c r="D402" s="29">
        <v>125.90404488</v>
      </c>
      <c r="E402" s="29">
        <f>D402-F402</f>
        <v>124.33365552000001</v>
      </c>
      <c r="F402" s="29">
        <v>1.5703893599999998</v>
      </c>
      <c r="G402" s="29">
        <v>1.5703893599999998</v>
      </c>
      <c r="H402" s="29">
        <f t="shared" si="157"/>
        <v>1.5703893600000001</v>
      </c>
      <c r="I402" s="29">
        <v>0</v>
      </c>
      <c r="J402" s="29">
        <v>1.5703893600000001</v>
      </c>
      <c r="K402" s="29">
        <v>0</v>
      </c>
      <c r="L402" s="29">
        <v>0</v>
      </c>
      <c r="M402" s="29">
        <v>0</v>
      </c>
      <c r="N402" s="29">
        <v>0</v>
      </c>
      <c r="O402" s="29">
        <v>1.5703893599999998</v>
      </c>
      <c r="P402" s="29">
        <v>0</v>
      </c>
      <c r="Q402" s="29">
        <f t="shared" si="158"/>
        <v>0</v>
      </c>
      <c r="R402" s="29">
        <f t="shared" si="148"/>
        <v>0</v>
      </c>
      <c r="S402" s="31">
        <f t="shared" si="160"/>
        <v>0</v>
      </c>
      <c r="T402" s="43" t="s">
        <v>32</v>
      </c>
    </row>
    <row r="403" spans="1:20" s="1" customFormat="1" ht="42" customHeight="1" x14ac:dyDescent="0.25">
      <c r="A403" s="26" t="s">
        <v>761</v>
      </c>
      <c r="B403" s="47" t="s">
        <v>820</v>
      </c>
      <c r="C403" s="33" t="s">
        <v>821</v>
      </c>
      <c r="D403" s="29">
        <v>15.53986548</v>
      </c>
      <c r="E403" s="29">
        <v>6.6572242699999995</v>
      </c>
      <c r="F403" s="29">
        <f>D403-E403</f>
        <v>8.8826412099999992</v>
      </c>
      <c r="G403" s="30">
        <v>8.8826412099999992</v>
      </c>
      <c r="H403" s="29">
        <f t="shared" si="157"/>
        <v>8.8826412099999992</v>
      </c>
      <c r="I403" s="29">
        <v>0</v>
      </c>
      <c r="J403" s="29">
        <v>8.8826412099999992</v>
      </c>
      <c r="K403" s="29">
        <v>0</v>
      </c>
      <c r="L403" s="29">
        <v>0</v>
      </c>
      <c r="M403" s="29">
        <v>0</v>
      </c>
      <c r="N403" s="29">
        <v>0</v>
      </c>
      <c r="O403" s="29">
        <v>8.8826412099999992</v>
      </c>
      <c r="P403" s="29">
        <v>0</v>
      </c>
      <c r="Q403" s="29">
        <f t="shared" si="158"/>
        <v>0</v>
      </c>
      <c r="R403" s="29">
        <f t="shared" si="148"/>
        <v>0</v>
      </c>
      <c r="S403" s="31">
        <f t="shared" si="160"/>
        <v>0</v>
      </c>
      <c r="T403" s="30" t="s">
        <v>237</v>
      </c>
    </row>
    <row r="404" spans="1:20" s="1" customFormat="1" x14ac:dyDescent="0.25">
      <c r="A404" s="26" t="s">
        <v>761</v>
      </c>
      <c r="B404" s="47" t="s">
        <v>822</v>
      </c>
      <c r="C404" s="33" t="s">
        <v>823</v>
      </c>
      <c r="D404" s="29">
        <v>13.846847100000002</v>
      </c>
      <c r="E404" s="29">
        <f>D404-F404</f>
        <v>12.470689980000001</v>
      </c>
      <c r="F404" s="29">
        <v>1.37615712</v>
      </c>
      <c r="G404" s="29">
        <v>1.37615712</v>
      </c>
      <c r="H404" s="29">
        <f t="shared" si="157"/>
        <v>1.37615712</v>
      </c>
      <c r="I404" s="29">
        <v>0</v>
      </c>
      <c r="J404" s="29">
        <v>1.37615712</v>
      </c>
      <c r="K404" s="29">
        <v>0</v>
      </c>
      <c r="L404" s="29">
        <v>0</v>
      </c>
      <c r="M404" s="29">
        <v>0</v>
      </c>
      <c r="N404" s="29">
        <v>0</v>
      </c>
      <c r="O404" s="29">
        <v>1.37615712</v>
      </c>
      <c r="P404" s="29">
        <v>0</v>
      </c>
      <c r="Q404" s="29">
        <f t="shared" si="158"/>
        <v>0</v>
      </c>
      <c r="R404" s="29">
        <f t="shared" si="148"/>
        <v>0</v>
      </c>
      <c r="S404" s="31">
        <f t="shared" si="160"/>
        <v>0</v>
      </c>
      <c r="T404" s="29" t="s">
        <v>237</v>
      </c>
    </row>
    <row r="405" spans="1:20" s="1" customFormat="1" ht="52.5" customHeight="1" x14ac:dyDescent="0.25">
      <c r="A405" s="26" t="s">
        <v>761</v>
      </c>
      <c r="B405" s="47" t="s">
        <v>824</v>
      </c>
      <c r="C405" s="33" t="s">
        <v>825</v>
      </c>
      <c r="D405" s="29">
        <v>0.98639999999999994</v>
      </c>
      <c r="E405" s="29">
        <v>0</v>
      </c>
      <c r="F405" s="29">
        <f>D405-E405</f>
        <v>0.98639999999999994</v>
      </c>
      <c r="G405" s="30">
        <v>0.98639999999999994</v>
      </c>
      <c r="H405" s="29">
        <f t="shared" si="157"/>
        <v>0.98639999999999994</v>
      </c>
      <c r="I405" s="29">
        <v>0</v>
      </c>
      <c r="J405" s="29">
        <v>0</v>
      </c>
      <c r="K405" s="29">
        <v>0</v>
      </c>
      <c r="L405" s="29">
        <v>0.98639999999999994</v>
      </c>
      <c r="M405" s="29">
        <v>0</v>
      </c>
      <c r="N405" s="29">
        <v>0</v>
      </c>
      <c r="O405" s="29">
        <v>0.98639999999999994</v>
      </c>
      <c r="P405" s="29">
        <v>0</v>
      </c>
      <c r="Q405" s="29">
        <f t="shared" si="158"/>
        <v>0</v>
      </c>
      <c r="R405" s="29">
        <f t="shared" si="148"/>
        <v>0</v>
      </c>
      <c r="S405" s="31">
        <f t="shared" si="160"/>
        <v>0</v>
      </c>
      <c r="T405" s="29" t="s">
        <v>163</v>
      </c>
    </row>
    <row r="406" spans="1:20" s="1" customFormat="1" ht="47.25" x14ac:dyDescent="0.25">
      <c r="A406" s="18" t="s">
        <v>826</v>
      </c>
      <c r="B406" s="22" t="s">
        <v>290</v>
      </c>
      <c r="C406" s="20" t="s">
        <v>31</v>
      </c>
      <c r="D406" s="7">
        <f t="shared" ref="D406:R406" si="161">D407</f>
        <v>0</v>
      </c>
      <c r="E406" s="7">
        <f t="shared" si="161"/>
        <v>0</v>
      </c>
      <c r="F406" s="7">
        <f t="shared" si="161"/>
        <v>0</v>
      </c>
      <c r="G406" s="7">
        <f t="shared" si="161"/>
        <v>0</v>
      </c>
      <c r="H406" s="7">
        <f t="shared" si="161"/>
        <v>0</v>
      </c>
      <c r="I406" s="7">
        <f t="shared" si="161"/>
        <v>0</v>
      </c>
      <c r="J406" s="7">
        <f t="shared" si="161"/>
        <v>0</v>
      </c>
      <c r="K406" s="7">
        <f t="shared" si="161"/>
        <v>0</v>
      </c>
      <c r="L406" s="7">
        <f t="shared" si="161"/>
        <v>0</v>
      </c>
      <c r="M406" s="7">
        <f t="shared" si="161"/>
        <v>0</v>
      </c>
      <c r="N406" s="7">
        <f t="shared" si="161"/>
        <v>0</v>
      </c>
      <c r="O406" s="7">
        <f t="shared" si="161"/>
        <v>0</v>
      </c>
      <c r="P406" s="7">
        <f t="shared" si="161"/>
        <v>0</v>
      </c>
      <c r="Q406" s="7">
        <f t="shared" si="161"/>
        <v>0</v>
      </c>
      <c r="R406" s="7">
        <f t="shared" si="161"/>
        <v>0</v>
      </c>
      <c r="S406" s="21">
        <v>0</v>
      </c>
      <c r="T406" s="7" t="s">
        <v>32</v>
      </c>
    </row>
    <row r="407" spans="1:20" s="1" customFormat="1" x14ac:dyDescent="0.25">
      <c r="A407" s="18" t="s">
        <v>827</v>
      </c>
      <c r="B407" s="22" t="s">
        <v>828</v>
      </c>
      <c r="C407" s="20" t="s">
        <v>31</v>
      </c>
      <c r="D407" s="7">
        <f t="shared" ref="D407:R407" si="162">SUM(D408:D409)</f>
        <v>0</v>
      </c>
      <c r="E407" s="7">
        <f t="shared" si="162"/>
        <v>0</v>
      </c>
      <c r="F407" s="7">
        <f t="shared" si="162"/>
        <v>0</v>
      </c>
      <c r="G407" s="7">
        <f t="shared" si="162"/>
        <v>0</v>
      </c>
      <c r="H407" s="7">
        <f t="shared" si="162"/>
        <v>0</v>
      </c>
      <c r="I407" s="7">
        <f t="shared" si="162"/>
        <v>0</v>
      </c>
      <c r="J407" s="7">
        <f t="shared" si="162"/>
        <v>0</v>
      </c>
      <c r="K407" s="7">
        <f t="shared" si="162"/>
        <v>0</v>
      </c>
      <c r="L407" s="7">
        <f t="shared" si="162"/>
        <v>0</v>
      </c>
      <c r="M407" s="7">
        <f t="shared" si="162"/>
        <v>0</v>
      </c>
      <c r="N407" s="7">
        <f t="shared" si="162"/>
        <v>0</v>
      </c>
      <c r="O407" s="7">
        <f t="shared" si="162"/>
        <v>0</v>
      </c>
      <c r="P407" s="7">
        <f t="shared" si="162"/>
        <v>0</v>
      </c>
      <c r="Q407" s="7">
        <f t="shared" si="162"/>
        <v>0</v>
      </c>
      <c r="R407" s="7">
        <f t="shared" si="162"/>
        <v>0</v>
      </c>
      <c r="S407" s="21">
        <v>0</v>
      </c>
      <c r="T407" s="7" t="s">
        <v>32</v>
      </c>
    </row>
    <row r="408" spans="1:20" s="1" customFormat="1" ht="47.25" x14ac:dyDescent="0.25">
      <c r="A408" s="18" t="s">
        <v>829</v>
      </c>
      <c r="B408" s="22" t="s">
        <v>294</v>
      </c>
      <c r="C408" s="20" t="s">
        <v>31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21">
        <v>0</v>
      </c>
      <c r="T408" s="7" t="s">
        <v>32</v>
      </c>
    </row>
    <row r="409" spans="1:20" s="1" customFormat="1" ht="47.25" x14ac:dyDescent="0.25">
      <c r="A409" s="18" t="s">
        <v>830</v>
      </c>
      <c r="B409" s="22" t="s">
        <v>296</v>
      </c>
      <c r="C409" s="20" t="s">
        <v>31</v>
      </c>
      <c r="D409" s="7">
        <f t="shared" ref="D409:R409" si="163">SUM(D410:D410)</f>
        <v>0</v>
      </c>
      <c r="E409" s="7">
        <f t="shared" si="163"/>
        <v>0</v>
      </c>
      <c r="F409" s="7">
        <f t="shared" si="163"/>
        <v>0</v>
      </c>
      <c r="G409" s="7">
        <f t="shared" si="163"/>
        <v>0</v>
      </c>
      <c r="H409" s="7">
        <f t="shared" si="163"/>
        <v>0</v>
      </c>
      <c r="I409" s="7">
        <f t="shared" si="163"/>
        <v>0</v>
      </c>
      <c r="J409" s="7">
        <f t="shared" si="163"/>
        <v>0</v>
      </c>
      <c r="K409" s="7">
        <f t="shared" si="163"/>
        <v>0</v>
      </c>
      <c r="L409" s="7">
        <f t="shared" si="163"/>
        <v>0</v>
      </c>
      <c r="M409" s="7">
        <f t="shared" si="163"/>
        <v>0</v>
      </c>
      <c r="N409" s="7">
        <f t="shared" si="163"/>
        <v>0</v>
      </c>
      <c r="O409" s="7">
        <f t="shared" si="163"/>
        <v>0</v>
      </c>
      <c r="P409" s="7">
        <f t="shared" si="163"/>
        <v>0</v>
      </c>
      <c r="Q409" s="7">
        <f t="shared" si="163"/>
        <v>0</v>
      </c>
      <c r="R409" s="7">
        <f t="shared" si="163"/>
        <v>0</v>
      </c>
      <c r="S409" s="21">
        <v>0</v>
      </c>
      <c r="T409" s="7" t="s">
        <v>32</v>
      </c>
    </row>
    <row r="410" spans="1:20" s="1" customFormat="1" x14ac:dyDescent="0.25">
      <c r="A410" s="18" t="s">
        <v>831</v>
      </c>
      <c r="B410" s="22" t="s">
        <v>300</v>
      </c>
      <c r="C410" s="20" t="s">
        <v>31</v>
      </c>
      <c r="D410" s="7">
        <v>0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21">
        <v>0</v>
      </c>
      <c r="T410" s="7" t="s">
        <v>32</v>
      </c>
    </row>
    <row r="411" spans="1:20" s="1" customFormat="1" ht="47.25" x14ac:dyDescent="0.25">
      <c r="A411" s="18" t="s">
        <v>832</v>
      </c>
      <c r="B411" s="22" t="s">
        <v>294</v>
      </c>
      <c r="C411" s="20" t="s">
        <v>31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21">
        <v>0</v>
      </c>
      <c r="T411" s="7" t="s">
        <v>32</v>
      </c>
    </row>
    <row r="412" spans="1:20" s="1" customFormat="1" ht="47.25" x14ac:dyDescent="0.25">
      <c r="A412" s="18" t="s">
        <v>833</v>
      </c>
      <c r="B412" s="22" t="s">
        <v>296</v>
      </c>
      <c r="C412" s="20" t="s">
        <v>31</v>
      </c>
      <c r="D412" s="7">
        <v>0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21">
        <v>0</v>
      </c>
      <c r="T412" s="7" t="s">
        <v>32</v>
      </c>
    </row>
    <row r="413" spans="1:20" s="1" customFormat="1" x14ac:dyDescent="0.25">
      <c r="A413" s="18" t="s">
        <v>834</v>
      </c>
      <c r="B413" s="19" t="s">
        <v>304</v>
      </c>
      <c r="C413" s="20" t="s">
        <v>31</v>
      </c>
      <c r="D413" s="7">
        <f t="shared" ref="D413:R413" si="164">SUM(D415:D417,D414)</f>
        <v>2233.6059908429997</v>
      </c>
      <c r="E413" s="7">
        <f t="shared" si="164"/>
        <v>1762.8330807100001</v>
      </c>
      <c r="F413" s="7">
        <f t="shared" si="164"/>
        <v>470.77291013299975</v>
      </c>
      <c r="G413" s="7">
        <f t="shared" si="164"/>
        <v>49.641424620000002</v>
      </c>
      <c r="H413" s="7">
        <f t="shared" si="164"/>
        <v>40.981698599999994</v>
      </c>
      <c r="I413" s="7">
        <f t="shared" si="164"/>
        <v>3.9277047700000001</v>
      </c>
      <c r="J413" s="7">
        <f t="shared" si="164"/>
        <v>16.142900429999997</v>
      </c>
      <c r="K413" s="7">
        <f t="shared" si="164"/>
        <v>5.8517391200000004</v>
      </c>
      <c r="L413" s="7">
        <f t="shared" si="164"/>
        <v>3.7406796899999999</v>
      </c>
      <c r="M413" s="7">
        <f t="shared" si="164"/>
        <v>18.407270229999998</v>
      </c>
      <c r="N413" s="7">
        <f t="shared" si="164"/>
        <v>5.24966227</v>
      </c>
      <c r="O413" s="7">
        <f t="shared" si="164"/>
        <v>21.454710500000004</v>
      </c>
      <c r="P413" s="7">
        <f t="shared" si="164"/>
        <v>15.848456209999998</v>
      </c>
      <c r="Q413" s="7">
        <f t="shared" si="164"/>
        <v>429.79121153299974</v>
      </c>
      <c r="R413" s="7">
        <f t="shared" si="164"/>
        <v>-8.659726020000015</v>
      </c>
      <c r="S413" s="21">
        <f>R413/(I413+K413+M413+O413)</f>
        <v>-0.17444555804530845</v>
      </c>
      <c r="T413" s="7" t="s">
        <v>32</v>
      </c>
    </row>
    <row r="414" spans="1:20" s="1" customFormat="1" ht="31.5" x14ac:dyDescent="0.25">
      <c r="A414" s="18" t="s">
        <v>835</v>
      </c>
      <c r="B414" s="19" t="s">
        <v>306</v>
      </c>
      <c r="C414" s="20" t="s">
        <v>31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21">
        <v>0</v>
      </c>
      <c r="T414" s="7" t="s">
        <v>32</v>
      </c>
    </row>
    <row r="415" spans="1:20" s="1" customFormat="1" x14ac:dyDescent="0.25">
      <c r="A415" s="18" t="s">
        <v>836</v>
      </c>
      <c r="B415" s="19" t="s">
        <v>308</v>
      </c>
      <c r="C415" s="20" t="s">
        <v>31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21">
        <v>0</v>
      </c>
      <c r="T415" s="7" t="s">
        <v>32</v>
      </c>
    </row>
    <row r="416" spans="1:20" s="1" customFormat="1" x14ac:dyDescent="0.25">
      <c r="A416" s="18" t="s">
        <v>837</v>
      </c>
      <c r="B416" s="19" t="s">
        <v>313</v>
      </c>
      <c r="C416" s="20" t="s">
        <v>31</v>
      </c>
      <c r="D416" s="7">
        <v>0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21">
        <v>0</v>
      </c>
      <c r="T416" s="7" t="s">
        <v>32</v>
      </c>
    </row>
    <row r="417" spans="1:20" s="1" customFormat="1" x14ac:dyDescent="0.25">
      <c r="A417" s="18" t="s">
        <v>838</v>
      </c>
      <c r="B417" s="19" t="s">
        <v>321</v>
      </c>
      <c r="C417" s="20" t="s">
        <v>31</v>
      </c>
      <c r="D417" s="7">
        <f t="shared" ref="D417:R417" si="165">SUM(D418:D419)</f>
        <v>2233.6059908429997</v>
      </c>
      <c r="E417" s="7">
        <f t="shared" si="165"/>
        <v>1762.8330807100001</v>
      </c>
      <c r="F417" s="7">
        <f t="shared" si="165"/>
        <v>470.77291013299975</v>
      </c>
      <c r="G417" s="7">
        <f t="shared" si="165"/>
        <v>49.641424620000002</v>
      </c>
      <c r="H417" s="7">
        <f t="shared" si="165"/>
        <v>40.981698599999994</v>
      </c>
      <c r="I417" s="7">
        <f t="shared" si="165"/>
        <v>3.9277047700000001</v>
      </c>
      <c r="J417" s="7">
        <f t="shared" si="165"/>
        <v>16.142900429999997</v>
      </c>
      <c r="K417" s="7">
        <f t="shared" si="165"/>
        <v>5.8517391200000004</v>
      </c>
      <c r="L417" s="7">
        <f t="shared" si="165"/>
        <v>3.7406796899999999</v>
      </c>
      <c r="M417" s="7">
        <f t="shared" si="165"/>
        <v>18.407270229999998</v>
      </c>
      <c r="N417" s="7">
        <f t="shared" si="165"/>
        <v>5.24966227</v>
      </c>
      <c r="O417" s="7">
        <f t="shared" si="165"/>
        <v>21.454710500000004</v>
      </c>
      <c r="P417" s="7">
        <f t="shared" si="165"/>
        <v>15.848456209999998</v>
      </c>
      <c r="Q417" s="7">
        <f t="shared" si="165"/>
        <v>429.79121153299974</v>
      </c>
      <c r="R417" s="7">
        <f t="shared" si="165"/>
        <v>-8.659726020000015</v>
      </c>
      <c r="S417" s="21">
        <f>R417/(I417+K417+M417+O417)</f>
        <v>-0.17444555804530845</v>
      </c>
      <c r="T417" s="7" t="s">
        <v>32</v>
      </c>
    </row>
    <row r="418" spans="1:20" s="1" customFormat="1" ht="47.25" x14ac:dyDescent="0.25">
      <c r="A418" s="26" t="s">
        <v>838</v>
      </c>
      <c r="B418" s="36" t="s">
        <v>839</v>
      </c>
      <c r="C418" s="29" t="s">
        <v>840</v>
      </c>
      <c r="D418" s="29">
        <v>1901.1876326429999</v>
      </c>
      <c r="E418" s="29">
        <v>1430.4213357800002</v>
      </c>
      <c r="F418" s="29">
        <f>D418-E418</f>
        <v>470.76629686299975</v>
      </c>
      <c r="G418" s="30">
        <v>49.63481135</v>
      </c>
      <c r="H418" s="29">
        <f>J418+L418+N418+P418</f>
        <v>40.978786849999992</v>
      </c>
      <c r="I418" s="29">
        <v>3.0751808199999999</v>
      </c>
      <c r="J418" s="29">
        <v>16.139988679999998</v>
      </c>
      <c r="K418" s="29">
        <v>5.8517391200000004</v>
      </c>
      <c r="L418" s="29">
        <v>3.7406796899999999</v>
      </c>
      <c r="M418" s="29">
        <v>18.407270229999998</v>
      </c>
      <c r="N418" s="29">
        <f>5249.66227/1000</f>
        <v>5.24966227</v>
      </c>
      <c r="O418" s="29">
        <f>G418-I418-K418-M418</f>
        <v>22.300621180000004</v>
      </c>
      <c r="P418" s="29">
        <v>15.848456209999998</v>
      </c>
      <c r="Q418" s="29">
        <f>F418-H418</f>
        <v>429.78751001299975</v>
      </c>
      <c r="R418" s="29">
        <f t="shared" ref="R418:R419" si="166">H418-(I418+K418+M418+O418)</f>
        <v>-8.6560245000000151</v>
      </c>
      <c r="S418" s="31">
        <f t="shared" ref="S418:S419" si="167">R418/(I418+K418+M418+O418)</f>
        <v>-0.17439422583803199</v>
      </c>
      <c r="T418" s="45" t="s">
        <v>841</v>
      </c>
    </row>
    <row r="419" spans="1:20" s="1" customFormat="1" ht="47.25" x14ac:dyDescent="0.25">
      <c r="A419" s="26" t="s">
        <v>838</v>
      </c>
      <c r="B419" s="36" t="s">
        <v>842</v>
      </c>
      <c r="C419" s="29" t="s">
        <v>843</v>
      </c>
      <c r="D419" s="29">
        <v>332.4183582</v>
      </c>
      <c r="E419" s="29">
        <v>332.41174493</v>
      </c>
      <c r="F419" s="29">
        <f>D419-E419</f>
        <v>6.6132700000025579E-3</v>
      </c>
      <c r="G419" s="30">
        <v>6.6132700000000001E-3</v>
      </c>
      <c r="H419" s="29">
        <f>J419+L419+N419+P419</f>
        <v>2.9117499999999998E-3</v>
      </c>
      <c r="I419" s="29">
        <v>0.85252395000000003</v>
      </c>
      <c r="J419" s="29">
        <v>2.9117499999999998E-3</v>
      </c>
      <c r="K419" s="29">
        <v>0</v>
      </c>
      <c r="L419" s="29">
        <v>0</v>
      </c>
      <c r="M419" s="29">
        <v>0</v>
      </c>
      <c r="N419" s="29">
        <v>0</v>
      </c>
      <c r="O419" s="29">
        <f>G419-I419-K419-M419</f>
        <v>-0.84591068000000003</v>
      </c>
      <c r="P419" s="29">
        <v>0</v>
      </c>
      <c r="Q419" s="29">
        <f>F419-H419</f>
        <v>3.7015200000025581E-3</v>
      </c>
      <c r="R419" s="29">
        <f t="shared" si="166"/>
        <v>-3.7015200000000046E-3</v>
      </c>
      <c r="S419" s="31">
        <f t="shared" si="167"/>
        <v>-0.55971100529692608</v>
      </c>
      <c r="T419" s="29" t="s">
        <v>844</v>
      </c>
    </row>
    <row r="420" spans="1:20" s="1" customFormat="1" ht="33" customHeight="1" x14ac:dyDescent="0.25">
      <c r="A420" s="20" t="s">
        <v>845</v>
      </c>
      <c r="B420" s="22" t="s">
        <v>339</v>
      </c>
      <c r="C420" s="20" t="s">
        <v>31</v>
      </c>
      <c r="D420" s="7">
        <v>0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21">
        <v>0</v>
      </c>
      <c r="T420" s="7" t="s">
        <v>32</v>
      </c>
    </row>
    <row r="421" spans="1:20" s="1" customFormat="1" x14ac:dyDescent="0.25">
      <c r="A421" s="18" t="s">
        <v>846</v>
      </c>
      <c r="B421" s="22" t="s">
        <v>341</v>
      </c>
      <c r="C421" s="20" t="s">
        <v>31</v>
      </c>
      <c r="D421" s="7">
        <f t="shared" ref="D421:R421" si="168">SUM(D422:D491)</f>
        <v>977.71801268698232</v>
      </c>
      <c r="E421" s="7">
        <f t="shared" si="168"/>
        <v>228.44597032999999</v>
      </c>
      <c r="F421" s="7">
        <f t="shared" si="168"/>
        <v>749.2720423569823</v>
      </c>
      <c r="G421" s="7">
        <f t="shared" si="168"/>
        <v>560.50199737498247</v>
      </c>
      <c r="H421" s="7">
        <f t="shared" si="168"/>
        <v>269.99891936000012</v>
      </c>
      <c r="I421" s="7">
        <f t="shared" si="168"/>
        <v>11.214142152799999</v>
      </c>
      <c r="J421" s="7">
        <f t="shared" si="168"/>
        <v>5.2953E-2</v>
      </c>
      <c r="K421" s="7">
        <f t="shared" si="168"/>
        <v>61.851644363200002</v>
      </c>
      <c r="L421" s="7">
        <f t="shared" si="168"/>
        <v>39.55447277999999</v>
      </c>
      <c r="M421" s="7">
        <f t="shared" si="168"/>
        <v>52.004655910060009</v>
      </c>
      <c r="N421" s="7">
        <f t="shared" si="168"/>
        <v>122.36020980999999</v>
      </c>
      <c r="O421" s="7">
        <f t="shared" si="168"/>
        <v>435.43155494891988</v>
      </c>
      <c r="P421" s="7">
        <f t="shared" si="168"/>
        <v>108.03128376999999</v>
      </c>
      <c r="Q421" s="7">
        <f t="shared" si="168"/>
        <v>479.35892299698241</v>
      </c>
      <c r="R421" s="7">
        <f t="shared" si="168"/>
        <v>-290.58887801497997</v>
      </c>
      <c r="S421" s="21">
        <f>R421/(I421+K421+M421+O421)</f>
        <v>-0.51844396518818103</v>
      </c>
      <c r="T421" s="7" t="s">
        <v>32</v>
      </c>
    </row>
    <row r="422" spans="1:20" s="1" customFormat="1" ht="80.25" customHeight="1" x14ac:dyDescent="0.25">
      <c r="A422" s="26" t="s">
        <v>846</v>
      </c>
      <c r="B422" s="36" t="s">
        <v>847</v>
      </c>
      <c r="C422" s="33" t="s">
        <v>848</v>
      </c>
      <c r="D422" s="29">
        <v>235.375386644</v>
      </c>
      <c r="E422" s="29">
        <v>58.21680825</v>
      </c>
      <c r="F422" s="29">
        <f t="shared" ref="F422:F454" si="169">D422-E422</f>
        <v>177.15857839400002</v>
      </c>
      <c r="G422" s="30">
        <v>135.08733340999999</v>
      </c>
      <c r="H422" s="29">
        <f t="shared" ref="H422:H485" si="170">J422+L422+N422+P422</f>
        <v>36.668552069999997</v>
      </c>
      <c r="I422" s="29">
        <v>10.070136312799999</v>
      </c>
      <c r="J422" s="29">
        <v>0</v>
      </c>
      <c r="K422" s="29">
        <v>23.878891495200001</v>
      </c>
      <c r="L422" s="29">
        <v>0</v>
      </c>
      <c r="M422" s="29">
        <v>0</v>
      </c>
      <c r="N422" s="29">
        <f>36668.55207/1000</f>
        <v>36.668552069999997</v>
      </c>
      <c r="O422" s="29">
        <f>G422-I422-K422-M422</f>
        <v>101.13830560199997</v>
      </c>
      <c r="P422" s="29">
        <v>0</v>
      </c>
      <c r="Q422" s="29">
        <f t="shared" ref="Q422:Q454" si="171">F422-H422</f>
        <v>140.49002632400001</v>
      </c>
      <c r="R422" s="29">
        <f t="shared" ref="R422:R485" si="172">H422-(I422+K422+M422+O422)</f>
        <v>-98.418781339999981</v>
      </c>
      <c r="S422" s="31">
        <f t="shared" ref="S422:S485" si="173">R422/(I422+K422+M422+O422)</f>
        <v>-0.72855669629136688</v>
      </c>
      <c r="T422" s="30" t="s">
        <v>849</v>
      </c>
    </row>
    <row r="423" spans="1:20" s="1" customFormat="1" ht="78" customHeight="1" x14ac:dyDescent="0.25">
      <c r="A423" s="26" t="s">
        <v>846</v>
      </c>
      <c r="B423" s="36" t="s">
        <v>850</v>
      </c>
      <c r="C423" s="33" t="s">
        <v>851</v>
      </c>
      <c r="D423" s="29">
        <v>337.998861288</v>
      </c>
      <c r="E423" s="29">
        <v>122.48416207999999</v>
      </c>
      <c r="F423" s="29">
        <f t="shared" si="169"/>
        <v>215.51469920800002</v>
      </c>
      <c r="G423" s="30">
        <v>215.51469921</v>
      </c>
      <c r="H423" s="29">
        <f t="shared" si="170"/>
        <v>30.32349348</v>
      </c>
      <c r="I423" s="29">
        <v>1.1440058399999999</v>
      </c>
      <c r="J423" s="29">
        <v>0</v>
      </c>
      <c r="K423" s="29">
        <v>37.972752868000001</v>
      </c>
      <c r="L423" s="29">
        <v>30.32349348</v>
      </c>
      <c r="M423" s="29">
        <v>0</v>
      </c>
      <c r="N423" s="29">
        <f>21.604/1000</f>
        <v>2.1603999999999998E-2</v>
      </c>
      <c r="O423" s="29">
        <f>G423-I423-K423-M423</f>
        <v>176.39794050199998</v>
      </c>
      <c r="P423" s="29">
        <v>-2.1603999999999998E-2</v>
      </c>
      <c r="Q423" s="29">
        <f t="shared" si="171"/>
        <v>185.19120572800003</v>
      </c>
      <c r="R423" s="29">
        <f t="shared" si="172"/>
        <v>-185.19120572999998</v>
      </c>
      <c r="S423" s="31">
        <f t="shared" si="173"/>
        <v>-0.85929733057116242</v>
      </c>
      <c r="T423" s="30" t="s">
        <v>852</v>
      </c>
    </row>
    <row r="424" spans="1:20" s="1" customFormat="1" ht="31.5" x14ac:dyDescent="0.25">
      <c r="A424" s="26" t="s">
        <v>846</v>
      </c>
      <c r="B424" s="36" t="s">
        <v>853</v>
      </c>
      <c r="C424" s="29" t="s">
        <v>854</v>
      </c>
      <c r="D424" s="29">
        <v>8.4</v>
      </c>
      <c r="E424" s="29">
        <v>0</v>
      </c>
      <c r="F424" s="29">
        <f t="shared" si="169"/>
        <v>8.4</v>
      </c>
      <c r="G424" s="30">
        <v>8.4</v>
      </c>
      <c r="H424" s="29">
        <f t="shared" si="170"/>
        <v>8.4</v>
      </c>
      <c r="I424" s="29">
        <v>0</v>
      </c>
      <c r="J424" s="29">
        <v>0</v>
      </c>
      <c r="K424" s="29">
        <v>0</v>
      </c>
      <c r="L424" s="29">
        <v>0</v>
      </c>
      <c r="M424" s="29">
        <v>0</v>
      </c>
      <c r="N424" s="29">
        <v>8.4</v>
      </c>
      <c r="O424" s="29">
        <v>8.4</v>
      </c>
      <c r="P424" s="29">
        <v>0</v>
      </c>
      <c r="Q424" s="29">
        <f t="shared" si="171"/>
        <v>0</v>
      </c>
      <c r="R424" s="29">
        <f t="shared" si="172"/>
        <v>0</v>
      </c>
      <c r="S424" s="31">
        <f t="shared" si="173"/>
        <v>0</v>
      </c>
      <c r="T424" s="30" t="s">
        <v>32</v>
      </c>
    </row>
    <row r="425" spans="1:20" s="1" customFormat="1" ht="40.5" customHeight="1" x14ac:dyDescent="0.25">
      <c r="A425" s="26" t="s">
        <v>846</v>
      </c>
      <c r="B425" s="36" t="s">
        <v>855</v>
      </c>
      <c r="C425" s="29" t="s">
        <v>856</v>
      </c>
      <c r="D425" s="29">
        <v>162.64620000000002</v>
      </c>
      <c r="E425" s="29">
        <v>47.744999999999997</v>
      </c>
      <c r="F425" s="29">
        <f t="shared" si="169"/>
        <v>114.90120000000002</v>
      </c>
      <c r="G425" s="30">
        <v>55.2</v>
      </c>
      <c r="H425" s="29">
        <f t="shared" si="170"/>
        <v>55.05</v>
      </c>
      <c r="I425" s="29">
        <v>0</v>
      </c>
      <c r="J425" s="29">
        <v>0</v>
      </c>
      <c r="K425" s="29">
        <v>0</v>
      </c>
      <c r="L425" s="29">
        <v>0</v>
      </c>
      <c r="M425" s="29">
        <v>0</v>
      </c>
      <c r="N425" s="29">
        <v>55.05</v>
      </c>
      <c r="O425" s="29">
        <v>55.2</v>
      </c>
      <c r="P425" s="29">
        <v>0</v>
      </c>
      <c r="Q425" s="29">
        <f t="shared" si="171"/>
        <v>59.85120000000002</v>
      </c>
      <c r="R425" s="29">
        <f t="shared" si="172"/>
        <v>-0.15000000000000568</v>
      </c>
      <c r="S425" s="31">
        <f t="shared" si="173"/>
        <v>-2.7173913043479288E-3</v>
      </c>
      <c r="T425" s="30" t="s">
        <v>32</v>
      </c>
    </row>
    <row r="426" spans="1:20" s="1" customFormat="1" ht="31.5" x14ac:dyDescent="0.25">
      <c r="A426" s="26" t="s">
        <v>846</v>
      </c>
      <c r="B426" s="36" t="s">
        <v>857</v>
      </c>
      <c r="C426" s="29" t="s">
        <v>858</v>
      </c>
      <c r="D426" s="29">
        <v>0.93725099999999995</v>
      </c>
      <c r="E426" s="29">
        <v>0</v>
      </c>
      <c r="F426" s="29">
        <f t="shared" si="169"/>
        <v>0.93725099999999995</v>
      </c>
      <c r="G426" s="30">
        <v>0.93725099999999995</v>
      </c>
      <c r="H426" s="29">
        <f t="shared" si="170"/>
        <v>0.93600000000000005</v>
      </c>
      <c r="I426" s="29">
        <v>0</v>
      </c>
      <c r="J426" s="29">
        <v>0</v>
      </c>
      <c r="K426" s="29">
        <v>0</v>
      </c>
      <c r="L426" s="29">
        <v>0</v>
      </c>
      <c r="M426" s="29">
        <v>0</v>
      </c>
      <c r="N426" s="29">
        <v>0.93600000000000005</v>
      </c>
      <c r="O426" s="29">
        <v>0.93725099999999995</v>
      </c>
      <c r="P426" s="29">
        <v>0</v>
      </c>
      <c r="Q426" s="29">
        <f t="shared" si="171"/>
        <v>1.2509999999998911E-3</v>
      </c>
      <c r="R426" s="29">
        <f t="shared" si="172"/>
        <v>-1.2509999999998911E-3</v>
      </c>
      <c r="S426" s="31">
        <f t="shared" si="173"/>
        <v>-1.3347545107979517E-3</v>
      </c>
      <c r="T426" s="30" t="s">
        <v>32</v>
      </c>
    </row>
    <row r="427" spans="1:20" s="1" customFormat="1" ht="31.5" x14ac:dyDescent="0.25">
      <c r="A427" s="26" t="s">
        <v>846</v>
      </c>
      <c r="B427" s="36" t="s">
        <v>859</v>
      </c>
      <c r="C427" s="29" t="s">
        <v>860</v>
      </c>
      <c r="D427" s="29">
        <v>0.67087439999999998</v>
      </c>
      <c r="E427" s="29">
        <v>0</v>
      </c>
      <c r="F427" s="29">
        <f t="shared" si="169"/>
        <v>0.67087439999999998</v>
      </c>
      <c r="G427" s="30">
        <v>0.67087439999999998</v>
      </c>
      <c r="H427" s="29">
        <f t="shared" si="170"/>
        <v>0.52800000000000002</v>
      </c>
      <c r="I427" s="29">
        <v>0</v>
      </c>
      <c r="J427" s="29">
        <v>0</v>
      </c>
      <c r="K427" s="29">
        <v>0</v>
      </c>
      <c r="L427" s="29">
        <v>0</v>
      </c>
      <c r="M427" s="29">
        <v>0.67087439999999998</v>
      </c>
      <c r="N427" s="29">
        <v>0</v>
      </c>
      <c r="O427" s="29">
        <v>0</v>
      </c>
      <c r="P427" s="29">
        <v>0.52800000000000002</v>
      </c>
      <c r="Q427" s="29">
        <f t="shared" si="171"/>
        <v>0.14287439999999996</v>
      </c>
      <c r="R427" s="29">
        <f t="shared" si="172"/>
        <v>-0.14287439999999996</v>
      </c>
      <c r="S427" s="31">
        <f t="shared" si="173"/>
        <v>-0.2129674347389019</v>
      </c>
      <c r="T427" s="29" t="s">
        <v>774</v>
      </c>
    </row>
    <row r="428" spans="1:20" s="1" customFormat="1" ht="38.25" customHeight="1" x14ac:dyDescent="0.25">
      <c r="A428" s="26" t="s">
        <v>846</v>
      </c>
      <c r="B428" s="36" t="s">
        <v>861</v>
      </c>
      <c r="C428" s="45" t="s">
        <v>862</v>
      </c>
      <c r="D428" s="29">
        <v>0.24</v>
      </c>
      <c r="E428" s="29">
        <v>0</v>
      </c>
      <c r="F428" s="29">
        <f t="shared" si="169"/>
        <v>0.24</v>
      </c>
      <c r="G428" s="30">
        <v>0.24</v>
      </c>
      <c r="H428" s="29">
        <f t="shared" si="170"/>
        <v>0</v>
      </c>
      <c r="I428" s="29">
        <v>0</v>
      </c>
      <c r="J428" s="29">
        <v>0</v>
      </c>
      <c r="K428" s="29">
        <v>0</v>
      </c>
      <c r="L428" s="29">
        <v>0</v>
      </c>
      <c r="M428" s="29">
        <v>0.24</v>
      </c>
      <c r="N428" s="29">
        <v>0</v>
      </c>
      <c r="O428" s="29">
        <v>0</v>
      </c>
      <c r="P428" s="29">
        <v>0</v>
      </c>
      <c r="Q428" s="29">
        <f t="shared" si="171"/>
        <v>0.24</v>
      </c>
      <c r="R428" s="29">
        <f t="shared" si="172"/>
        <v>-0.24</v>
      </c>
      <c r="S428" s="31">
        <f t="shared" si="173"/>
        <v>-1</v>
      </c>
      <c r="T428" s="30" t="s">
        <v>863</v>
      </c>
    </row>
    <row r="429" spans="1:20" s="1" customFormat="1" ht="36.75" customHeight="1" x14ac:dyDescent="0.25">
      <c r="A429" s="26" t="s">
        <v>846</v>
      </c>
      <c r="B429" s="36" t="s">
        <v>864</v>
      </c>
      <c r="C429" s="29" t="s">
        <v>865</v>
      </c>
      <c r="D429" s="29">
        <v>0.216</v>
      </c>
      <c r="E429" s="29">
        <v>0</v>
      </c>
      <c r="F429" s="29">
        <f t="shared" si="169"/>
        <v>0.216</v>
      </c>
      <c r="G429" s="30">
        <v>0.216</v>
      </c>
      <c r="H429" s="29">
        <f t="shared" si="170"/>
        <v>0.216</v>
      </c>
      <c r="I429" s="29">
        <v>0</v>
      </c>
      <c r="J429" s="29">
        <v>0</v>
      </c>
      <c r="K429" s="29">
        <v>0</v>
      </c>
      <c r="L429" s="29">
        <v>0.216</v>
      </c>
      <c r="M429" s="29">
        <v>0.216</v>
      </c>
      <c r="N429" s="29">
        <v>0</v>
      </c>
      <c r="O429" s="29">
        <v>0</v>
      </c>
      <c r="P429" s="29">
        <v>0</v>
      </c>
      <c r="Q429" s="29">
        <f t="shared" si="171"/>
        <v>0</v>
      </c>
      <c r="R429" s="29">
        <f t="shared" si="172"/>
        <v>0</v>
      </c>
      <c r="S429" s="31">
        <f t="shared" si="173"/>
        <v>0</v>
      </c>
      <c r="T429" s="29" t="s">
        <v>32</v>
      </c>
    </row>
    <row r="430" spans="1:20" s="1" customFormat="1" ht="31.5" x14ac:dyDescent="0.25">
      <c r="A430" s="26" t="s">
        <v>846</v>
      </c>
      <c r="B430" s="36" t="s">
        <v>866</v>
      </c>
      <c r="C430" s="29" t="s">
        <v>867</v>
      </c>
      <c r="D430" s="29">
        <v>9.6000000000000002E-2</v>
      </c>
      <c r="E430" s="29">
        <v>0</v>
      </c>
      <c r="F430" s="29">
        <f t="shared" si="169"/>
        <v>9.6000000000000002E-2</v>
      </c>
      <c r="G430" s="30">
        <v>9.6000000000000002E-2</v>
      </c>
      <c r="H430" s="29">
        <f t="shared" si="170"/>
        <v>9.6977999999999995E-2</v>
      </c>
      <c r="I430" s="29">
        <v>0</v>
      </c>
      <c r="J430" s="29">
        <v>0</v>
      </c>
      <c r="K430" s="29">
        <v>0</v>
      </c>
      <c r="L430" s="29">
        <v>0</v>
      </c>
      <c r="M430" s="29">
        <v>9.6000000000000002E-2</v>
      </c>
      <c r="N430" s="29">
        <f>96.978/1000</f>
        <v>9.6977999999999995E-2</v>
      </c>
      <c r="O430" s="29">
        <v>0</v>
      </c>
      <c r="P430" s="29">
        <v>0</v>
      </c>
      <c r="Q430" s="29">
        <f t="shared" si="171"/>
        <v>-9.7799999999999276E-4</v>
      </c>
      <c r="R430" s="29">
        <f t="shared" si="172"/>
        <v>9.7799999999999276E-4</v>
      </c>
      <c r="S430" s="31">
        <f t="shared" si="173"/>
        <v>1.0187499999999924E-2</v>
      </c>
      <c r="T430" s="30" t="s">
        <v>154</v>
      </c>
    </row>
    <row r="431" spans="1:20" s="1" customFormat="1" ht="31.5" x14ac:dyDescent="0.25">
      <c r="A431" s="26" t="s">
        <v>846</v>
      </c>
      <c r="B431" s="36" t="s">
        <v>868</v>
      </c>
      <c r="C431" s="29" t="s">
        <v>869</v>
      </c>
      <c r="D431" s="29">
        <v>0.24</v>
      </c>
      <c r="E431" s="29">
        <v>0</v>
      </c>
      <c r="F431" s="29">
        <f t="shared" si="169"/>
        <v>0.24</v>
      </c>
      <c r="G431" s="30">
        <v>0.24</v>
      </c>
      <c r="H431" s="29">
        <f t="shared" si="170"/>
        <v>0.24</v>
      </c>
      <c r="I431" s="29">
        <v>0</v>
      </c>
      <c r="J431" s="29">
        <v>0</v>
      </c>
      <c r="K431" s="29">
        <v>0</v>
      </c>
      <c r="L431" s="29">
        <v>0</v>
      </c>
      <c r="M431" s="29">
        <v>0.24</v>
      </c>
      <c r="N431" s="29">
        <v>0</v>
      </c>
      <c r="O431" s="29">
        <v>0</v>
      </c>
      <c r="P431" s="29">
        <v>0.24</v>
      </c>
      <c r="Q431" s="29">
        <f t="shared" si="171"/>
        <v>0</v>
      </c>
      <c r="R431" s="29">
        <f t="shared" si="172"/>
        <v>0</v>
      </c>
      <c r="S431" s="31">
        <f t="shared" si="173"/>
        <v>0</v>
      </c>
      <c r="T431" s="45" t="s">
        <v>32</v>
      </c>
    </row>
    <row r="432" spans="1:20" s="1" customFormat="1" ht="31.5" x14ac:dyDescent="0.25">
      <c r="A432" s="26" t="s">
        <v>846</v>
      </c>
      <c r="B432" s="36" t="s">
        <v>870</v>
      </c>
      <c r="C432" s="29" t="s">
        <v>871</v>
      </c>
      <c r="D432" s="29">
        <v>1.44</v>
      </c>
      <c r="E432" s="29">
        <v>0</v>
      </c>
      <c r="F432" s="29">
        <f t="shared" si="169"/>
        <v>1.44</v>
      </c>
      <c r="G432" s="30">
        <v>1.44</v>
      </c>
      <c r="H432" s="29">
        <f t="shared" si="170"/>
        <v>0.72</v>
      </c>
      <c r="I432" s="29">
        <v>0</v>
      </c>
      <c r="J432" s="29">
        <v>0</v>
      </c>
      <c r="K432" s="29">
        <v>0</v>
      </c>
      <c r="L432" s="29">
        <v>0.72</v>
      </c>
      <c r="M432" s="29">
        <v>1.44</v>
      </c>
      <c r="N432" s="29">
        <v>0</v>
      </c>
      <c r="O432" s="29">
        <v>0</v>
      </c>
      <c r="P432" s="29">
        <v>0</v>
      </c>
      <c r="Q432" s="29">
        <f t="shared" si="171"/>
        <v>0.72</v>
      </c>
      <c r="R432" s="29">
        <f t="shared" si="172"/>
        <v>-0.72</v>
      </c>
      <c r="S432" s="31">
        <f t="shared" si="173"/>
        <v>-0.5</v>
      </c>
      <c r="T432" s="29" t="s">
        <v>774</v>
      </c>
    </row>
    <row r="433" spans="1:20" s="1" customFormat="1" ht="47.25" x14ac:dyDescent="0.25">
      <c r="A433" s="26" t="s">
        <v>846</v>
      </c>
      <c r="B433" s="36" t="s">
        <v>872</v>
      </c>
      <c r="C433" s="29" t="s">
        <v>873</v>
      </c>
      <c r="D433" s="29">
        <v>0.32400000000000001</v>
      </c>
      <c r="E433" s="29">
        <v>0</v>
      </c>
      <c r="F433" s="29">
        <f t="shared" si="169"/>
        <v>0.32400000000000001</v>
      </c>
      <c r="G433" s="30">
        <v>0.32400000000000001</v>
      </c>
      <c r="H433" s="29">
        <f t="shared" si="170"/>
        <v>0.38663999999999998</v>
      </c>
      <c r="I433" s="29">
        <v>0</v>
      </c>
      <c r="J433" s="29">
        <v>0</v>
      </c>
      <c r="K433" s="29">
        <v>0</v>
      </c>
      <c r="L433" s="29">
        <v>0.19331999999999999</v>
      </c>
      <c r="M433" s="29">
        <v>0.32400000000000001</v>
      </c>
      <c r="N433" s="29">
        <f>193.32/1000</f>
        <v>0.19331999999999999</v>
      </c>
      <c r="O433" s="29">
        <v>0</v>
      </c>
      <c r="P433" s="29">
        <v>0</v>
      </c>
      <c r="Q433" s="29">
        <f t="shared" si="171"/>
        <v>-6.2639999999999973E-2</v>
      </c>
      <c r="R433" s="29">
        <f t="shared" si="172"/>
        <v>6.2639999999999973E-2</v>
      </c>
      <c r="S433" s="31">
        <f t="shared" si="173"/>
        <v>0.19333333333333325</v>
      </c>
      <c r="T433" s="30" t="s">
        <v>874</v>
      </c>
    </row>
    <row r="434" spans="1:20" s="1" customFormat="1" ht="47.25" x14ac:dyDescent="0.25">
      <c r="A434" s="26" t="s">
        <v>846</v>
      </c>
      <c r="B434" s="36" t="s">
        <v>875</v>
      </c>
      <c r="C434" s="29" t="s">
        <v>876</v>
      </c>
      <c r="D434" s="29">
        <v>0.28799999999999998</v>
      </c>
      <c r="E434" s="29">
        <v>0</v>
      </c>
      <c r="F434" s="29">
        <f t="shared" si="169"/>
        <v>0.28799999999999998</v>
      </c>
      <c r="G434" s="30">
        <v>0.28799999999999998</v>
      </c>
      <c r="H434" s="29">
        <f t="shared" si="170"/>
        <v>0.29963519999999999</v>
      </c>
      <c r="I434" s="29">
        <v>0</v>
      </c>
      <c r="J434" s="29">
        <v>0</v>
      </c>
      <c r="K434" s="29">
        <v>0</v>
      </c>
      <c r="L434" s="29">
        <v>0.29963519999999999</v>
      </c>
      <c r="M434" s="29">
        <v>0.28799999999999998</v>
      </c>
      <c r="N434" s="29">
        <v>0</v>
      </c>
      <c r="O434" s="29">
        <v>0</v>
      </c>
      <c r="P434" s="29">
        <v>0</v>
      </c>
      <c r="Q434" s="29">
        <f t="shared" si="171"/>
        <v>-1.1635200000000012E-2</v>
      </c>
      <c r="R434" s="29">
        <f t="shared" si="172"/>
        <v>1.1635200000000012E-2</v>
      </c>
      <c r="S434" s="31">
        <f t="shared" si="173"/>
        <v>4.0400000000000047E-2</v>
      </c>
      <c r="T434" s="29" t="s">
        <v>154</v>
      </c>
    </row>
    <row r="435" spans="1:20" s="1" customFormat="1" ht="31.5" x14ac:dyDescent="0.25">
      <c r="A435" s="26" t="s">
        <v>846</v>
      </c>
      <c r="B435" s="36" t="s">
        <v>877</v>
      </c>
      <c r="C435" s="29" t="s">
        <v>878</v>
      </c>
      <c r="D435" s="29">
        <v>1.044</v>
      </c>
      <c r="E435" s="29">
        <v>0</v>
      </c>
      <c r="F435" s="29">
        <f t="shared" si="169"/>
        <v>1.044</v>
      </c>
      <c r="G435" s="30">
        <v>1.044</v>
      </c>
      <c r="H435" s="29">
        <f t="shared" si="170"/>
        <v>1.044</v>
      </c>
      <c r="I435" s="29">
        <v>0</v>
      </c>
      <c r="J435" s="29">
        <v>0</v>
      </c>
      <c r="K435" s="29">
        <v>0</v>
      </c>
      <c r="L435" s="29">
        <v>1.044</v>
      </c>
      <c r="M435" s="29">
        <v>1.044</v>
      </c>
      <c r="N435" s="29">
        <v>0</v>
      </c>
      <c r="O435" s="29">
        <v>0</v>
      </c>
      <c r="P435" s="29">
        <v>0</v>
      </c>
      <c r="Q435" s="29">
        <f t="shared" si="171"/>
        <v>0</v>
      </c>
      <c r="R435" s="29">
        <f t="shared" si="172"/>
        <v>0</v>
      </c>
      <c r="S435" s="31">
        <f t="shared" si="173"/>
        <v>0</v>
      </c>
      <c r="T435" s="29" t="s">
        <v>32</v>
      </c>
    </row>
    <row r="436" spans="1:20" s="1" customFormat="1" ht="31.5" x14ac:dyDescent="0.25">
      <c r="A436" s="26" t="s">
        <v>846</v>
      </c>
      <c r="B436" s="36" t="s">
        <v>879</v>
      </c>
      <c r="C436" s="29" t="s">
        <v>880</v>
      </c>
      <c r="D436" s="29">
        <v>1.044</v>
      </c>
      <c r="E436" s="29">
        <v>0</v>
      </c>
      <c r="F436" s="29">
        <f t="shared" si="169"/>
        <v>1.044</v>
      </c>
      <c r="G436" s="30">
        <v>1.044</v>
      </c>
      <c r="H436" s="29">
        <f t="shared" si="170"/>
        <v>1.044</v>
      </c>
      <c r="I436" s="29">
        <v>0</v>
      </c>
      <c r="J436" s="29">
        <v>0</v>
      </c>
      <c r="K436" s="29">
        <v>0</v>
      </c>
      <c r="L436" s="29">
        <v>1.044</v>
      </c>
      <c r="M436" s="29">
        <v>0</v>
      </c>
      <c r="N436" s="29">
        <v>0</v>
      </c>
      <c r="O436" s="29">
        <v>1.044</v>
      </c>
      <c r="P436" s="29">
        <v>0</v>
      </c>
      <c r="Q436" s="29">
        <f t="shared" si="171"/>
        <v>0</v>
      </c>
      <c r="R436" s="29">
        <f t="shared" si="172"/>
        <v>0</v>
      </c>
      <c r="S436" s="31">
        <f t="shared" si="173"/>
        <v>0</v>
      </c>
      <c r="T436" s="29" t="s">
        <v>32</v>
      </c>
    </row>
    <row r="437" spans="1:20" s="1" customFormat="1" ht="47.25" x14ac:dyDescent="0.25">
      <c r="A437" s="26" t="s">
        <v>846</v>
      </c>
      <c r="B437" s="36" t="s">
        <v>881</v>
      </c>
      <c r="C437" s="29" t="s">
        <v>882</v>
      </c>
      <c r="D437" s="29">
        <v>0.52617600000000009</v>
      </c>
      <c r="E437" s="29">
        <v>0</v>
      </c>
      <c r="F437" s="29">
        <f t="shared" si="169"/>
        <v>0.52617600000000009</v>
      </c>
      <c r="G437" s="30">
        <v>0.52617600000000009</v>
      </c>
      <c r="H437" s="29">
        <f t="shared" si="170"/>
        <v>0.60200155</v>
      </c>
      <c r="I437" s="29">
        <v>0</v>
      </c>
      <c r="J437" s="29">
        <v>0</v>
      </c>
      <c r="K437" s="29">
        <v>0</v>
      </c>
      <c r="L437" s="29">
        <v>0.60200155</v>
      </c>
      <c r="M437" s="29">
        <v>0.52617600000000009</v>
      </c>
      <c r="N437" s="29">
        <v>0</v>
      </c>
      <c r="O437" s="29">
        <v>0</v>
      </c>
      <c r="P437" s="29">
        <v>0</v>
      </c>
      <c r="Q437" s="29">
        <f t="shared" si="171"/>
        <v>-7.5825549999999908E-2</v>
      </c>
      <c r="R437" s="29">
        <f t="shared" si="172"/>
        <v>7.5825549999999908E-2</v>
      </c>
      <c r="S437" s="31">
        <f t="shared" si="173"/>
        <v>0.14410681977133108</v>
      </c>
      <c r="T437" s="29" t="s">
        <v>883</v>
      </c>
    </row>
    <row r="438" spans="1:20" s="1" customFormat="1" ht="47.25" x14ac:dyDescent="0.25">
      <c r="A438" s="26" t="s">
        <v>846</v>
      </c>
      <c r="B438" s="36" t="s">
        <v>884</v>
      </c>
      <c r="C438" s="29" t="s">
        <v>885</v>
      </c>
      <c r="D438" s="29">
        <v>0.19731599999999999</v>
      </c>
      <c r="E438" s="29">
        <v>0</v>
      </c>
      <c r="F438" s="29">
        <f t="shared" si="169"/>
        <v>0.19731599999999999</v>
      </c>
      <c r="G438" s="30">
        <v>0.19731599999999999</v>
      </c>
      <c r="H438" s="29">
        <f t="shared" si="170"/>
        <v>0.19731599999999999</v>
      </c>
      <c r="I438" s="29">
        <v>0</v>
      </c>
      <c r="J438" s="29">
        <v>0</v>
      </c>
      <c r="K438" s="29">
        <v>0</v>
      </c>
      <c r="L438" s="29">
        <v>0</v>
      </c>
      <c r="M438" s="29">
        <v>0.19731599999999999</v>
      </c>
      <c r="N438" s="29">
        <f>197.316/1000</f>
        <v>0.19731599999999999</v>
      </c>
      <c r="O438" s="29">
        <v>0</v>
      </c>
      <c r="P438" s="29">
        <v>0</v>
      </c>
      <c r="Q438" s="29">
        <f t="shared" si="171"/>
        <v>0</v>
      </c>
      <c r="R438" s="29">
        <f t="shared" si="172"/>
        <v>0</v>
      </c>
      <c r="S438" s="31">
        <f t="shared" si="173"/>
        <v>0</v>
      </c>
      <c r="T438" s="45" t="s">
        <v>32</v>
      </c>
    </row>
    <row r="439" spans="1:20" s="1" customFormat="1" ht="31.5" x14ac:dyDescent="0.25">
      <c r="A439" s="26" t="s">
        <v>846</v>
      </c>
      <c r="B439" s="36" t="s">
        <v>886</v>
      </c>
      <c r="C439" s="29" t="s">
        <v>887</v>
      </c>
      <c r="D439" s="29">
        <v>1.8654837500000001</v>
      </c>
      <c r="E439" s="29">
        <v>0</v>
      </c>
      <c r="F439" s="29">
        <f t="shared" si="169"/>
        <v>1.8654837500000001</v>
      </c>
      <c r="G439" s="30">
        <v>1.8654837500000001</v>
      </c>
      <c r="H439" s="29">
        <f t="shared" si="170"/>
        <v>1.8654837500000001</v>
      </c>
      <c r="I439" s="29">
        <v>0</v>
      </c>
      <c r="J439" s="29">
        <v>0</v>
      </c>
      <c r="K439" s="29">
        <v>0</v>
      </c>
      <c r="L439" s="29">
        <v>1.8654837500000001</v>
      </c>
      <c r="M439" s="29">
        <v>1.62</v>
      </c>
      <c r="N439" s="29">
        <v>0</v>
      </c>
      <c r="O439" s="29">
        <f>G439-I439-K439-M439</f>
        <v>0.24548375</v>
      </c>
      <c r="P439" s="29">
        <v>0</v>
      </c>
      <c r="Q439" s="29">
        <f t="shared" si="171"/>
        <v>0</v>
      </c>
      <c r="R439" s="29">
        <f t="shared" si="172"/>
        <v>0</v>
      </c>
      <c r="S439" s="31">
        <f t="shared" si="173"/>
        <v>0</v>
      </c>
      <c r="T439" s="29" t="s">
        <v>32</v>
      </c>
    </row>
    <row r="440" spans="1:20" s="1" customFormat="1" ht="31.5" x14ac:dyDescent="0.25">
      <c r="A440" s="26" t="s">
        <v>846</v>
      </c>
      <c r="B440" s="36" t="s">
        <v>888</v>
      </c>
      <c r="C440" s="29" t="s">
        <v>889</v>
      </c>
      <c r="D440" s="29">
        <v>0.48</v>
      </c>
      <c r="E440" s="29">
        <v>0</v>
      </c>
      <c r="F440" s="29">
        <f t="shared" si="169"/>
        <v>0.48</v>
      </c>
      <c r="G440" s="30">
        <v>0.48</v>
      </c>
      <c r="H440" s="29">
        <f t="shared" si="170"/>
        <v>0.41990640000000001</v>
      </c>
      <c r="I440" s="29">
        <v>0</v>
      </c>
      <c r="J440" s="29">
        <v>0</v>
      </c>
      <c r="K440" s="29">
        <v>0</v>
      </c>
      <c r="L440" s="29">
        <v>0</v>
      </c>
      <c r="M440" s="29">
        <v>0</v>
      </c>
      <c r="N440" s="29">
        <f>419.9064/1000</f>
        <v>0.41990640000000001</v>
      </c>
      <c r="O440" s="29">
        <v>0.48</v>
      </c>
      <c r="P440" s="29">
        <v>0</v>
      </c>
      <c r="Q440" s="29">
        <f t="shared" si="171"/>
        <v>6.0093599999999969E-2</v>
      </c>
      <c r="R440" s="29">
        <f t="shared" si="172"/>
        <v>-6.0093599999999969E-2</v>
      </c>
      <c r="S440" s="31">
        <f t="shared" si="173"/>
        <v>-0.12519499999999995</v>
      </c>
      <c r="T440" s="29" t="s">
        <v>774</v>
      </c>
    </row>
    <row r="441" spans="1:20" s="1" customFormat="1" ht="47.25" x14ac:dyDescent="0.25">
      <c r="A441" s="26" t="s">
        <v>846</v>
      </c>
      <c r="B441" s="36" t="s">
        <v>890</v>
      </c>
      <c r="C441" s="29" t="s">
        <v>891</v>
      </c>
      <c r="D441" s="29">
        <v>0.96</v>
      </c>
      <c r="E441" s="29">
        <v>0</v>
      </c>
      <c r="F441" s="29">
        <f t="shared" si="169"/>
        <v>0.96</v>
      </c>
      <c r="G441" s="30">
        <v>0.96</v>
      </c>
      <c r="H441" s="29">
        <f t="shared" si="170"/>
        <v>8.4999599999999995E-2</v>
      </c>
      <c r="I441" s="29">
        <v>0</v>
      </c>
      <c r="J441" s="29">
        <v>0</v>
      </c>
      <c r="K441" s="29">
        <v>0</v>
      </c>
      <c r="L441" s="29">
        <v>0</v>
      </c>
      <c r="M441" s="29">
        <v>0</v>
      </c>
      <c r="N441" s="29">
        <f>84.9996/1000</f>
        <v>8.4999599999999995E-2</v>
      </c>
      <c r="O441" s="29">
        <v>0.96</v>
      </c>
      <c r="P441" s="29">
        <v>0</v>
      </c>
      <c r="Q441" s="29">
        <f t="shared" si="171"/>
        <v>0.87500040000000001</v>
      </c>
      <c r="R441" s="29">
        <f t="shared" si="172"/>
        <v>-0.87500040000000001</v>
      </c>
      <c r="S441" s="31">
        <f t="shared" si="173"/>
        <v>-0.9114587500000001</v>
      </c>
      <c r="T441" s="29" t="s">
        <v>774</v>
      </c>
    </row>
    <row r="442" spans="1:20" s="1" customFormat="1" ht="31.5" x14ac:dyDescent="0.25">
      <c r="A442" s="26" t="s">
        <v>846</v>
      </c>
      <c r="B442" s="36" t="s">
        <v>892</v>
      </c>
      <c r="C442" s="29" t="s">
        <v>893</v>
      </c>
      <c r="D442" s="29">
        <v>2.4</v>
      </c>
      <c r="E442" s="29">
        <v>0</v>
      </c>
      <c r="F442" s="29">
        <f t="shared" si="169"/>
        <v>2.4</v>
      </c>
      <c r="G442" s="30">
        <v>2.4</v>
      </c>
      <c r="H442" s="29">
        <f t="shared" si="170"/>
        <v>1.6121406200000001</v>
      </c>
      <c r="I442" s="29">
        <v>0</v>
      </c>
      <c r="J442" s="29">
        <v>0</v>
      </c>
      <c r="K442" s="29">
        <v>0</v>
      </c>
      <c r="L442" s="29">
        <v>0</v>
      </c>
      <c r="M442" s="29">
        <v>0</v>
      </c>
      <c r="N442" s="29">
        <v>0</v>
      </c>
      <c r="O442" s="29">
        <v>2.4</v>
      </c>
      <c r="P442" s="29">
        <v>1.6121406200000001</v>
      </c>
      <c r="Q442" s="29">
        <f t="shared" si="171"/>
        <v>0.78785937999999978</v>
      </c>
      <c r="R442" s="29">
        <f t="shared" si="172"/>
        <v>-0.78785937999999978</v>
      </c>
      <c r="S442" s="31">
        <f t="shared" si="173"/>
        <v>-0.32827474166666659</v>
      </c>
      <c r="T442" s="29" t="s">
        <v>774</v>
      </c>
    </row>
    <row r="443" spans="1:20" s="1" customFormat="1" ht="31.5" x14ac:dyDescent="0.25">
      <c r="A443" s="26" t="s">
        <v>846</v>
      </c>
      <c r="B443" s="36" t="s">
        <v>894</v>
      </c>
      <c r="C443" s="29" t="s">
        <v>895</v>
      </c>
      <c r="D443" s="29">
        <v>0.145068</v>
      </c>
      <c r="E443" s="29">
        <v>0</v>
      </c>
      <c r="F443" s="29">
        <f t="shared" si="169"/>
        <v>0.145068</v>
      </c>
      <c r="G443" s="30">
        <v>0.145068</v>
      </c>
      <c r="H443" s="29">
        <f t="shared" si="170"/>
        <v>0.195882</v>
      </c>
      <c r="I443" s="29">
        <v>0</v>
      </c>
      <c r="J443" s="29">
        <v>0</v>
      </c>
      <c r="K443" s="29">
        <v>0</v>
      </c>
      <c r="L443" s="29">
        <v>0</v>
      </c>
      <c r="M443" s="29">
        <v>0</v>
      </c>
      <c r="N443" s="29">
        <v>0</v>
      </c>
      <c r="O443" s="29">
        <v>0.145068</v>
      </c>
      <c r="P443" s="29">
        <v>0.195882</v>
      </c>
      <c r="Q443" s="29">
        <f t="shared" si="171"/>
        <v>-5.0813999999999998E-2</v>
      </c>
      <c r="R443" s="29">
        <f t="shared" si="172"/>
        <v>5.0813999999999998E-2</v>
      </c>
      <c r="S443" s="31">
        <f t="shared" si="173"/>
        <v>0.35027711142360823</v>
      </c>
      <c r="T443" s="45" t="s">
        <v>896</v>
      </c>
    </row>
    <row r="444" spans="1:20" s="1" customFormat="1" ht="47.25" x14ac:dyDescent="0.25">
      <c r="A444" s="26" t="s">
        <v>846</v>
      </c>
      <c r="B444" s="36" t="s">
        <v>897</v>
      </c>
      <c r="C444" s="29" t="s">
        <v>898</v>
      </c>
      <c r="D444" s="29">
        <v>0.12</v>
      </c>
      <c r="E444" s="29">
        <v>0</v>
      </c>
      <c r="F444" s="29">
        <f t="shared" si="169"/>
        <v>0.12</v>
      </c>
      <c r="G444" s="30">
        <v>0.12</v>
      </c>
      <c r="H444" s="29">
        <f t="shared" si="170"/>
        <v>7.4106000000000005E-2</v>
      </c>
      <c r="I444" s="29">
        <v>0</v>
      </c>
      <c r="J444" s="29">
        <v>0</v>
      </c>
      <c r="K444" s="29">
        <v>0</v>
      </c>
      <c r="L444" s="29">
        <v>7.4106000000000005E-2</v>
      </c>
      <c r="M444" s="29">
        <v>0</v>
      </c>
      <c r="N444" s="29">
        <v>0</v>
      </c>
      <c r="O444" s="29">
        <v>0.12</v>
      </c>
      <c r="P444" s="29">
        <v>0</v>
      </c>
      <c r="Q444" s="29">
        <f t="shared" si="171"/>
        <v>4.589399999999999E-2</v>
      </c>
      <c r="R444" s="29">
        <f t="shared" si="172"/>
        <v>-4.589399999999999E-2</v>
      </c>
      <c r="S444" s="31">
        <f t="shared" si="173"/>
        <v>-0.38244999999999996</v>
      </c>
      <c r="T444" s="29" t="s">
        <v>774</v>
      </c>
    </row>
    <row r="445" spans="1:20" s="1" customFormat="1" ht="47.25" x14ac:dyDescent="0.25">
      <c r="A445" s="26" t="s">
        <v>846</v>
      </c>
      <c r="B445" s="36" t="s">
        <v>899</v>
      </c>
      <c r="C445" s="29" t="s">
        <v>900</v>
      </c>
      <c r="D445" s="29">
        <v>0.19430609491525427</v>
      </c>
      <c r="E445" s="29">
        <v>0</v>
      </c>
      <c r="F445" s="29">
        <f t="shared" si="169"/>
        <v>0.19430609491525427</v>
      </c>
      <c r="G445" s="30">
        <v>0.19430609491525427</v>
      </c>
      <c r="H445" s="29">
        <f t="shared" si="170"/>
        <v>0.19430639999999999</v>
      </c>
      <c r="I445" s="29">
        <v>0</v>
      </c>
      <c r="J445" s="29">
        <v>0</v>
      </c>
      <c r="K445" s="29">
        <v>0</v>
      </c>
      <c r="L445" s="29">
        <v>0</v>
      </c>
      <c r="M445" s="29">
        <v>0</v>
      </c>
      <c r="N445" s="29">
        <v>0</v>
      </c>
      <c r="O445" s="29">
        <v>0.19430609492000001</v>
      </c>
      <c r="P445" s="29">
        <v>0.19430639999999999</v>
      </c>
      <c r="Q445" s="29">
        <f t="shared" si="171"/>
        <v>-3.0508474571644406E-7</v>
      </c>
      <c r="R445" s="29">
        <f t="shared" si="172"/>
        <v>3.0507999998485857E-7</v>
      </c>
      <c r="S445" s="31">
        <f t="shared" si="173"/>
        <v>1.5701000018062561E-6</v>
      </c>
      <c r="T445" s="45" t="s">
        <v>154</v>
      </c>
    </row>
    <row r="446" spans="1:20" s="1" customFormat="1" ht="31.5" x14ac:dyDescent="0.25">
      <c r="A446" s="26" t="s">
        <v>846</v>
      </c>
      <c r="B446" s="36" t="s">
        <v>901</v>
      </c>
      <c r="C446" s="29" t="s">
        <v>902</v>
      </c>
      <c r="D446" s="29">
        <v>0.11838926174496646</v>
      </c>
      <c r="E446" s="29">
        <v>0</v>
      </c>
      <c r="F446" s="29">
        <f t="shared" si="169"/>
        <v>0.11838926174496646</v>
      </c>
      <c r="G446" s="30">
        <v>0.11838926174496646</v>
      </c>
      <c r="H446" s="29">
        <f t="shared" si="170"/>
        <v>0.1176</v>
      </c>
      <c r="I446" s="29">
        <v>0</v>
      </c>
      <c r="J446" s="29">
        <v>0</v>
      </c>
      <c r="K446" s="29">
        <v>0</v>
      </c>
      <c r="L446" s="29">
        <v>0.1176</v>
      </c>
      <c r="M446" s="29">
        <v>0.11838926174</v>
      </c>
      <c r="N446" s="29">
        <v>0</v>
      </c>
      <c r="O446" s="29">
        <v>0</v>
      </c>
      <c r="P446" s="29">
        <v>0</v>
      </c>
      <c r="Q446" s="29">
        <f t="shared" si="171"/>
        <v>7.8926174496646295E-4</v>
      </c>
      <c r="R446" s="29">
        <f t="shared" si="172"/>
        <v>-7.8926174000000515E-4</v>
      </c>
      <c r="S446" s="31">
        <f t="shared" si="173"/>
        <v>-6.6666666249962639E-3</v>
      </c>
      <c r="T446" s="29" t="s">
        <v>32</v>
      </c>
    </row>
    <row r="447" spans="1:20" s="1" customFormat="1" ht="31.5" x14ac:dyDescent="0.25">
      <c r="A447" s="26" t="s">
        <v>846</v>
      </c>
      <c r="B447" s="36" t="s">
        <v>903</v>
      </c>
      <c r="C447" s="29" t="s">
        <v>904</v>
      </c>
      <c r="D447" s="29">
        <v>0.12359999999999999</v>
      </c>
      <c r="E447" s="29">
        <v>0</v>
      </c>
      <c r="F447" s="29">
        <f t="shared" si="169"/>
        <v>0.12359999999999999</v>
      </c>
      <c r="G447" s="30">
        <v>0.12359999999999999</v>
      </c>
      <c r="H447" s="29">
        <f t="shared" si="170"/>
        <v>0.12359999999999999</v>
      </c>
      <c r="I447" s="29">
        <v>0</v>
      </c>
      <c r="J447" s="29">
        <v>0</v>
      </c>
      <c r="K447" s="29">
        <v>0</v>
      </c>
      <c r="L447" s="29">
        <v>0</v>
      </c>
      <c r="M447" s="29">
        <v>0.12359999999999999</v>
      </c>
      <c r="N447" s="29">
        <v>0</v>
      </c>
      <c r="O447" s="29">
        <v>0</v>
      </c>
      <c r="P447" s="29">
        <v>0.12359999999999999</v>
      </c>
      <c r="Q447" s="29">
        <f t="shared" si="171"/>
        <v>0</v>
      </c>
      <c r="R447" s="29">
        <f t="shared" si="172"/>
        <v>0</v>
      </c>
      <c r="S447" s="31">
        <f t="shared" si="173"/>
        <v>0</v>
      </c>
      <c r="T447" s="45" t="s">
        <v>32</v>
      </c>
    </row>
    <row r="448" spans="1:20" s="1" customFormat="1" ht="31.5" x14ac:dyDescent="0.25">
      <c r="A448" s="26" t="s">
        <v>846</v>
      </c>
      <c r="B448" s="36" t="s">
        <v>905</v>
      </c>
      <c r="C448" s="29" t="s">
        <v>906</v>
      </c>
      <c r="D448" s="29">
        <v>7.9200000000000007E-2</v>
      </c>
      <c r="E448" s="29">
        <v>0</v>
      </c>
      <c r="F448" s="29">
        <f t="shared" si="169"/>
        <v>7.9200000000000007E-2</v>
      </c>
      <c r="G448" s="30">
        <v>7.9200000000000007E-2</v>
      </c>
      <c r="H448" s="29">
        <f t="shared" si="170"/>
        <v>7.9200000000000007E-2</v>
      </c>
      <c r="I448" s="29">
        <v>0</v>
      </c>
      <c r="J448" s="29">
        <v>0</v>
      </c>
      <c r="K448" s="29">
        <v>0</v>
      </c>
      <c r="L448" s="29">
        <v>0</v>
      </c>
      <c r="M448" s="29">
        <v>7.9200000000000007E-2</v>
      </c>
      <c r="N448" s="29">
        <v>0</v>
      </c>
      <c r="O448" s="29">
        <v>0</v>
      </c>
      <c r="P448" s="29">
        <v>7.9200000000000007E-2</v>
      </c>
      <c r="Q448" s="29">
        <f t="shared" si="171"/>
        <v>0</v>
      </c>
      <c r="R448" s="29">
        <f t="shared" si="172"/>
        <v>0</v>
      </c>
      <c r="S448" s="31">
        <f t="shared" si="173"/>
        <v>0</v>
      </c>
      <c r="T448" s="45" t="s">
        <v>32</v>
      </c>
    </row>
    <row r="449" spans="1:20" s="1" customFormat="1" ht="31.5" x14ac:dyDescent="0.25">
      <c r="A449" s="26" t="s">
        <v>846</v>
      </c>
      <c r="B449" s="36" t="s">
        <v>907</v>
      </c>
      <c r="C449" s="29" t="s">
        <v>908</v>
      </c>
      <c r="D449" s="29">
        <v>0.2424</v>
      </c>
      <c r="E449" s="29">
        <v>0</v>
      </c>
      <c r="F449" s="29">
        <f t="shared" si="169"/>
        <v>0.2424</v>
      </c>
      <c r="G449" s="30">
        <v>0.1176</v>
      </c>
      <c r="H449" s="29">
        <f t="shared" si="170"/>
        <v>0.1176</v>
      </c>
      <c r="I449" s="29">
        <v>0</v>
      </c>
      <c r="J449" s="29">
        <v>0</v>
      </c>
      <c r="K449" s="29">
        <v>0</v>
      </c>
      <c r="L449" s="29">
        <v>0</v>
      </c>
      <c r="M449" s="29">
        <v>0</v>
      </c>
      <c r="N449" s="29">
        <f>0.1176</f>
        <v>0.1176</v>
      </c>
      <c r="O449" s="29">
        <v>0.1176</v>
      </c>
      <c r="P449" s="29">
        <v>0</v>
      </c>
      <c r="Q449" s="29">
        <f t="shared" si="171"/>
        <v>0.12480000000000001</v>
      </c>
      <c r="R449" s="29">
        <f t="shared" si="172"/>
        <v>0</v>
      </c>
      <c r="S449" s="31">
        <f t="shared" si="173"/>
        <v>0</v>
      </c>
      <c r="T449" s="45" t="s">
        <v>32</v>
      </c>
    </row>
    <row r="450" spans="1:20" s="1" customFormat="1" ht="31.5" x14ac:dyDescent="0.25">
      <c r="A450" s="26" t="s">
        <v>846</v>
      </c>
      <c r="B450" s="36" t="s">
        <v>909</v>
      </c>
      <c r="C450" s="29" t="s">
        <v>910</v>
      </c>
      <c r="D450" s="29">
        <v>0.22919999999999999</v>
      </c>
      <c r="E450" s="29">
        <v>0</v>
      </c>
      <c r="F450" s="29">
        <f t="shared" si="169"/>
        <v>0.22919999999999999</v>
      </c>
      <c r="G450" s="30">
        <v>0.1176</v>
      </c>
      <c r="H450" s="29">
        <f t="shared" si="170"/>
        <v>0.1176</v>
      </c>
      <c r="I450" s="29">
        <v>0</v>
      </c>
      <c r="J450" s="29">
        <v>0</v>
      </c>
      <c r="K450" s="29">
        <v>0</v>
      </c>
      <c r="L450" s="29">
        <v>0</v>
      </c>
      <c r="M450" s="29">
        <v>0.1176</v>
      </c>
      <c r="N450" s="29">
        <f>117.6/1000</f>
        <v>0.1176</v>
      </c>
      <c r="O450" s="29">
        <v>0</v>
      </c>
      <c r="P450" s="29">
        <v>0</v>
      </c>
      <c r="Q450" s="29">
        <f t="shared" si="171"/>
        <v>0.11159999999999999</v>
      </c>
      <c r="R450" s="29">
        <f t="shared" si="172"/>
        <v>0</v>
      </c>
      <c r="S450" s="31">
        <f t="shared" si="173"/>
        <v>0</v>
      </c>
      <c r="T450" s="45" t="s">
        <v>32</v>
      </c>
    </row>
    <row r="451" spans="1:20" s="1" customFormat="1" ht="47.25" x14ac:dyDescent="0.25">
      <c r="A451" s="26" t="s">
        <v>846</v>
      </c>
      <c r="B451" s="36" t="s">
        <v>911</v>
      </c>
      <c r="C451" s="29" t="s">
        <v>912</v>
      </c>
      <c r="D451" s="29">
        <v>0.72953557046979878</v>
      </c>
      <c r="E451" s="29">
        <v>0</v>
      </c>
      <c r="F451" s="29">
        <f t="shared" si="169"/>
        <v>0.72953557046979878</v>
      </c>
      <c r="G451" s="30">
        <v>0.35033557046979874</v>
      </c>
      <c r="H451" s="29">
        <f t="shared" si="170"/>
        <v>0.48249959999999997</v>
      </c>
      <c r="I451" s="29">
        <v>0</v>
      </c>
      <c r="J451" s="29">
        <v>0</v>
      </c>
      <c r="K451" s="29">
        <v>0</v>
      </c>
      <c r="L451" s="29">
        <v>0.48249959999999997</v>
      </c>
      <c r="M451" s="29">
        <v>0.35033557046999997</v>
      </c>
      <c r="N451" s="29">
        <v>0</v>
      </c>
      <c r="O451" s="29">
        <v>0</v>
      </c>
      <c r="P451" s="29">
        <v>0</v>
      </c>
      <c r="Q451" s="29">
        <f t="shared" si="171"/>
        <v>0.2470359704697988</v>
      </c>
      <c r="R451" s="29">
        <f t="shared" si="172"/>
        <v>0.13216402953</v>
      </c>
      <c r="S451" s="31">
        <f t="shared" si="173"/>
        <v>0.37724981609116254</v>
      </c>
      <c r="T451" s="45" t="s">
        <v>883</v>
      </c>
    </row>
    <row r="452" spans="1:20" s="1" customFormat="1" ht="31.5" x14ac:dyDescent="0.25">
      <c r="A452" s="26" t="s">
        <v>846</v>
      </c>
      <c r="B452" s="36" t="s">
        <v>913</v>
      </c>
      <c r="C452" s="29" t="s">
        <v>914</v>
      </c>
      <c r="D452" s="29">
        <v>0.58079999999999998</v>
      </c>
      <c r="E452" s="29">
        <v>0</v>
      </c>
      <c r="F452" s="29">
        <f t="shared" si="169"/>
        <v>0.58079999999999998</v>
      </c>
      <c r="G452" s="30">
        <v>0.28320000000000001</v>
      </c>
      <c r="H452" s="29">
        <f t="shared" si="170"/>
        <v>0.28320000000000001</v>
      </c>
      <c r="I452" s="29">
        <v>0</v>
      </c>
      <c r="J452" s="29">
        <v>0</v>
      </c>
      <c r="K452" s="29">
        <v>0</v>
      </c>
      <c r="L452" s="29">
        <v>0</v>
      </c>
      <c r="M452" s="29">
        <v>0</v>
      </c>
      <c r="N452" s="29">
        <f>283.2/1000</f>
        <v>0.28320000000000001</v>
      </c>
      <c r="O452" s="29">
        <v>0.28320000000000001</v>
      </c>
      <c r="P452" s="29">
        <v>0</v>
      </c>
      <c r="Q452" s="29">
        <f t="shared" si="171"/>
        <v>0.29759999999999998</v>
      </c>
      <c r="R452" s="29">
        <f t="shared" si="172"/>
        <v>0</v>
      </c>
      <c r="S452" s="31">
        <f t="shared" si="173"/>
        <v>0</v>
      </c>
      <c r="T452" s="45" t="s">
        <v>32</v>
      </c>
    </row>
    <row r="453" spans="1:20" s="1" customFormat="1" ht="31.5" x14ac:dyDescent="0.25">
      <c r="A453" s="26" t="s">
        <v>846</v>
      </c>
      <c r="B453" s="36" t="s">
        <v>915</v>
      </c>
      <c r="C453" s="29" t="s">
        <v>916</v>
      </c>
      <c r="D453" s="29">
        <v>0.57840000000000003</v>
      </c>
      <c r="E453" s="29">
        <v>0</v>
      </c>
      <c r="F453" s="29">
        <f t="shared" si="169"/>
        <v>0.57840000000000003</v>
      </c>
      <c r="G453" s="30">
        <v>0.28320000000000001</v>
      </c>
      <c r="H453" s="29">
        <f t="shared" si="170"/>
        <v>0.28320000000000001</v>
      </c>
      <c r="I453" s="29">
        <v>0</v>
      </c>
      <c r="J453" s="29">
        <v>0</v>
      </c>
      <c r="K453" s="29">
        <v>0</v>
      </c>
      <c r="L453" s="29">
        <v>0</v>
      </c>
      <c r="M453" s="29">
        <v>0.28320000000000001</v>
      </c>
      <c r="N453" s="29">
        <f>283.2/1000</f>
        <v>0.28320000000000001</v>
      </c>
      <c r="O453" s="29">
        <v>0</v>
      </c>
      <c r="P453" s="29">
        <v>0</v>
      </c>
      <c r="Q453" s="29">
        <f t="shared" si="171"/>
        <v>0.29520000000000002</v>
      </c>
      <c r="R453" s="29">
        <f t="shared" si="172"/>
        <v>0</v>
      </c>
      <c r="S453" s="31">
        <f t="shared" si="173"/>
        <v>0</v>
      </c>
      <c r="T453" s="45" t="s">
        <v>32</v>
      </c>
    </row>
    <row r="454" spans="1:20" s="1" customFormat="1" ht="37.5" customHeight="1" x14ac:dyDescent="0.25">
      <c r="A454" s="26" t="s">
        <v>846</v>
      </c>
      <c r="B454" s="36" t="s">
        <v>917</v>
      </c>
      <c r="C454" s="29" t="s">
        <v>918</v>
      </c>
      <c r="D454" s="29">
        <v>0.17275167785234899</v>
      </c>
      <c r="E454" s="29">
        <v>0</v>
      </c>
      <c r="F454" s="29">
        <f t="shared" si="169"/>
        <v>0.17275167785234899</v>
      </c>
      <c r="G454" s="30">
        <v>0.17275167785234899</v>
      </c>
      <c r="H454" s="29">
        <f t="shared" si="170"/>
        <v>0.1716</v>
      </c>
      <c r="I454" s="29">
        <v>0</v>
      </c>
      <c r="J454" s="29">
        <v>0</v>
      </c>
      <c r="K454" s="29">
        <v>0</v>
      </c>
      <c r="L454" s="29">
        <v>0</v>
      </c>
      <c r="M454" s="29">
        <v>0.17275167784999998</v>
      </c>
      <c r="N454" s="29">
        <v>0</v>
      </c>
      <c r="O454" s="29">
        <v>0</v>
      </c>
      <c r="P454" s="29">
        <v>0.1716</v>
      </c>
      <c r="Q454" s="29">
        <f t="shared" si="171"/>
        <v>1.1516778523489868E-3</v>
      </c>
      <c r="R454" s="29">
        <f t="shared" si="172"/>
        <v>-1.1516778499999769E-3</v>
      </c>
      <c r="S454" s="31">
        <f t="shared" si="173"/>
        <v>-6.6666666531596704E-3</v>
      </c>
      <c r="T454" s="45" t="s">
        <v>32</v>
      </c>
    </row>
    <row r="455" spans="1:20" s="1" customFormat="1" x14ac:dyDescent="0.25">
      <c r="A455" s="26" t="s">
        <v>846</v>
      </c>
      <c r="B455" s="36" t="s">
        <v>919</v>
      </c>
      <c r="C455" s="29" t="s">
        <v>920</v>
      </c>
      <c r="D455" s="29" t="s">
        <v>32</v>
      </c>
      <c r="E455" s="29" t="s">
        <v>32</v>
      </c>
      <c r="F455" s="29" t="s">
        <v>32</v>
      </c>
      <c r="G455" s="30" t="s">
        <v>32</v>
      </c>
      <c r="H455" s="29">
        <f t="shared" si="170"/>
        <v>8.5800000000000001E-2</v>
      </c>
      <c r="I455" s="29" t="s">
        <v>32</v>
      </c>
      <c r="J455" s="29">
        <v>0</v>
      </c>
      <c r="K455" s="29" t="s">
        <v>32</v>
      </c>
      <c r="L455" s="29">
        <v>0</v>
      </c>
      <c r="M455" s="29" t="s">
        <v>32</v>
      </c>
      <c r="N455" s="29">
        <v>0</v>
      </c>
      <c r="O455" s="29" t="s">
        <v>32</v>
      </c>
      <c r="P455" s="29">
        <v>8.5800000000000001E-2</v>
      </c>
      <c r="Q455" s="29" t="s">
        <v>32</v>
      </c>
      <c r="R455" s="29" t="s">
        <v>32</v>
      </c>
      <c r="S455" s="31" t="s">
        <v>32</v>
      </c>
      <c r="T455" s="45" t="s">
        <v>390</v>
      </c>
    </row>
    <row r="456" spans="1:20" s="1" customFormat="1" ht="31.5" x14ac:dyDescent="0.25">
      <c r="A456" s="26" t="s">
        <v>846</v>
      </c>
      <c r="B456" s="36" t="s">
        <v>921</v>
      </c>
      <c r="C456" s="29" t="s">
        <v>922</v>
      </c>
      <c r="D456" s="29">
        <v>0.1716</v>
      </c>
      <c r="E456" s="29">
        <v>0</v>
      </c>
      <c r="F456" s="29">
        <f t="shared" ref="F456:F491" si="174">D456-E456</f>
        <v>0.1716</v>
      </c>
      <c r="G456" s="30">
        <v>0.1716</v>
      </c>
      <c r="H456" s="29">
        <f t="shared" si="170"/>
        <v>0.1716</v>
      </c>
      <c r="I456" s="29">
        <v>0</v>
      </c>
      <c r="J456" s="29">
        <v>0</v>
      </c>
      <c r="K456" s="29">
        <v>0</v>
      </c>
      <c r="L456" s="29">
        <v>0</v>
      </c>
      <c r="M456" s="29">
        <v>0</v>
      </c>
      <c r="N456" s="29">
        <v>0</v>
      </c>
      <c r="O456" s="29">
        <v>0.1716</v>
      </c>
      <c r="P456" s="29">
        <v>0.1716</v>
      </c>
      <c r="Q456" s="29">
        <f t="shared" ref="Q456:Q491" si="175">F456-H456</f>
        <v>0</v>
      </c>
      <c r="R456" s="29">
        <f t="shared" si="172"/>
        <v>0</v>
      </c>
      <c r="S456" s="31">
        <f t="shared" si="173"/>
        <v>0</v>
      </c>
      <c r="T456" s="45" t="s">
        <v>32</v>
      </c>
    </row>
    <row r="457" spans="1:20" s="1" customFormat="1" ht="31.5" x14ac:dyDescent="0.25">
      <c r="A457" s="26" t="s">
        <v>846</v>
      </c>
      <c r="B457" s="36" t="s">
        <v>923</v>
      </c>
      <c r="C457" s="29" t="s">
        <v>924</v>
      </c>
      <c r="D457" s="29">
        <v>0.1716</v>
      </c>
      <c r="E457" s="29">
        <v>0</v>
      </c>
      <c r="F457" s="29">
        <f t="shared" si="174"/>
        <v>0.1716</v>
      </c>
      <c r="G457" s="30">
        <v>0.1716</v>
      </c>
      <c r="H457" s="29">
        <f t="shared" si="170"/>
        <v>0.1716</v>
      </c>
      <c r="I457" s="29">
        <v>0</v>
      </c>
      <c r="J457" s="29">
        <v>0</v>
      </c>
      <c r="K457" s="29">
        <v>0</v>
      </c>
      <c r="L457" s="29">
        <v>0</v>
      </c>
      <c r="M457" s="29">
        <v>0.1716</v>
      </c>
      <c r="N457" s="29">
        <v>0</v>
      </c>
      <c r="O457" s="29">
        <v>0</v>
      </c>
      <c r="P457" s="29">
        <v>0.1716</v>
      </c>
      <c r="Q457" s="29">
        <f t="shared" si="175"/>
        <v>0</v>
      </c>
      <c r="R457" s="29">
        <f t="shared" si="172"/>
        <v>0</v>
      </c>
      <c r="S457" s="31">
        <f t="shared" si="173"/>
        <v>0</v>
      </c>
      <c r="T457" s="45" t="s">
        <v>32</v>
      </c>
    </row>
    <row r="458" spans="1:20" s="1" customFormat="1" ht="47.25" x14ac:dyDescent="0.25">
      <c r="A458" s="26" t="s">
        <v>846</v>
      </c>
      <c r="B458" s="36" t="s">
        <v>925</v>
      </c>
      <c r="C458" s="29" t="s">
        <v>926</v>
      </c>
      <c r="D458" s="29">
        <v>3.1920000000000002</v>
      </c>
      <c r="E458" s="29">
        <v>0</v>
      </c>
      <c r="F458" s="29">
        <f t="shared" si="174"/>
        <v>3.1920000000000002</v>
      </c>
      <c r="G458" s="30">
        <v>3.1920000000000002</v>
      </c>
      <c r="H458" s="29">
        <f t="shared" si="170"/>
        <v>3.1920000000000002</v>
      </c>
      <c r="I458" s="29">
        <v>0</v>
      </c>
      <c r="J458" s="29">
        <v>0</v>
      </c>
      <c r="K458" s="29">
        <v>0</v>
      </c>
      <c r="L458" s="29">
        <v>0</v>
      </c>
      <c r="M458" s="29">
        <v>0</v>
      </c>
      <c r="N458" s="29">
        <v>0</v>
      </c>
      <c r="O458" s="29">
        <v>3.1920000000000002</v>
      </c>
      <c r="P458" s="29">
        <v>3.1920000000000002</v>
      </c>
      <c r="Q458" s="29">
        <f t="shared" si="175"/>
        <v>0</v>
      </c>
      <c r="R458" s="29">
        <f t="shared" si="172"/>
        <v>0</v>
      </c>
      <c r="S458" s="31">
        <f t="shared" si="173"/>
        <v>0</v>
      </c>
      <c r="T458" s="45" t="s">
        <v>32</v>
      </c>
    </row>
    <row r="459" spans="1:20" s="1" customFormat="1" ht="31.5" x14ac:dyDescent="0.25">
      <c r="A459" s="26" t="s">
        <v>846</v>
      </c>
      <c r="B459" s="36" t="s">
        <v>927</v>
      </c>
      <c r="C459" s="29" t="s">
        <v>928</v>
      </c>
      <c r="D459" s="29">
        <v>0.16079999999999997</v>
      </c>
      <c r="E459" s="29">
        <v>0</v>
      </c>
      <c r="F459" s="29">
        <f t="shared" si="174"/>
        <v>0.16079999999999997</v>
      </c>
      <c r="G459" s="30">
        <v>0.16079999999999997</v>
      </c>
      <c r="H459" s="29">
        <f t="shared" si="170"/>
        <v>0.1632432</v>
      </c>
      <c r="I459" s="29">
        <v>0</v>
      </c>
      <c r="J459" s="29">
        <v>0</v>
      </c>
      <c r="K459" s="29">
        <v>0</v>
      </c>
      <c r="L459" s="29">
        <v>0</v>
      </c>
      <c r="M459" s="29">
        <v>0.1608</v>
      </c>
      <c r="N459" s="29">
        <v>0</v>
      </c>
      <c r="O459" s="29">
        <v>0</v>
      </c>
      <c r="P459" s="29">
        <v>0.1632432</v>
      </c>
      <c r="Q459" s="29">
        <f t="shared" si="175"/>
        <v>-2.4432000000000342E-3</v>
      </c>
      <c r="R459" s="29">
        <f t="shared" si="172"/>
        <v>2.4432000000000065E-3</v>
      </c>
      <c r="S459" s="31">
        <f t="shared" si="173"/>
        <v>1.519402985074631E-2</v>
      </c>
      <c r="T459" s="45" t="s">
        <v>154</v>
      </c>
    </row>
    <row r="460" spans="1:20" s="1" customFormat="1" ht="31.5" x14ac:dyDescent="0.25">
      <c r="A460" s="26" t="s">
        <v>846</v>
      </c>
      <c r="B460" s="36" t="s">
        <v>929</v>
      </c>
      <c r="C460" s="29" t="s">
        <v>930</v>
      </c>
      <c r="D460" s="29">
        <v>0.13079999999999997</v>
      </c>
      <c r="E460" s="29">
        <v>0</v>
      </c>
      <c r="F460" s="29">
        <f t="shared" si="174"/>
        <v>0.13079999999999997</v>
      </c>
      <c r="G460" s="30">
        <v>0.13079999999999997</v>
      </c>
      <c r="H460" s="29">
        <f t="shared" si="170"/>
        <v>0.11640164</v>
      </c>
      <c r="I460" s="29">
        <v>0</v>
      </c>
      <c r="J460" s="29">
        <v>0</v>
      </c>
      <c r="K460" s="29">
        <v>0</v>
      </c>
      <c r="L460" s="29">
        <v>0</v>
      </c>
      <c r="M460" s="29">
        <v>0.1308</v>
      </c>
      <c r="N460" s="29">
        <f>116.40164/1000</f>
        <v>0.11640164</v>
      </c>
      <c r="O460" s="29">
        <v>0</v>
      </c>
      <c r="P460" s="29">
        <v>0</v>
      </c>
      <c r="Q460" s="29">
        <f t="shared" si="175"/>
        <v>1.4398359999999971E-2</v>
      </c>
      <c r="R460" s="29">
        <f t="shared" si="172"/>
        <v>-1.4398359999999999E-2</v>
      </c>
      <c r="S460" s="31">
        <f t="shared" si="173"/>
        <v>-0.11007920489296635</v>
      </c>
      <c r="T460" s="45" t="s">
        <v>774</v>
      </c>
    </row>
    <row r="461" spans="1:20" s="1" customFormat="1" ht="82.5" customHeight="1" x14ac:dyDescent="0.25">
      <c r="A461" s="26" t="s">
        <v>846</v>
      </c>
      <c r="B461" s="36" t="s">
        <v>931</v>
      </c>
      <c r="C461" s="29" t="s">
        <v>932</v>
      </c>
      <c r="D461" s="29">
        <v>5.7599999999999991E-2</v>
      </c>
      <c r="E461" s="29">
        <v>0</v>
      </c>
      <c r="F461" s="29">
        <f t="shared" si="174"/>
        <v>5.7599999999999991E-2</v>
      </c>
      <c r="G461" s="30">
        <v>5.7599999999999991E-2</v>
      </c>
      <c r="H461" s="29">
        <f t="shared" si="170"/>
        <v>0</v>
      </c>
      <c r="I461" s="29">
        <v>0</v>
      </c>
      <c r="J461" s="29">
        <v>0</v>
      </c>
      <c r="K461" s="29">
        <v>0</v>
      </c>
      <c r="L461" s="29">
        <v>0</v>
      </c>
      <c r="M461" s="29">
        <v>5.7599999999999998E-2</v>
      </c>
      <c r="N461" s="29">
        <v>0</v>
      </c>
      <c r="O461" s="29">
        <v>0</v>
      </c>
      <c r="P461" s="29">
        <v>0</v>
      </c>
      <c r="Q461" s="29">
        <f t="shared" si="175"/>
        <v>5.7599999999999991E-2</v>
      </c>
      <c r="R461" s="29">
        <f t="shared" si="172"/>
        <v>-5.7599999999999998E-2</v>
      </c>
      <c r="S461" s="31">
        <f t="shared" si="173"/>
        <v>-1</v>
      </c>
      <c r="T461" s="45" t="s">
        <v>933</v>
      </c>
    </row>
    <row r="462" spans="1:20" s="1" customFormat="1" ht="47.25" x14ac:dyDescent="0.25">
      <c r="A462" s="26" t="s">
        <v>846</v>
      </c>
      <c r="B462" s="36" t="s">
        <v>934</v>
      </c>
      <c r="C462" s="29" t="s">
        <v>935</v>
      </c>
      <c r="D462" s="29">
        <v>0.37680000000000002</v>
      </c>
      <c r="E462" s="29">
        <v>0</v>
      </c>
      <c r="F462" s="29">
        <f t="shared" si="174"/>
        <v>0.37680000000000002</v>
      </c>
      <c r="G462" s="30">
        <v>0.37680000000000002</v>
      </c>
      <c r="H462" s="29">
        <f t="shared" si="170"/>
        <v>0.51695639999999998</v>
      </c>
      <c r="I462" s="29">
        <v>0</v>
      </c>
      <c r="J462" s="29">
        <v>0</v>
      </c>
      <c r="K462" s="29">
        <v>0</v>
      </c>
      <c r="L462" s="29">
        <v>0</v>
      </c>
      <c r="M462" s="29">
        <v>0.37680000000000002</v>
      </c>
      <c r="N462" s="29">
        <f>516.9564/1000</f>
        <v>0.51695639999999998</v>
      </c>
      <c r="O462" s="29">
        <v>0</v>
      </c>
      <c r="P462" s="29">
        <v>0</v>
      </c>
      <c r="Q462" s="29">
        <f t="shared" si="175"/>
        <v>-0.14015639999999996</v>
      </c>
      <c r="R462" s="29">
        <f t="shared" si="172"/>
        <v>0.14015639999999996</v>
      </c>
      <c r="S462" s="31">
        <f t="shared" si="173"/>
        <v>0.37196496815286612</v>
      </c>
      <c r="T462" s="45" t="s">
        <v>883</v>
      </c>
    </row>
    <row r="463" spans="1:20" s="1" customFormat="1" ht="47.25" x14ac:dyDescent="0.25">
      <c r="A463" s="26" t="s">
        <v>846</v>
      </c>
      <c r="B463" s="36" t="s">
        <v>936</v>
      </c>
      <c r="C463" s="29" t="s">
        <v>937</v>
      </c>
      <c r="D463" s="29">
        <v>0.13319999999999999</v>
      </c>
      <c r="E463" s="29">
        <v>0</v>
      </c>
      <c r="F463" s="29">
        <f t="shared" si="174"/>
        <v>0.13319999999999999</v>
      </c>
      <c r="G463" s="30">
        <v>0.13319999999999999</v>
      </c>
      <c r="H463" s="29">
        <f t="shared" si="170"/>
        <v>7.71236E-2</v>
      </c>
      <c r="I463" s="29">
        <v>0</v>
      </c>
      <c r="J463" s="29">
        <v>0</v>
      </c>
      <c r="K463" s="29">
        <v>0</v>
      </c>
      <c r="L463" s="29">
        <v>0</v>
      </c>
      <c r="M463" s="29">
        <v>0.13319999999999999</v>
      </c>
      <c r="N463" s="29">
        <f>77.1236/1000</f>
        <v>7.71236E-2</v>
      </c>
      <c r="O463" s="29">
        <v>0</v>
      </c>
      <c r="P463" s="29">
        <v>0</v>
      </c>
      <c r="Q463" s="29">
        <f t="shared" si="175"/>
        <v>5.6076399999999985E-2</v>
      </c>
      <c r="R463" s="29">
        <f t="shared" si="172"/>
        <v>-5.6076399999999985E-2</v>
      </c>
      <c r="S463" s="31">
        <f t="shared" si="173"/>
        <v>-0.4209939939939939</v>
      </c>
      <c r="T463" s="45" t="s">
        <v>774</v>
      </c>
    </row>
    <row r="464" spans="1:20" s="1" customFormat="1" ht="47.25" x14ac:dyDescent="0.25">
      <c r="A464" s="26" t="s">
        <v>846</v>
      </c>
      <c r="B464" s="36" t="s">
        <v>938</v>
      </c>
      <c r="C464" s="29" t="s">
        <v>939</v>
      </c>
      <c r="D464" s="29">
        <v>6.9599999999999995E-2</v>
      </c>
      <c r="E464" s="29">
        <v>0</v>
      </c>
      <c r="F464" s="29">
        <f t="shared" si="174"/>
        <v>6.9599999999999995E-2</v>
      </c>
      <c r="G464" s="30">
        <v>6.9599999999999995E-2</v>
      </c>
      <c r="H464" s="29">
        <f t="shared" si="170"/>
        <v>0.10557647000000001</v>
      </c>
      <c r="I464" s="29">
        <v>0</v>
      </c>
      <c r="J464" s="29">
        <v>0</v>
      </c>
      <c r="K464" s="29">
        <v>0</v>
      </c>
      <c r="L464" s="29">
        <v>0</v>
      </c>
      <c r="M464" s="29">
        <v>6.9599999999999995E-2</v>
      </c>
      <c r="N464" s="29">
        <f>105.57647/1000</f>
        <v>0.10557647000000001</v>
      </c>
      <c r="O464" s="29">
        <v>0</v>
      </c>
      <c r="P464" s="29">
        <v>0</v>
      </c>
      <c r="Q464" s="29">
        <f t="shared" si="175"/>
        <v>-3.597647000000001E-2</v>
      </c>
      <c r="R464" s="29">
        <f t="shared" si="172"/>
        <v>3.597647000000001E-2</v>
      </c>
      <c r="S464" s="31">
        <f t="shared" si="173"/>
        <v>0.51690330459770129</v>
      </c>
      <c r="T464" s="45" t="s">
        <v>883</v>
      </c>
    </row>
    <row r="465" spans="1:20" s="1" customFormat="1" ht="31.5" x14ac:dyDescent="0.25">
      <c r="A465" s="26" t="s">
        <v>846</v>
      </c>
      <c r="B465" s="36" t="s">
        <v>940</v>
      </c>
      <c r="C465" s="29" t="s">
        <v>941</v>
      </c>
      <c r="D465" s="29">
        <v>0.20519999999999999</v>
      </c>
      <c r="E465" s="29">
        <v>0</v>
      </c>
      <c r="F465" s="29">
        <f t="shared" si="174"/>
        <v>0.20519999999999999</v>
      </c>
      <c r="G465" s="30">
        <v>0.20519999999999999</v>
      </c>
      <c r="H465" s="29">
        <f t="shared" si="170"/>
        <v>0.18546665999999998</v>
      </c>
      <c r="I465" s="29">
        <v>0</v>
      </c>
      <c r="J465" s="29">
        <v>0</v>
      </c>
      <c r="K465" s="29">
        <v>0</v>
      </c>
      <c r="L465" s="29">
        <v>0</v>
      </c>
      <c r="M465" s="29">
        <v>0.20519999999999999</v>
      </c>
      <c r="N465" s="29">
        <f>185.46666/1000</f>
        <v>0.18546665999999998</v>
      </c>
      <c r="O465" s="29">
        <v>0</v>
      </c>
      <c r="P465" s="29">
        <v>0</v>
      </c>
      <c r="Q465" s="29">
        <f t="shared" si="175"/>
        <v>1.9733340000000016E-2</v>
      </c>
      <c r="R465" s="29">
        <f t="shared" si="172"/>
        <v>-1.9733340000000016E-2</v>
      </c>
      <c r="S465" s="31">
        <f t="shared" si="173"/>
        <v>-9.6166374269005928E-2</v>
      </c>
      <c r="T465" s="45" t="s">
        <v>32</v>
      </c>
    </row>
    <row r="466" spans="1:20" s="1" customFormat="1" ht="31.5" x14ac:dyDescent="0.25">
      <c r="A466" s="26" t="s">
        <v>846</v>
      </c>
      <c r="B466" s="36" t="s">
        <v>942</v>
      </c>
      <c r="C466" s="29" t="s">
        <v>943</v>
      </c>
      <c r="D466" s="29">
        <v>8.0399999999999985E-2</v>
      </c>
      <c r="E466" s="29">
        <v>0</v>
      </c>
      <c r="F466" s="29">
        <f t="shared" si="174"/>
        <v>8.0399999999999985E-2</v>
      </c>
      <c r="G466" s="30">
        <v>8.0399999999999985E-2</v>
      </c>
      <c r="H466" s="29">
        <f t="shared" si="170"/>
        <v>8.0399999999999999E-2</v>
      </c>
      <c r="I466" s="29">
        <v>0</v>
      </c>
      <c r="J466" s="29">
        <v>0</v>
      </c>
      <c r="K466" s="29">
        <v>0</v>
      </c>
      <c r="L466" s="29">
        <v>0</v>
      </c>
      <c r="M466" s="29">
        <v>8.0399999999999999E-2</v>
      </c>
      <c r="N466" s="29">
        <v>0</v>
      </c>
      <c r="O466" s="29">
        <v>0</v>
      </c>
      <c r="P466" s="29">
        <v>8.0399999999999999E-2</v>
      </c>
      <c r="Q466" s="29">
        <f t="shared" si="175"/>
        <v>0</v>
      </c>
      <c r="R466" s="29">
        <f t="shared" si="172"/>
        <v>0</v>
      </c>
      <c r="S466" s="31">
        <f t="shared" si="173"/>
        <v>0</v>
      </c>
      <c r="T466" s="45" t="s">
        <v>32</v>
      </c>
    </row>
    <row r="467" spans="1:20" s="1" customFormat="1" ht="31.5" x14ac:dyDescent="0.25">
      <c r="A467" s="26" t="s">
        <v>846</v>
      </c>
      <c r="B467" s="36" t="s">
        <v>944</v>
      </c>
      <c r="C467" s="29" t="s">
        <v>945</v>
      </c>
      <c r="D467" s="29">
        <v>0.59160000000000001</v>
      </c>
      <c r="E467" s="29">
        <v>0</v>
      </c>
      <c r="F467" s="29">
        <f t="shared" si="174"/>
        <v>0.59160000000000001</v>
      </c>
      <c r="G467" s="30">
        <v>0.59160000000000001</v>
      </c>
      <c r="H467" s="29">
        <f t="shared" si="170"/>
        <v>0.37837900000000002</v>
      </c>
      <c r="I467" s="29">
        <v>0</v>
      </c>
      <c r="J467" s="29">
        <v>0</v>
      </c>
      <c r="K467" s="29">
        <v>0</v>
      </c>
      <c r="L467" s="29">
        <v>0</v>
      </c>
      <c r="M467" s="29">
        <v>0.59160000000000001</v>
      </c>
      <c r="N467" s="29">
        <f>378.379/1000</f>
        <v>0.37837900000000002</v>
      </c>
      <c r="O467" s="29">
        <v>0</v>
      </c>
      <c r="P467" s="29">
        <v>0</v>
      </c>
      <c r="Q467" s="29">
        <f t="shared" si="175"/>
        <v>0.21322099999999999</v>
      </c>
      <c r="R467" s="29">
        <f t="shared" si="172"/>
        <v>-0.21322099999999999</v>
      </c>
      <c r="S467" s="31">
        <f t="shared" si="173"/>
        <v>-0.36041413116970922</v>
      </c>
      <c r="T467" s="45" t="s">
        <v>774</v>
      </c>
    </row>
    <row r="468" spans="1:20" s="1" customFormat="1" ht="47.25" x14ac:dyDescent="0.25">
      <c r="A468" s="26" t="s">
        <v>846</v>
      </c>
      <c r="B468" s="36" t="s">
        <v>946</v>
      </c>
      <c r="C468" s="29" t="s">
        <v>947</v>
      </c>
      <c r="D468" s="29">
        <v>1.0427999999999999</v>
      </c>
      <c r="E468" s="29">
        <v>0</v>
      </c>
      <c r="F468" s="29">
        <f t="shared" si="174"/>
        <v>1.0427999999999999</v>
      </c>
      <c r="G468" s="30">
        <v>1.0427999999999999</v>
      </c>
      <c r="H468" s="29">
        <f t="shared" si="170"/>
        <v>1.0403712000000001</v>
      </c>
      <c r="I468" s="29">
        <v>0</v>
      </c>
      <c r="J468" s="29">
        <v>0</v>
      </c>
      <c r="K468" s="29">
        <v>0</v>
      </c>
      <c r="L468" s="29">
        <v>1.0403712000000001</v>
      </c>
      <c r="M468" s="29">
        <v>1.0427999999999999</v>
      </c>
      <c r="N468" s="29">
        <v>0</v>
      </c>
      <c r="O468" s="29">
        <v>0</v>
      </c>
      <c r="P468" s="29">
        <v>0</v>
      </c>
      <c r="Q468" s="29">
        <f t="shared" si="175"/>
        <v>2.4287999999998977E-3</v>
      </c>
      <c r="R468" s="29">
        <f t="shared" si="172"/>
        <v>-2.4287999999998977E-3</v>
      </c>
      <c r="S468" s="31">
        <f t="shared" si="173"/>
        <v>-2.3291139240505347E-3</v>
      </c>
      <c r="T468" s="45" t="s">
        <v>32</v>
      </c>
    </row>
    <row r="469" spans="1:20" s="1" customFormat="1" ht="31.5" x14ac:dyDescent="0.25">
      <c r="A469" s="26" t="s">
        <v>846</v>
      </c>
      <c r="B469" s="36" t="s">
        <v>948</v>
      </c>
      <c r="C469" s="29" t="s">
        <v>949</v>
      </c>
      <c r="D469" s="29">
        <v>0.16440000000000002</v>
      </c>
      <c r="E469" s="29">
        <v>0</v>
      </c>
      <c r="F469" s="29">
        <f t="shared" si="174"/>
        <v>0.16440000000000002</v>
      </c>
      <c r="G469" s="30">
        <v>0.16440000000000002</v>
      </c>
      <c r="H469" s="29">
        <f t="shared" si="170"/>
        <v>0.154422</v>
      </c>
      <c r="I469" s="29">
        <v>0</v>
      </c>
      <c r="J469" s="29">
        <v>0</v>
      </c>
      <c r="K469" s="29">
        <v>0</v>
      </c>
      <c r="L469" s="29">
        <v>0.154422</v>
      </c>
      <c r="M469" s="29">
        <v>0.16440000000000002</v>
      </c>
      <c r="N469" s="29">
        <v>0</v>
      </c>
      <c r="O469" s="29">
        <v>0</v>
      </c>
      <c r="P469" s="29">
        <v>0</v>
      </c>
      <c r="Q469" s="29">
        <f t="shared" si="175"/>
        <v>9.9780000000000146E-3</v>
      </c>
      <c r="R469" s="29">
        <f t="shared" si="172"/>
        <v>-9.9780000000000146E-3</v>
      </c>
      <c r="S469" s="31">
        <f t="shared" si="173"/>
        <v>-6.0693430656934388E-2</v>
      </c>
      <c r="T469" s="45" t="s">
        <v>32</v>
      </c>
    </row>
    <row r="470" spans="1:20" s="1" customFormat="1" ht="31.5" x14ac:dyDescent="0.25">
      <c r="A470" s="26" t="s">
        <v>846</v>
      </c>
      <c r="B470" s="36" t="s">
        <v>950</v>
      </c>
      <c r="C470" s="29" t="s">
        <v>951</v>
      </c>
      <c r="D470" s="29">
        <v>0.20519999999999999</v>
      </c>
      <c r="E470" s="29">
        <v>0</v>
      </c>
      <c r="F470" s="29">
        <f t="shared" si="174"/>
        <v>0.20519999999999999</v>
      </c>
      <c r="G470" s="30">
        <v>0.20519999999999999</v>
      </c>
      <c r="H470" s="29">
        <f t="shared" si="170"/>
        <v>0.17846400000000001</v>
      </c>
      <c r="I470" s="29">
        <v>0</v>
      </c>
      <c r="J470" s="29">
        <v>0</v>
      </c>
      <c r="K470" s="29">
        <v>0</v>
      </c>
      <c r="L470" s="29">
        <v>0</v>
      </c>
      <c r="M470" s="29">
        <v>0.20519999999999999</v>
      </c>
      <c r="N470" s="29">
        <v>0</v>
      </c>
      <c r="O470" s="29">
        <v>0</v>
      </c>
      <c r="P470" s="29">
        <v>0.17846400000000001</v>
      </c>
      <c r="Q470" s="29">
        <f t="shared" si="175"/>
        <v>2.6735999999999982E-2</v>
      </c>
      <c r="R470" s="29">
        <f t="shared" si="172"/>
        <v>-2.6735999999999982E-2</v>
      </c>
      <c r="S470" s="31">
        <f t="shared" si="173"/>
        <v>-0.13029239766081863</v>
      </c>
      <c r="T470" s="45" t="s">
        <v>774</v>
      </c>
    </row>
    <row r="471" spans="1:20" s="1" customFormat="1" ht="31.5" x14ac:dyDescent="0.25">
      <c r="A471" s="26" t="s">
        <v>846</v>
      </c>
      <c r="B471" s="36" t="s">
        <v>952</v>
      </c>
      <c r="C471" s="29" t="s">
        <v>953</v>
      </c>
      <c r="D471" s="29">
        <v>7.92</v>
      </c>
      <c r="E471" s="29">
        <v>0</v>
      </c>
      <c r="F471" s="29">
        <f t="shared" si="174"/>
        <v>7.92</v>
      </c>
      <c r="G471" s="30">
        <v>7.92</v>
      </c>
      <c r="H471" s="29">
        <f t="shared" si="170"/>
        <v>6.5469999999999997</v>
      </c>
      <c r="I471" s="29">
        <v>0</v>
      </c>
      <c r="J471" s="29">
        <v>0</v>
      </c>
      <c r="K471" s="29">
        <v>0</v>
      </c>
      <c r="L471" s="29">
        <v>0</v>
      </c>
      <c r="M471" s="29">
        <v>7.92</v>
      </c>
      <c r="N471" s="29">
        <v>0</v>
      </c>
      <c r="O471" s="29">
        <v>0</v>
      </c>
      <c r="P471" s="29">
        <v>6.5469999999999997</v>
      </c>
      <c r="Q471" s="29">
        <f t="shared" si="175"/>
        <v>1.3730000000000002</v>
      </c>
      <c r="R471" s="29">
        <f t="shared" si="172"/>
        <v>-1.3730000000000002</v>
      </c>
      <c r="S471" s="31">
        <f t="shared" si="173"/>
        <v>-0.17335858585858588</v>
      </c>
      <c r="T471" s="45" t="s">
        <v>774</v>
      </c>
    </row>
    <row r="472" spans="1:20" s="1" customFormat="1" ht="31.5" x14ac:dyDescent="0.25">
      <c r="A472" s="26" t="s">
        <v>846</v>
      </c>
      <c r="B472" s="36" t="s">
        <v>954</v>
      </c>
      <c r="C472" s="29" t="s">
        <v>955</v>
      </c>
      <c r="D472" s="29">
        <v>1.8480000000000001</v>
      </c>
      <c r="E472" s="29">
        <v>0</v>
      </c>
      <c r="F472" s="29">
        <f t="shared" si="174"/>
        <v>1.8480000000000001</v>
      </c>
      <c r="G472" s="30">
        <v>1.8480000000000001</v>
      </c>
      <c r="H472" s="29">
        <f t="shared" si="170"/>
        <v>1.8480000000000001</v>
      </c>
      <c r="I472" s="29">
        <v>0</v>
      </c>
      <c r="J472" s="29">
        <v>0</v>
      </c>
      <c r="K472" s="29">
        <v>0</v>
      </c>
      <c r="L472" s="29">
        <v>0</v>
      </c>
      <c r="M472" s="29">
        <v>1.8480000000000001</v>
      </c>
      <c r="N472" s="29">
        <v>0</v>
      </c>
      <c r="O472" s="29">
        <v>0</v>
      </c>
      <c r="P472" s="29">
        <v>1.8480000000000001</v>
      </c>
      <c r="Q472" s="29">
        <f t="shared" si="175"/>
        <v>0</v>
      </c>
      <c r="R472" s="29">
        <f t="shared" si="172"/>
        <v>0</v>
      </c>
      <c r="S472" s="31">
        <f t="shared" si="173"/>
        <v>0</v>
      </c>
      <c r="T472" s="45" t="s">
        <v>32</v>
      </c>
    </row>
    <row r="473" spans="1:20" s="1" customFormat="1" ht="47.25" x14ac:dyDescent="0.25">
      <c r="A473" s="26" t="s">
        <v>846</v>
      </c>
      <c r="B473" s="36" t="s">
        <v>956</v>
      </c>
      <c r="C473" s="29" t="s">
        <v>957</v>
      </c>
      <c r="D473" s="29">
        <v>4.4880000000000004</v>
      </c>
      <c r="E473" s="29">
        <v>0</v>
      </c>
      <c r="F473" s="29">
        <f t="shared" si="174"/>
        <v>4.4880000000000004</v>
      </c>
      <c r="G473" s="30">
        <v>1.26</v>
      </c>
      <c r="H473" s="29">
        <f t="shared" si="170"/>
        <v>1.26</v>
      </c>
      <c r="I473" s="29">
        <v>0</v>
      </c>
      <c r="J473" s="29">
        <v>0</v>
      </c>
      <c r="K473" s="29">
        <v>0</v>
      </c>
      <c r="L473" s="29">
        <v>0</v>
      </c>
      <c r="M473" s="29">
        <v>1.26</v>
      </c>
      <c r="N473" s="29">
        <v>1.26</v>
      </c>
      <c r="O473" s="29">
        <v>0</v>
      </c>
      <c r="P473" s="29">
        <v>0</v>
      </c>
      <c r="Q473" s="29">
        <f t="shared" si="175"/>
        <v>3.2280000000000006</v>
      </c>
      <c r="R473" s="29">
        <f t="shared" si="172"/>
        <v>0</v>
      </c>
      <c r="S473" s="31">
        <f t="shared" si="173"/>
        <v>0</v>
      </c>
      <c r="T473" s="45" t="s">
        <v>32</v>
      </c>
    </row>
    <row r="474" spans="1:20" s="1" customFormat="1" ht="31.5" x14ac:dyDescent="0.25">
      <c r="A474" s="26" t="s">
        <v>846</v>
      </c>
      <c r="B474" s="36" t="s">
        <v>958</v>
      </c>
      <c r="C474" s="29" t="s">
        <v>959</v>
      </c>
      <c r="D474" s="29">
        <v>11.76</v>
      </c>
      <c r="E474" s="29">
        <v>0</v>
      </c>
      <c r="F474" s="29">
        <f t="shared" si="174"/>
        <v>11.76</v>
      </c>
      <c r="G474" s="30">
        <v>11.76</v>
      </c>
      <c r="H474" s="29">
        <f t="shared" si="170"/>
        <v>11.713271550000002</v>
      </c>
      <c r="I474" s="29">
        <v>0</v>
      </c>
      <c r="J474" s="29">
        <v>0</v>
      </c>
      <c r="K474" s="29">
        <v>0</v>
      </c>
      <c r="L474" s="29">
        <v>0</v>
      </c>
      <c r="M474" s="29">
        <v>11.76</v>
      </c>
      <c r="N474" s="29">
        <v>0</v>
      </c>
      <c r="O474" s="29">
        <v>0</v>
      </c>
      <c r="P474" s="29">
        <v>11.713271550000002</v>
      </c>
      <c r="Q474" s="29">
        <f t="shared" si="175"/>
        <v>4.6728449999998034E-2</v>
      </c>
      <c r="R474" s="29">
        <f t="shared" si="172"/>
        <v>-4.6728449999998034E-2</v>
      </c>
      <c r="S474" s="31">
        <f t="shared" si="173"/>
        <v>-3.9735076530610577E-3</v>
      </c>
      <c r="T474" s="45" t="s">
        <v>32</v>
      </c>
    </row>
    <row r="475" spans="1:20" s="1" customFormat="1" ht="31.5" x14ac:dyDescent="0.25">
      <c r="A475" s="26" t="s">
        <v>846</v>
      </c>
      <c r="B475" s="36" t="s">
        <v>960</v>
      </c>
      <c r="C475" s="29" t="s">
        <v>961</v>
      </c>
      <c r="D475" s="29">
        <v>2.4</v>
      </c>
      <c r="E475" s="29">
        <v>0</v>
      </c>
      <c r="F475" s="29">
        <f t="shared" si="174"/>
        <v>2.4</v>
      </c>
      <c r="G475" s="30">
        <v>2.4</v>
      </c>
      <c r="H475" s="29">
        <f t="shared" si="170"/>
        <v>0</v>
      </c>
      <c r="I475" s="29">
        <v>0</v>
      </c>
      <c r="J475" s="29">
        <v>0</v>
      </c>
      <c r="K475" s="29">
        <v>0</v>
      </c>
      <c r="L475" s="29">
        <v>0</v>
      </c>
      <c r="M475" s="29">
        <v>2.4</v>
      </c>
      <c r="N475" s="29">
        <v>0</v>
      </c>
      <c r="O475" s="29">
        <v>0</v>
      </c>
      <c r="P475" s="29">
        <v>0</v>
      </c>
      <c r="Q475" s="29">
        <f t="shared" si="175"/>
        <v>2.4</v>
      </c>
      <c r="R475" s="29">
        <f t="shared" si="172"/>
        <v>-2.4</v>
      </c>
      <c r="S475" s="31">
        <f t="shared" si="173"/>
        <v>-1</v>
      </c>
      <c r="T475" s="45" t="s">
        <v>962</v>
      </c>
    </row>
    <row r="476" spans="1:20" s="1" customFormat="1" ht="31.5" x14ac:dyDescent="0.25">
      <c r="A476" s="26" t="s">
        <v>846</v>
      </c>
      <c r="B476" s="36" t="s">
        <v>963</v>
      </c>
      <c r="C476" s="29" t="s">
        <v>964</v>
      </c>
      <c r="D476" s="29">
        <v>15.3696</v>
      </c>
      <c r="E476" s="29">
        <v>0</v>
      </c>
      <c r="F476" s="29">
        <f t="shared" si="174"/>
        <v>15.3696</v>
      </c>
      <c r="G476" s="30">
        <v>5.4960000000000004</v>
      </c>
      <c r="H476" s="29">
        <f t="shared" si="170"/>
        <v>5.73</v>
      </c>
      <c r="I476" s="29">
        <v>0</v>
      </c>
      <c r="J476" s="29">
        <v>0</v>
      </c>
      <c r="K476" s="29">
        <v>0</v>
      </c>
      <c r="L476" s="29">
        <v>0</v>
      </c>
      <c r="M476" s="29">
        <v>5.4960000000000004</v>
      </c>
      <c r="N476" s="29">
        <v>5.73</v>
      </c>
      <c r="O476" s="29">
        <v>0</v>
      </c>
      <c r="P476" s="29">
        <v>0</v>
      </c>
      <c r="Q476" s="29">
        <f t="shared" si="175"/>
        <v>9.6395999999999997</v>
      </c>
      <c r="R476" s="29">
        <f t="shared" si="172"/>
        <v>0.23399999999999999</v>
      </c>
      <c r="S476" s="31">
        <f t="shared" si="173"/>
        <v>4.2576419213973794E-2</v>
      </c>
      <c r="T476" s="45" t="s">
        <v>32</v>
      </c>
    </row>
    <row r="477" spans="1:20" s="1" customFormat="1" ht="31.5" x14ac:dyDescent="0.25">
      <c r="A477" s="26" t="s">
        <v>846</v>
      </c>
      <c r="B477" s="36" t="s">
        <v>965</v>
      </c>
      <c r="C477" s="29" t="s">
        <v>966</v>
      </c>
      <c r="D477" s="29">
        <v>6.5759999999999996</v>
      </c>
      <c r="E477" s="29">
        <v>0</v>
      </c>
      <c r="F477" s="29">
        <f t="shared" si="174"/>
        <v>6.5759999999999996</v>
      </c>
      <c r="G477" s="30">
        <v>6.5759999999999996</v>
      </c>
      <c r="H477" s="29">
        <f t="shared" si="170"/>
        <v>6.516</v>
      </c>
      <c r="I477" s="29">
        <v>0</v>
      </c>
      <c r="J477" s="29">
        <v>0</v>
      </c>
      <c r="K477" s="29">
        <v>0</v>
      </c>
      <c r="L477" s="29">
        <v>0</v>
      </c>
      <c r="M477" s="29">
        <v>6.5759999999999996</v>
      </c>
      <c r="N477" s="29">
        <v>6.516</v>
      </c>
      <c r="O477" s="29">
        <v>0</v>
      </c>
      <c r="P477" s="29">
        <v>0</v>
      </c>
      <c r="Q477" s="29">
        <f t="shared" si="175"/>
        <v>5.9999999999999609E-2</v>
      </c>
      <c r="R477" s="29">
        <f t="shared" si="172"/>
        <v>-5.9999999999999609E-2</v>
      </c>
      <c r="S477" s="31">
        <f t="shared" si="173"/>
        <v>-9.1240875912408162E-3</v>
      </c>
      <c r="T477" s="45" t="s">
        <v>32</v>
      </c>
    </row>
    <row r="478" spans="1:20" s="1" customFormat="1" ht="31.5" x14ac:dyDescent="0.25">
      <c r="A478" s="26" t="s">
        <v>846</v>
      </c>
      <c r="B478" s="36" t="s">
        <v>967</v>
      </c>
      <c r="C478" s="29" t="s">
        <v>968</v>
      </c>
      <c r="D478" s="29">
        <v>0.54120000000000001</v>
      </c>
      <c r="E478" s="29">
        <v>0</v>
      </c>
      <c r="F478" s="29">
        <f t="shared" si="174"/>
        <v>0.54120000000000001</v>
      </c>
      <c r="G478" s="30">
        <v>0.14399999999999999</v>
      </c>
      <c r="H478" s="29">
        <f t="shared" si="170"/>
        <v>0.14399999999999999</v>
      </c>
      <c r="I478" s="29">
        <v>0</v>
      </c>
      <c r="J478" s="29">
        <v>0</v>
      </c>
      <c r="K478" s="29">
        <v>0</v>
      </c>
      <c r="L478" s="29">
        <v>0.14399999999999999</v>
      </c>
      <c r="M478" s="29">
        <v>0.14399999999999999</v>
      </c>
      <c r="N478" s="29">
        <v>0</v>
      </c>
      <c r="O478" s="29">
        <v>0</v>
      </c>
      <c r="P478" s="29">
        <v>0</v>
      </c>
      <c r="Q478" s="29">
        <f t="shared" si="175"/>
        <v>0.3972</v>
      </c>
      <c r="R478" s="29">
        <f t="shared" si="172"/>
        <v>0</v>
      </c>
      <c r="S478" s="31">
        <f t="shared" si="173"/>
        <v>0</v>
      </c>
      <c r="T478" s="45" t="s">
        <v>32</v>
      </c>
    </row>
    <row r="479" spans="1:20" s="1" customFormat="1" ht="31.5" x14ac:dyDescent="0.25">
      <c r="A479" s="26" t="s">
        <v>846</v>
      </c>
      <c r="B479" s="36" t="s">
        <v>969</v>
      </c>
      <c r="C479" s="29" t="s">
        <v>970</v>
      </c>
      <c r="D479" s="29">
        <v>0.18786000000000003</v>
      </c>
      <c r="E479" s="29">
        <v>0</v>
      </c>
      <c r="F479" s="29">
        <f t="shared" si="174"/>
        <v>0.18786000000000003</v>
      </c>
      <c r="G479" s="30">
        <v>0.18786000000000003</v>
      </c>
      <c r="H479" s="29">
        <f t="shared" si="170"/>
        <v>0.18786</v>
      </c>
      <c r="I479" s="29">
        <v>0</v>
      </c>
      <c r="J479" s="29">
        <v>0</v>
      </c>
      <c r="K479" s="29">
        <v>0</v>
      </c>
      <c r="L479" s="29">
        <v>0.18786</v>
      </c>
      <c r="M479" s="29">
        <v>0.18786000000000003</v>
      </c>
      <c r="N479" s="29">
        <v>0</v>
      </c>
      <c r="O479" s="29">
        <v>0</v>
      </c>
      <c r="P479" s="29">
        <v>0</v>
      </c>
      <c r="Q479" s="29">
        <f t="shared" si="175"/>
        <v>0</v>
      </c>
      <c r="R479" s="29">
        <f t="shared" si="172"/>
        <v>0</v>
      </c>
      <c r="S479" s="31">
        <f t="shared" si="173"/>
        <v>0</v>
      </c>
      <c r="T479" s="45" t="s">
        <v>32</v>
      </c>
    </row>
    <row r="480" spans="1:20" s="1" customFormat="1" ht="31.5" x14ac:dyDescent="0.25">
      <c r="A480" s="26" t="s">
        <v>846</v>
      </c>
      <c r="B480" s="36" t="s">
        <v>971</v>
      </c>
      <c r="C480" s="29" t="s">
        <v>972</v>
      </c>
      <c r="D480" s="29">
        <v>0.27959999999999996</v>
      </c>
      <c r="E480" s="29">
        <v>0</v>
      </c>
      <c r="F480" s="29">
        <f t="shared" si="174"/>
        <v>0.27959999999999996</v>
      </c>
      <c r="G480" s="30">
        <v>0.14399999999999999</v>
      </c>
      <c r="H480" s="29">
        <f t="shared" si="170"/>
        <v>0.14399999999999999</v>
      </c>
      <c r="I480" s="29">
        <v>0</v>
      </c>
      <c r="J480" s="29">
        <v>0</v>
      </c>
      <c r="K480" s="29">
        <v>0</v>
      </c>
      <c r="L480" s="29">
        <v>0.14399999999999999</v>
      </c>
      <c r="M480" s="29">
        <v>0.14399999999999999</v>
      </c>
      <c r="N480" s="29">
        <v>0</v>
      </c>
      <c r="O480" s="29">
        <v>0</v>
      </c>
      <c r="P480" s="29">
        <v>0</v>
      </c>
      <c r="Q480" s="29">
        <f t="shared" si="175"/>
        <v>0.13559999999999997</v>
      </c>
      <c r="R480" s="29">
        <f t="shared" si="172"/>
        <v>0</v>
      </c>
      <c r="S480" s="31">
        <f t="shared" si="173"/>
        <v>0</v>
      </c>
      <c r="T480" s="45" t="s">
        <v>32</v>
      </c>
    </row>
    <row r="481" spans="1:20" s="1" customFormat="1" ht="31.5" x14ac:dyDescent="0.25">
      <c r="A481" s="26" t="s">
        <v>846</v>
      </c>
      <c r="B481" s="36" t="s">
        <v>973</v>
      </c>
      <c r="C481" s="29" t="s">
        <v>974</v>
      </c>
      <c r="D481" s="29">
        <v>0.34799999999999998</v>
      </c>
      <c r="E481" s="29">
        <v>0</v>
      </c>
      <c r="F481" s="29">
        <f t="shared" si="174"/>
        <v>0.34799999999999998</v>
      </c>
      <c r="G481" s="30">
        <v>0.34799999999999998</v>
      </c>
      <c r="H481" s="29">
        <f t="shared" si="170"/>
        <v>0.29677999999999999</v>
      </c>
      <c r="I481" s="29">
        <v>0</v>
      </c>
      <c r="J481" s="29">
        <v>0</v>
      </c>
      <c r="K481" s="29">
        <v>0</v>
      </c>
      <c r="L481" s="29">
        <v>0</v>
      </c>
      <c r="M481" s="29">
        <v>0.34799999999999998</v>
      </c>
      <c r="N481" s="29">
        <v>0</v>
      </c>
      <c r="O481" s="29">
        <v>0</v>
      </c>
      <c r="P481" s="29">
        <v>0.29677999999999999</v>
      </c>
      <c r="Q481" s="29">
        <f t="shared" si="175"/>
        <v>5.1219999999999988E-2</v>
      </c>
      <c r="R481" s="29">
        <f t="shared" si="172"/>
        <v>-5.1219999999999988E-2</v>
      </c>
      <c r="S481" s="31">
        <f t="shared" si="173"/>
        <v>-0.14718390804597697</v>
      </c>
      <c r="T481" s="45" t="s">
        <v>774</v>
      </c>
    </row>
    <row r="482" spans="1:20" s="1" customFormat="1" ht="31.5" x14ac:dyDescent="0.25">
      <c r="A482" s="26" t="s">
        <v>846</v>
      </c>
      <c r="B482" s="36" t="s">
        <v>975</v>
      </c>
      <c r="C482" s="29" t="s">
        <v>976</v>
      </c>
      <c r="D482" s="29">
        <v>0.108</v>
      </c>
      <c r="E482" s="29">
        <v>0</v>
      </c>
      <c r="F482" s="29">
        <f t="shared" si="174"/>
        <v>0.108</v>
      </c>
      <c r="G482" s="30">
        <v>0.108</v>
      </c>
      <c r="H482" s="29">
        <f t="shared" si="170"/>
        <v>0.108</v>
      </c>
      <c r="I482" s="29">
        <v>0</v>
      </c>
      <c r="J482" s="29">
        <v>0</v>
      </c>
      <c r="K482" s="29">
        <v>0</v>
      </c>
      <c r="L482" s="29">
        <v>0.108</v>
      </c>
      <c r="M482" s="29">
        <v>0.1032</v>
      </c>
      <c r="N482" s="29">
        <v>0</v>
      </c>
      <c r="O482" s="29">
        <f>G482-M482</f>
        <v>4.7999999999999987E-3</v>
      </c>
      <c r="P482" s="29">
        <v>0</v>
      </c>
      <c r="Q482" s="29">
        <f t="shared" si="175"/>
        <v>0</v>
      </c>
      <c r="R482" s="29">
        <f t="shared" si="172"/>
        <v>0</v>
      </c>
      <c r="S482" s="31">
        <f t="shared" si="173"/>
        <v>0</v>
      </c>
      <c r="T482" s="45" t="s">
        <v>32</v>
      </c>
    </row>
    <row r="483" spans="1:20" s="1" customFormat="1" ht="31.5" x14ac:dyDescent="0.25">
      <c r="A483" s="26" t="s">
        <v>846</v>
      </c>
      <c r="B483" s="36" t="s">
        <v>977</v>
      </c>
      <c r="C483" s="29" t="s">
        <v>978</v>
      </c>
      <c r="D483" s="29">
        <v>5.2953E-2</v>
      </c>
      <c r="E483" s="29">
        <v>0</v>
      </c>
      <c r="F483" s="29">
        <f t="shared" si="174"/>
        <v>5.2953E-2</v>
      </c>
      <c r="G483" s="30">
        <v>5.2953E-2</v>
      </c>
      <c r="H483" s="29">
        <f t="shared" si="170"/>
        <v>5.2953E-2</v>
      </c>
      <c r="I483" s="29">
        <v>0</v>
      </c>
      <c r="J483" s="29">
        <v>5.2953E-2</v>
      </c>
      <c r="K483" s="29">
        <v>0</v>
      </c>
      <c r="L483" s="29">
        <v>0</v>
      </c>
      <c r="M483" s="29">
        <v>5.2953E-2</v>
      </c>
      <c r="N483" s="29">
        <v>0</v>
      </c>
      <c r="O483" s="29">
        <v>0</v>
      </c>
      <c r="P483" s="29">
        <v>0</v>
      </c>
      <c r="Q483" s="29">
        <f t="shared" si="175"/>
        <v>0</v>
      </c>
      <c r="R483" s="29">
        <f t="shared" si="172"/>
        <v>0</v>
      </c>
      <c r="S483" s="31">
        <f t="shared" si="173"/>
        <v>0</v>
      </c>
      <c r="T483" s="30" t="s">
        <v>32</v>
      </c>
    </row>
    <row r="484" spans="1:20" s="1" customFormat="1" ht="31.5" x14ac:dyDescent="0.25">
      <c r="A484" s="26" t="s">
        <v>846</v>
      </c>
      <c r="B484" s="36" t="s">
        <v>979</v>
      </c>
      <c r="C484" s="29" t="s">
        <v>980</v>
      </c>
      <c r="D484" s="29">
        <v>0.15719999999999998</v>
      </c>
      <c r="E484" s="29">
        <v>0</v>
      </c>
      <c r="F484" s="29">
        <f t="shared" si="174"/>
        <v>0.15719999999999998</v>
      </c>
      <c r="G484" s="30">
        <v>0.15719999999999998</v>
      </c>
      <c r="H484" s="29">
        <f t="shared" si="170"/>
        <v>0</v>
      </c>
      <c r="I484" s="29">
        <v>0</v>
      </c>
      <c r="J484" s="29">
        <v>0</v>
      </c>
      <c r="K484" s="29">
        <v>0</v>
      </c>
      <c r="L484" s="29">
        <v>0</v>
      </c>
      <c r="M484" s="29">
        <v>0.15719999999999998</v>
      </c>
      <c r="N484" s="29">
        <v>0</v>
      </c>
      <c r="O484" s="29">
        <v>0</v>
      </c>
      <c r="P484" s="29">
        <v>0</v>
      </c>
      <c r="Q484" s="29">
        <f t="shared" si="175"/>
        <v>0.15719999999999998</v>
      </c>
      <c r="R484" s="29">
        <f t="shared" si="172"/>
        <v>-0.15719999999999998</v>
      </c>
      <c r="S484" s="31">
        <f t="shared" si="173"/>
        <v>-1</v>
      </c>
      <c r="T484" s="29" t="s">
        <v>933</v>
      </c>
    </row>
    <row r="485" spans="1:20" s="1" customFormat="1" ht="31.5" x14ac:dyDescent="0.25">
      <c r="A485" s="26" t="s">
        <v>846</v>
      </c>
      <c r="B485" s="36" t="s">
        <v>981</v>
      </c>
      <c r="C485" s="29" t="s">
        <v>982</v>
      </c>
      <c r="D485" s="29">
        <v>0.38400000000000001</v>
      </c>
      <c r="E485" s="29">
        <v>0</v>
      </c>
      <c r="F485" s="29">
        <f t="shared" si="174"/>
        <v>0.38400000000000001</v>
      </c>
      <c r="G485" s="30">
        <v>0.38400000000000001</v>
      </c>
      <c r="H485" s="29">
        <f t="shared" si="170"/>
        <v>0.34367999999999999</v>
      </c>
      <c r="I485" s="29">
        <v>0</v>
      </c>
      <c r="J485" s="29">
        <v>0</v>
      </c>
      <c r="K485" s="29">
        <v>0</v>
      </c>
      <c r="L485" s="29">
        <v>0.34367999999999999</v>
      </c>
      <c r="M485" s="29">
        <v>0.38400000000000001</v>
      </c>
      <c r="N485" s="29">
        <v>0</v>
      </c>
      <c r="O485" s="29">
        <v>0</v>
      </c>
      <c r="P485" s="29">
        <v>0</v>
      </c>
      <c r="Q485" s="29">
        <f t="shared" si="175"/>
        <v>4.0320000000000022E-2</v>
      </c>
      <c r="R485" s="29">
        <f t="shared" si="172"/>
        <v>-4.0320000000000022E-2</v>
      </c>
      <c r="S485" s="31">
        <f t="shared" si="173"/>
        <v>-0.10500000000000005</v>
      </c>
      <c r="T485" s="45" t="s">
        <v>774</v>
      </c>
    </row>
    <row r="486" spans="1:20" s="1" customFormat="1" ht="31.5" x14ac:dyDescent="0.25">
      <c r="A486" s="26" t="s">
        <v>846</v>
      </c>
      <c r="B486" s="36" t="s">
        <v>983</v>
      </c>
      <c r="C486" s="29" t="s">
        <v>984</v>
      </c>
      <c r="D486" s="29">
        <v>1.08</v>
      </c>
      <c r="E486" s="29">
        <v>0</v>
      </c>
      <c r="F486" s="29">
        <f t="shared" si="174"/>
        <v>1.08</v>
      </c>
      <c r="G486" s="30">
        <v>1.08</v>
      </c>
      <c r="H486" s="29">
        <f t="shared" ref="H486:H491" si="176">J486+L486+N486+P486</f>
        <v>0.64200000000000002</v>
      </c>
      <c r="I486" s="29">
        <v>0</v>
      </c>
      <c r="J486" s="29">
        <v>0</v>
      </c>
      <c r="K486" s="29">
        <v>0</v>
      </c>
      <c r="L486" s="29">
        <v>0</v>
      </c>
      <c r="M486" s="29">
        <v>1.08</v>
      </c>
      <c r="N486" s="29">
        <f>0.642</f>
        <v>0.64200000000000002</v>
      </c>
      <c r="O486" s="29">
        <v>0</v>
      </c>
      <c r="P486" s="29">
        <v>0</v>
      </c>
      <c r="Q486" s="29">
        <f t="shared" si="175"/>
        <v>0.43800000000000006</v>
      </c>
      <c r="R486" s="29">
        <f t="shared" ref="R486:R491" si="177">H486-(I486+K486+M486+O486)</f>
        <v>-0.43800000000000006</v>
      </c>
      <c r="S486" s="31">
        <f t="shared" ref="S486:S493" si="178">R486/(I486+K486+M486+O486)</f>
        <v>-0.40555555555555556</v>
      </c>
      <c r="T486" s="30" t="s">
        <v>774</v>
      </c>
    </row>
    <row r="487" spans="1:20" s="1" customFormat="1" ht="31.5" x14ac:dyDescent="0.25">
      <c r="A487" s="26" t="s">
        <v>846</v>
      </c>
      <c r="B487" s="36" t="s">
        <v>985</v>
      </c>
      <c r="C487" s="29" t="s">
        <v>986</v>
      </c>
      <c r="D487" s="29">
        <v>0.41880000000000001</v>
      </c>
      <c r="E487" s="29">
        <v>0</v>
      </c>
      <c r="F487" s="29">
        <f t="shared" si="174"/>
        <v>0.41880000000000001</v>
      </c>
      <c r="G487" s="30">
        <v>0.26400000000000001</v>
      </c>
      <c r="H487" s="29">
        <f t="shared" si="176"/>
        <v>0.22883702</v>
      </c>
      <c r="I487" s="29">
        <v>0</v>
      </c>
      <c r="J487" s="29">
        <v>0</v>
      </c>
      <c r="K487" s="29">
        <v>0</v>
      </c>
      <c r="L487" s="29">
        <v>0</v>
      </c>
      <c r="M487" s="29">
        <v>0.26400000000000001</v>
      </c>
      <c r="N487" s="29">
        <f>228.83702/1000</f>
        <v>0.22883702</v>
      </c>
      <c r="O487" s="29">
        <v>0</v>
      </c>
      <c r="P487" s="29">
        <v>0</v>
      </c>
      <c r="Q487" s="29">
        <f t="shared" si="175"/>
        <v>0.18996298</v>
      </c>
      <c r="R487" s="29">
        <f t="shared" si="177"/>
        <v>-3.516298000000001E-2</v>
      </c>
      <c r="S487" s="31">
        <f t="shared" si="178"/>
        <v>-0.13319310606060608</v>
      </c>
      <c r="T487" s="45" t="s">
        <v>774</v>
      </c>
    </row>
    <row r="488" spans="1:20" s="1" customFormat="1" ht="31.5" x14ac:dyDescent="0.25">
      <c r="A488" s="26" t="s">
        <v>846</v>
      </c>
      <c r="B488" s="36" t="s">
        <v>987</v>
      </c>
      <c r="C488" s="29" t="s">
        <v>988</v>
      </c>
      <c r="D488" s="29">
        <v>0.192</v>
      </c>
      <c r="E488" s="29">
        <v>0</v>
      </c>
      <c r="F488" s="29">
        <f t="shared" si="174"/>
        <v>0.192</v>
      </c>
      <c r="G488" s="30">
        <v>0.192</v>
      </c>
      <c r="H488" s="29">
        <f t="shared" si="176"/>
        <v>0.12720766</v>
      </c>
      <c r="I488" s="29">
        <v>0</v>
      </c>
      <c r="J488" s="29">
        <v>0</v>
      </c>
      <c r="K488" s="29">
        <v>0</v>
      </c>
      <c r="L488" s="29">
        <v>0</v>
      </c>
      <c r="M488" s="29">
        <v>0.192</v>
      </c>
      <c r="N488" s="29">
        <f>127.20766/1000</f>
        <v>0.12720766</v>
      </c>
      <c r="O488" s="29">
        <v>0</v>
      </c>
      <c r="P488" s="29">
        <v>0</v>
      </c>
      <c r="Q488" s="29">
        <f t="shared" si="175"/>
        <v>6.4792340000000004E-2</v>
      </c>
      <c r="R488" s="29">
        <f t="shared" si="177"/>
        <v>-6.4792340000000004E-2</v>
      </c>
      <c r="S488" s="31">
        <f t="shared" si="178"/>
        <v>-0.33746010416666666</v>
      </c>
      <c r="T488" s="45" t="s">
        <v>774</v>
      </c>
    </row>
    <row r="489" spans="1:20" s="1" customFormat="1" ht="31.5" x14ac:dyDescent="0.25">
      <c r="A489" s="26" t="s">
        <v>846</v>
      </c>
      <c r="B489" s="36" t="s">
        <v>989</v>
      </c>
      <c r="C489" s="29" t="s">
        <v>990</v>
      </c>
      <c r="D489" s="29">
        <v>8.4000000000000005E-2</v>
      </c>
      <c r="E489" s="29">
        <v>0</v>
      </c>
      <c r="F489" s="29">
        <f t="shared" si="174"/>
        <v>8.4000000000000005E-2</v>
      </c>
      <c r="G489" s="30">
        <v>8.4000000000000005E-2</v>
      </c>
      <c r="H489" s="29">
        <f t="shared" si="176"/>
        <v>0</v>
      </c>
      <c r="I489" s="29">
        <v>0</v>
      </c>
      <c r="J489" s="29">
        <v>0</v>
      </c>
      <c r="K489" s="29">
        <v>0</v>
      </c>
      <c r="L489" s="29">
        <v>0</v>
      </c>
      <c r="M489" s="29">
        <v>8.4000000000000005E-2</v>
      </c>
      <c r="N489" s="29">
        <v>0</v>
      </c>
      <c r="O489" s="29">
        <v>0</v>
      </c>
      <c r="P489" s="29">
        <v>0</v>
      </c>
      <c r="Q489" s="29">
        <f t="shared" si="175"/>
        <v>8.4000000000000005E-2</v>
      </c>
      <c r="R489" s="29">
        <f t="shared" si="177"/>
        <v>-8.4000000000000005E-2</v>
      </c>
      <c r="S489" s="31">
        <f t="shared" si="178"/>
        <v>-1</v>
      </c>
      <c r="T489" s="45" t="s">
        <v>991</v>
      </c>
    </row>
    <row r="490" spans="1:20" s="1" customFormat="1" ht="31.5" x14ac:dyDescent="0.25">
      <c r="A490" s="26" t="s">
        <v>846</v>
      </c>
      <c r="B490" s="36" t="s">
        <v>992</v>
      </c>
      <c r="C490" s="29" t="s">
        <v>993</v>
      </c>
      <c r="D490" s="29">
        <v>6.6000000000000003E-2</v>
      </c>
      <c r="E490" s="29">
        <v>0</v>
      </c>
      <c r="F490" s="29">
        <f t="shared" si="174"/>
        <v>6.6000000000000003E-2</v>
      </c>
      <c r="G490" s="30">
        <v>6.6000000000000003E-2</v>
      </c>
      <c r="H490" s="29">
        <f t="shared" si="176"/>
        <v>6.5985290000000002E-2</v>
      </c>
      <c r="I490" s="29">
        <v>0</v>
      </c>
      <c r="J490" s="29">
        <v>0</v>
      </c>
      <c r="K490" s="29">
        <v>0</v>
      </c>
      <c r="L490" s="29">
        <v>0</v>
      </c>
      <c r="M490" s="29">
        <v>6.6000000000000003E-2</v>
      </c>
      <c r="N490" s="29">
        <f>65.98529/1000</f>
        <v>6.5985290000000002E-2</v>
      </c>
      <c r="O490" s="29">
        <v>0</v>
      </c>
      <c r="P490" s="29">
        <v>0</v>
      </c>
      <c r="Q490" s="29">
        <f t="shared" si="175"/>
        <v>1.4710000000001111E-5</v>
      </c>
      <c r="R490" s="29">
        <f t="shared" si="177"/>
        <v>-1.4710000000001111E-5</v>
      </c>
      <c r="S490" s="31">
        <f t="shared" si="178"/>
        <v>-2.2287878787880471E-4</v>
      </c>
      <c r="T490" s="45" t="s">
        <v>32</v>
      </c>
    </row>
    <row r="491" spans="1:20" s="1" customFormat="1" ht="78.75" x14ac:dyDescent="0.25">
      <c r="A491" s="26" t="s">
        <v>846</v>
      </c>
      <c r="B491" s="36" t="s">
        <v>994</v>
      </c>
      <c r="C491" s="29" t="s">
        <v>995</v>
      </c>
      <c r="D491" s="29">
        <v>156</v>
      </c>
      <c r="E491" s="29">
        <v>0</v>
      </c>
      <c r="F491" s="29">
        <f t="shared" si="174"/>
        <v>156</v>
      </c>
      <c r="G491" s="30">
        <v>84</v>
      </c>
      <c r="H491" s="29">
        <f t="shared" si="176"/>
        <v>84.449999999999989</v>
      </c>
      <c r="I491" s="29">
        <v>0</v>
      </c>
      <c r="J491" s="29">
        <v>0</v>
      </c>
      <c r="K491" s="29">
        <v>0</v>
      </c>
      <c r="L491" s="29">
        <v>0.45</v>
      </c>
      <c r="M491" s="29">
        <v>0</v>
      </c>
      <c r="N491" s="29">
        <v>3.54</v>
      </c>
      <c r="O491" s="29">
        <v>84</v>
      </c>
      <c r="P491" s="29">
        <v>80.459999999999994</v>
      </c>
      <c r="Q491" s="29">
        <f t="shared" si="175"/>
        <v>71.550000000000011</v>
      </c>
      <c r="R491" s="29">
        <f t="shared" si="177"/>
        <v>0.44999999999998863</v>
      </c>
      <c r="S491" s="31">
        <f t="shared" si="178"/>
        <v>5.3571428571427219E-3</v>
      </c>
      <c r="T491" s="45" t="s">
        <v>32</v>
      </c>
    </row>
    <row r="492" spans="1:20" s="1" customFormat="1" x14ac:dyDescent="0.25">
      <c r="A492" s="18" t="s">
        <v>996</v>
      </c>
      <c r="B492" s="22" t="s">
        <v>997</v>
      </c>
      <c r="C492" s="20" t="s">
        <v>31</v>
      </c>
      <c r="D492" s="7">
        <f t="shared" ref="D492:R492" si="179">SUM(D493,D510,D527,D548,D555,D561,D562)</f>
        <v>4774.8981623022</v>
      </c>
      <c r="E492" s="7">
        <f t="shared" si="179"/>
        <v>979.31031322000024</v>
      </c>
      <c r="F492" s="7">
        <f t="shared" si="179"/>
        <v>3795.5878490822001</v>
      </c>
      <c r="G492" s="7">
        <f t="shared" si="179"/>
        <v>653.36211745200001</v>
      </c>
      <c r="H492" s="7">
        <f t="shared" si="179"/>
        <v>470.73754678</v>
      </c>
      <c r="I492" s="7">
        <f t="shared" si="179"/>
        <v>95.664569496400048</v>
      </c>
      <c r="J492" s="7">
        <f t="shared" si="179"/>
        <v>72.768211170000015</v>
      </c>
      <c r="K492" s="7">
        <f t="shared" si="179"/>
        <v>153.70959290519997</v>
      </c>
      <c r="L492" s="7">
        <f t="shared" si="179"/>
        <v>139.71977024</v>
      </c>
      <c r="M492" s="7">
        <f t="shared" si="179"/>
        <v>137.86315272040002</v>
      </c>
      <c r="N492" s="7">
        <f t="shared" si="179"/>
        <v>126.81349704000002</v>
      </c>
      <c r="O492" s="7">
        <f t="shared" si="179"/>
        <v>266.12480232999997</v>
      </c>
      <c r="P492" s="7">
        <f t="shared" si="179"/>
        <v>131.43606833000001</v>
      </c>
      <c r="Q492" s="7">
        <f t="shared" si="179"/>
        <v>3325.1003147822003</v>
      </c>
      <c r="R492" s="7">
        <f t="shared" si="179"/>
        <v>-182.87458315199999</v>
      </c>
      <c r="S492" s="21">
        <f t="shared" si="178"/>
        <v>-0.27989774470729867</v>
      </c>
      <c r="T492" s="7" t="s">
        <v>32</v>
      </c>
    </row>
    <row r="493" spans="1:20" s="1" customFormat="1" ht="31.5" x14ac:dyDescent="0.25">
      <c r="A493" s="18" t="s">
        <v>998</v>
      </c>
      <c r="B493" s="22" t="s">
        <v>50</v>
      </c>
      <c r="C493" s="20" t="s">
        <v>31</v>
      </c>
      <c r="D493" s="7">
        <f t="shared" ref="D493:R493" si="180">D494+D497+D500+D509</f>
        <v>315.66209150000003</v>
      </c>
      <c r="E493" s="7">
        <f t="shared" si="180"/>
        <v>198.44715789000003</v>
      </c>
      <c r="F493" s="7">
        <f t="shared" si="180"/>
        <v>117.21493361000002</v>
      </c>
      <c r="G493" s="7">
        <f t="shared" si="180"/>
        <v>117.21493361</v>
      </c>
      <c r="H493" s="7">
        <f t="shared" si="180"/>
        <v>100.58080858999999</v>
      </c>
      <c r="I493" s="7">
        <f t="shared" si="180"/>
        <v>69.75081969600005</v>
      </c>
      <c r="J493" s="7">
        <f t="shared" si="180"/>
        <v>21.870735530000001</v>
      </c>
      <c r="K493" s="7">
        <f t="shared" si="180"/>
        <v>0</v>
      </c>
      <c r="L493" s="7">
        <f t="shared" si="180"/>
        <v>48.950124539999997</v>
      </c>
      <c r="M493" s="7">
        <f t="shared" si="180"/>
        <v>0</v>
      </c>
      <c r="N493" s="7">
        <f t="shared" si="180"/>
        <v>19.505612679999999</v>
      </c>
      <c r="O493" s="7">
        <f t="shared" si="180"/>
        <v>47.464113913999952</v>
      </c>
      <c r="P493" s="7">
        <f t="shared" si="180"/>
        <v>10.25433584</v>
      </c>
      <c r="Q493" s="7">
        <f t="shared" si="180"/>
        <v>16.63412502000002</v>
      </c>
      <c r="R493" s="7">
        <f t="shared" si="180"/>
        <v>-16.634125020000006</v>
      </c>
      <c r="S493" s="21">
        <f t="shared" si="178"/>
        <v>-0.14191131204617166</v>
      </c>
      <c r="T493" s="7" t="s">
        <v>32</v>
      </c>
    </row>
    <row r="494" spans="1:20" s="1" customFormat="1" ht="40.5" customHeight="1" x14ac:dyDescent="0.25">
      <c r="A494" s="18" t="s">
        <v>999</v>
      </c>
      <c r="B494" s="19" t="s">
        <v>52</v>
      </c>
      <c r="C494" s="49" t="s">
        <v>31</v>
      </c>
      <c r="D494" s="7">
        <f t="shared" ref="D494:R494" si="181">D495+D496</f>
        <v>0</v>
      </c>
      <c r="E494" s="7">
        <f t="shared" si="181"/>
        <v>0</v>
      </c>
      <c r="F494" s="7">
        <f t="shared" si="181"/>
        <v>0</v>
      </c>
      <c r="G494" s="7">
        <f t="shared" si="181"/>
        <v>0</v>
      </c>
      <c r="H494" s="7">
        <f t="shared" si="181"/>
        <v>0</v>
      </c>
      <c r="I494" s="7">
        <f t="shared" si="181"/>
        <v>0</v>
      </c>
      <c r="J494" s="7">
        <f t="shared" si="181"/>
        <v>0</v>
      </c>
      <c r="K494" s="7">
        <f t="shared" si="181"/>
        <v>0</v>
      </c>
      <c r="L494" s="7">
        <f t="shared" si="181"/>
        <v>0</v>
      </c>
      <c r="M494" s="7">
        <f t="shared" si="181"/>
        <v>0</v>
      </c>
      <c r="N494" s="7">
        <f t="shared" si="181"/>
        <v>0</v>
      </c>
      <c r="O494" s="7">
        <f t="shared" si="181"/>
        <v>0</v>
      </c>
      <c r="P494" s="7">
        <f t="shared" si="181"/>
        <v>0</v>
      </c>
      <c r="Q494" s="7">
        <f t="shared" si="181"/>
        <v>0</v>
      </c>
      <c r="R494" s="7">
        <f t="shared" si="181"/>
        <v>0</v>
      </c>
      <c r="S494" s="21">
        <v>0</v>
      </c>
      <c r="T494" s="7" t="s">
        <v>32</v>
      </c>
    </row>
    <row r="495" spans="1:20" s="1" customFormat="1" x14ac:dyDescent="0.25">
      <c r="A495" s="22" t="s">
        <v>1000</v>
      </c>
      <c r="B495" s="22" t="s">
        <v>1001</v>
      </c>
      <c r="C495" s="49" t="s">
        <v>31</v>
      </c>
      <c r="D495" s="7">
        <v>0</v>
      </c>
      <c r="E495" s="7">
        <v>0</v>
      </c>
      <c r="F495" s="7">
        <v>0</v>
      </c>
      <c r="G495" s="7">
        <v>0</v>
      </c>
      <c r="H495" s="7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21">
        <v>0</v>
      </c>
      <c r="T495" s="7" t="s">
        <v>32</v>
      </c>
    </row>
    <row r="496" spans="1:20" s="1" customFormat="1" x14ac:dyDescent="0.25">
      <c r="A496" s="20" t="s">
        <v>1002</v>
      </c>
      <c r="B496" s="22" t="s">
        <v>1003</v>
      </c>
      <c r="C496" s="49" t="s">
        <v>31</v>
      </c>
      <c r="D496" s="7">
        <v>0</v>
      </c>
      <c r="E496" s="7">
        <v>0</v>
      </c>
      <c r="F496" s="7">
        <v>0</v>
      </c>
      <c r="G496" s="7">
        <v>0</v>
      </c>
      <c r="H496" s="7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21">
        <v>0</v>
      </c>
      <c r="T496" s="7" t="s">
        <v>32</v>
      </c>
    </row>
    <row r="497" spans="1:20" s="1" customFormat="1" ht="47.25" x14ac:dyDescent="0.25">
      <c r="A497" s="20" t="s">
        <v>1004</v>
      </c>
      <c r="B497" s="22" t="s">
        <v>58</v>
      </c>
      <c r="C497" s="49" t="s">
        <v>31</v>
      </c>
      <c r="D497" s="7">
        <v>0</v>
      </c>
      <c r="E497" s="7">
        <f t="shared" ref="E497:R497" si="182">E498</f>
        <v>0</v>
      </c>
      <c r="F497" s="7">
        <f t="shared" si="182"/>
        <v>0</v>
      </c>
      <c r="G497" s="7">
        <f t="shared" si="182"/>
        <v>0</v>
      </c>
      <c r="H497" s="7">
        <f t="shared" si="182"/>
        <v>0</v>
      </c>
      <c r="I497" s="7">
        <f t="shared" si="182"/>
        <v>0</v>
      </c>
      <c r="J497" s="7">
        <f t="shared" si="182"/>
        <v>0</v>
      </c>
      <c r="K497" s="7">
        <f t="shared" si="182"/>
        <v>0</v>
      </c>
      <c r="L497" s="7">
        <f t="shared" si="182"/>
        <v>0</v>
      </c>
      <c r="M497" s="7">
        <f t="shared" si="182"/>
        <v>0</v>
      </c>
      <c r="N497" s="7">
        <f t="shared" si="182"/>
        <v>0</v>
      </c>
      <c r="O497" s="7">
        <f t="shared" si="182"/>
        <v>0</v>
      </c>
      <c r="P497" s="7">
        <f t="shared" si="182"/>
        <v>0</v>
      </c>
      <c r="Q497" s="7">
        <f t="shared" si="182"/>
        <v>0</v>
      </c>
      <c r="R497" s="7">
        <f t="shared" si="182"/>
        <v>0</v>
      </c>
      <c r="S497" s="21">
        <v>0</v>
      </c>
      <c r="T497" s="7" t="s">
        <v>32</v>
      </c>
    </row>
    <row r="498" spans="1:20" s="1" customFormat="1" ht="31.5" x14ac:dyDescent="0.25">
      <c r="A498" s="18" t="s">
        <v>1005</v>
      </c>
      <c r="B498" s="22" t="s">
        <v>1006</v>
      </c>
      <c r="C498" s="49" t="s">
        <v>31</v>
      </c>
      <c r="D498" s="7">
        <v>0</v>
      </c>
      <c r="E498" s="7">
        <v>0</v>
      </c>
      <c r="F498" s="7">
        <v>0</v>
      </c>
      <c r="G498" s="7">
        <v>0</v>
      </c>
      <c r="H498" s="7">
        <v>0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21">
        <v>0</v>
      </c>
      <c r="T498" s="7" t="s">
        <v>32</v>
      </c>
    </row>
    <row r="499" spans="1:20" s="1" customFormat="1" ht="31.5" x14ac:dyDescent="0.25">
      <c r="A499" s="18" t="s">
        <v>1007</v>
      </c>
      <c r="B499" s="22" t="s">
        <v>1006</v>
      </c>
      <c r="C499" s="49" t="s">
        <v>31</v>
      </c>
      <c r="D499" s="7">
        <v>0</v>
      </c>
      <c r="E499" s="7">
        <v>0</v>
      </c>
      <c r="F499" s="7">
        <v>0</v>
      </c>
      <c r="G499" s="7">
        <v>0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21">
        <v>0</v>
      </c>
      <c r="T499" s="7" t="s">
        <v>32</v>
      </c>
    </row>
    <row r="500" spans="1:20" s="1" customFormat="1" ht="47.25" x14ac:dyDescent="0.25">
      <c r="A500" s="18" t="s">
        <v>1008</v>
      </c>
      <c r="B500" s="22" t="s">
        <v>62</v>
      </c>
      <c r="C500" s="49" t="s">
        <v>31</v>
      </c>
      <c r="D500" s="7">
        <f t="shared" ref="D500:R500" si="183">SUM(D501:D505)</f>
        <v>315.66209150000003</v>
      </c>
      <c r="E500" s="7">
        <f t="shared" si="183"/>
        <v>198.44715789000003</v>
      </c>
      <c r="F500" s="7">
        <f t="shared" si="183"/>
        <v>117.21493361000002</v>
      </c>
      <c r="G500" s="7">
        <f t="shared" si="183"/>
        <v>117.21493361</v>
      </c>
      <c r="H500" s="7">
        <f t="shared" si="183"/>
        <v>100.58080858999999</v>
      </c>
      <c r="I500" s="7">
        <f t="shared" si="183"/>
        <v>69.75081969600005</v>
      </c>
      <c r="J500" s="7">
        <f t="shared" si="183"/>
        <v>21.870735530000001</v>
      </c>
      <c r="K500" s="7">
        <f t="shared" si="183"/>
        <v>0</v>
      </c>
      <c r="L500" s="7">
        <f t="shared" si="183"/>
        <v>48.950124539999997</v>
      </c>
      <c r="M500" s="7">
        <f t="shared" si="183"/>
        <v>0</v>
      </c>
      <c r="N500" s="7">
        <f t="shared" si="183"/>
        <v>19.505612679999999</v>
      </c>
      <c r="O500" s="7">
        <f t="shared" si="183"/>
        <v>47.464113913999952</v>
      </c>
      <c r="P500" s="7">
        <f t="shared" si="183"/>
        <v>10.25433584</v>
      </c>
      <c r="Q500" s="7">
        <f t="shared" si="183"/>
        <v>16.63412502000002</v>
      </c>
      <c r="R500" s="7">
        <f t="shared" si="183"/>
        <v>-16.634125020000006</v>
      </c>
      <c r="S500" s="21">
        <f>R500/(I500+K500+M500+O500)</f>
        <v>-0.14191131204617166</v>
      </c>
      <c r="T500" s="7" t="s">
        <v>32</v>
      </c>
    </row>
    <row r="501" spans="1:20" s="1" customFormat="1" ht="63" x14ac:dyDescent="0.25">
      <c r="A501" s="18" t="s">
        <v>1009</v>
      </c>
      <c r="B501" s="22" t="s">
        <v>64</v>
      </c>
      <c r="C501" s="49" t="s">
        <v>31</v>
      </c>
      <c r="D501" s="7">
        <v>0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21">
        <v>0</v>
      </c>
      <c r="T501" s="7" t="s">
        <v>32</v>
      </c>
    </row>
    <row r="502" spans="1:20" s="1" customFormat="1" ht="63" x14ac:dyDescent="0.25">
      <c r="A502" s="18" t="s">
        <v>1010</v>
      </c>
      <c r="B502" s="22" t="s">
        <v>66</v>
      </c>
      <c r="C502" s="49" t="s">
        <v>31</v>
      </c>
      <c r="D502" s="7">
        <v>0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21">
        <v>0</v>
      </c>
      <c r="T502" s="7" t="s">
        <v>32</v>
      </c>
    </row>
    <row r="503" spans="1:20" s="1" customFormat="1" ht="63" x14ac:dyDescent="0.25">
      <c r="A503" s="18" t="s">
        <v>1011</v>
      </c>
      <c r="B503" s="22" t="s">
        <v>68</v>
      </c>
      <c r="C503" s="49" t="s">
        <v>31</v>
      </c>
      <c r="D503" s="7">
        <v>0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21">
        <v>0</v>
      </c>
      <c r="T503" s="7" t="s">
        <v>32</v>
      </c>
    </row>
    <row r="504" spans="1:20" s="1" customFormat="1" ht="78.75" x14ac:dyDescent="0.25">
      <c r="A504" s="18" t="s">
        <v>1012</v>
      </c>
      <c r="B504" s="22" t="s">
        <v>75</v>
      </c>
      <c r="C504" s="49" t="s">
        <v>31</v>
      </c>
      <c r="D504" s="7">
        <v>0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21">
        <v>0</v>
      </c>
      <c r="T504" s="7" t="s">
        <v>32</v>
      </c>
    </row>
    <row r="505" spans="1:20" s="1" customFormat="1" ht="78.75" x14ac:dyDescent="0.25">
      <c r="A505" s="18" t="s">
        <v>1013</v>
      </c>
      <c r="B505" s="22" t="s">
        <v>80</v>
      </c>
      <c r="C505" s="49" t="s">
        <v>31</v>
      </c>
      <c r="D505" s="7">
        <f t="shared" ref="D505:R505" si="184">SUM(D506:D508)</f>
        <v>315.66209150000003</v>
      </c>
      <c r="E505" s="7">
        <f t="shared" si="184"/>
        <v>198.44715789000003</v>
      </c>
      <c r="F505" s="7">
        <f t="shared" si="184"/>
        <v>117.21493361000002</v>
      </c>
      <c r="G505" s="7">
        <f t="shared" si="184"/>
        <v>117.21493361</v>
      </c>
      <c r="H505" s="7">
        <f t="shared" si="184"/>
        <v>100.58080858999999</v>
      </c>
      <c r="I505" s="7">
        <f t="shared" si="184"/>
        <v>69.75081969600005</v>
      </c>
      <c r="J505" s="7">
        <f t="shared" si="184"/>
        <v>21.870735530000001</v>
      </c>
      <c r="K505" s="7">
        <f t="shared" si="184"/>
        <v>0</v>
      </c>
      <c r="L505" s="7">
        <f t="shared" si="184"/>
        <v>48.950124539999997</v>
      </c>
      <c r="M505" s="7">
        <f t="shared" si="184"/>
        <v>0</v>
      </c>
      <c r="N505" s="7">
        <f t="shared" si="184"/>
        <v>19.505612679999999</v>
      </c>
      <c r="O505" s="7">
        <f t="shared" si="184"/>
        <v>47.464113913999952</v>
      </c>
      <c r="P505" s="7">
        <f t="shared" si="184"/>
        <v>10.25433584</v>
      </c>
      <c r="Q505" s="7">
        <f t="shared" si="184"/>
        <v>16.63412502000002</v>
      </c>
      <c r="R505" s="7">
        <f t="shared" si="184"/>
        <v>-16.634125020000006</v>
      </c>
      <c r="S505" s="21">
        <f>R505/(I505+K505+M505+O505)</f>
        <v>-0.14191131204617166</v>
      </c>
      <c r="T505" s="7" t="s">
        <v>32</v>
      </c>
    </row>
    <row r="506" spans="1:20" s="1" customFormat="1" ht="63" x14ac:dyDescent="0.25">
      <c r="A506" s="26" t="s">
        <v>1013</v>
      </c>
      <c r="B506" s="36" t="s">
        <v>1014</v>
      </c>
      <c r="C506" s="29" t="s">
        <v>1015</v>
      </c>
      <c r="D506" s="29">
        <v>67.995034664000002</v>
      </c>
      <c r="E506" s="29">
        <v>35.474284930000003</v>
      </c>
      <c r="F506" s="29">
        <f>D506-E506</f>
        <v>32.520749733999999</v>
      </c>
      <c r="G506" s="30">
        <v>32.520749733999999</v>
      </c>
      <c r="H506" s="29">
        <f>J506+L506+N506+P506</f>
        <v>28.771328579999999</v>
      </c>
      <c r="I506" s="29">
        <v>25.605874384000025</v>
      </c>
      <c r="J506" s="29">
        <v>6.5650235099999996</v>
      </c>
      <c r="K506" s="29">
        <v>0</v>
      </c>
      <c r="L506" s="29">
        <v>5.7655218899999996</v>
      </c>
      <c r="M506" s="29">
        <v>0</v>
      </c>
      <c r="N506" s="29">
        <f>10476.42563/1000</f>
        <v>10.47642563</v>
      </c>
      <c r="O506" s="29">
        <f>G506-I506-K506-M506</f>
        <v>6.9148753499999742</v>
      </c>
      <c r="P506" s="29">
        <v>5.9643575499999999</v>
      </c>
      <c r="Q506" s="29">
        <f>F506-H506</f>
        <v>3.7494211540000002</v>
      </c>
      <c r="R506" s="29">
        <f t="shared" ref="R506:R508" si="185">H506-(I506+K506+M506+O506)</f>
        <v>-3.7494211540000002</v>
      </c>
      <c r="S506" s="31">
        <f t="shared" ref="S506:S508" si="186">R506/(I506+K506+M506+O506)</f>
        <v>-0.11529319541117565</v>
      </c>
      <c r="T506" s="45" t="s">
        <v>1016</v>
      </c>
    </row>
    <row r="507" spans="1:20" s="1" customFormat="1" ht="63" x14ac:dyDescent="0.25">
      <c r="A507" s="26" t="s">
        <v>1013</v>
      </c>
      <c r="B507" s="36" t="s">
        <v>1017</v>
      </c>
      <c r="C507" s="29" t="s">
        <v>1018</v>
      </c>
      <c r="D507" s="29">
        <v>122.97233992400001</v>
      </c>
      <c r="E507" s="29">
        <v>62.413783790000004</v>
      </c>
      <c r="F507" s="29">
        <f>D507-E507</f>
        <v>60.558556134000007</v>
      </c>
      <c r="G507" s="30">
        <v>60.558556134</v>
      </c>
      <c r="H507" s="29">
        <f>J507+L507+N507+P507</f>
        <v>54.162689579999999</v>
      </c>
      <c r="I507" s="29">
        <v>23.98009802800005</v>
      </c>
      <c r="J507" s="29">
        <v>15.275046740000001</v>
      </c>
      <c r="K507" s="29">
        <v>0</v>
      </c>
      <c r="L507" s="29">
        <v>27.941196399999999</v>
      </c>
      <c r="M507" s="29">
        <v>0</v>
      </c>
      <c r="N507" s="29">
        <f>9029.1856/1000</f>
        <v>9.0291855999999999</v>
      </c>
      <c r="O507" s="29">
        <f>G507-I507-K507-M507</f>
        <v>36.57845810599995</v>
      </c>
      <c r="P507" s="29">
        <v>1.91726084</v>
      </c>
      <c r="Q507" s="29">
        <f>F507-H507</f>
        <v>6.3958665540000084</v>
      </c>
      <c r="R507" s="29">
        <f t="shared" si="185"/>
        <v>-6.3958665540000013</v>
      </c>
      <c r="S507" s="31">
        <f t="shared" si="186"/>
        <v>-0.1056145813623371</v>
      </c>
      <c r="T507" s="45" t="s">
        <v>1016</v>
      </c>
    </row>
    <row r="508" spans="1:20" s="1" customFormat="1" ht="78.75" x14ac:dyDescent="0.25">
      <c r="A508" s="26" t="s">
        <v>1013</v>
      </c>
      <c r="B508" s="36" t="s">
        <v>1019</v>
      </c>
      <c r="C508" s="45" t="s">
        <v>1020</v>
      </c>
      <c r="D508" s="28">
        <v>124.69471691200002</v>
      </c>
      <c r="E508" s="29">
        <v>100.55908917000001</v>
      </c>
      <c r="F508" s="29">
        <f>D508-E508</f>
        <v>24.135627742000011</v>
      </c>
      <c r="G508" s="30">
        <v>24.135627742000004</v>
      </c>
      <c r="H508" s="29">
        <f>J508+L508+N508+P508</f>
        <v>17.646790429999999</v>
      </c>
      <c r="I508" s="29">
        <v>20.164847283999976</v>
      </c>
      <c r="J508" s="29">
        <v>3.066528E-2</v>
      </c>
      <c r="K508" s="29">
        <v>0</v>
      </c>
      <c r="L508" s="29">
        <v>15.24340625</v>
      </c>
      <c r="M508" s="29">
        <v>0</v>
      </c>
      <c r="N508" s="29">
        <f>0.00145/1000</f>
        <v>1.4499999999999999E-6</v>
      </c>
      <c r="O508" s="29">
        <f>G508-I508-K508-M508</f>
        <v>3.9707804580000285</v>
      </c>
      <c r="P508" s="29">
        <v>2.3727174500000001</v>
      </c>
      <c r="Q508" s="29">
        <f>F508-H508</f>
        <v>6.4888373120000118</v>
      </c>
      <c r="R508" s="29">
        <f t="shared" si="185"/>
        <v>-6.4888373120000047</v>
      </c>
      <c r="S508" s="31">
        <f t="shared" si="186"/>
        <v>-0.2688489142011562</v>
      </c>
      <c r="T508" s="45" t="s">
        <v>1016</v>
      </c>
    </row>
    <row r="509" spans="1:20" s="1" customFormat="1" ht="31.5" x14ac:dyDescent="0.25">
      <c r="A509" s="18" t="s">
        <v>1021</v>
      </c>
      <c r="B509" s="22" t="s">
        <v>102</v>
      </c>
      <c r="C509" s="49" t="s">
        <v>31</v>
      </c>
      <c r="D509" s="7">
        <v>0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21">
        <v>0</v>
      </c>
      <c r="T509" s="7" t="s">
        <v>32</v>
      </c>
    </row>
    <row r="510" spans="1:20" s="1" customFormat="1" ht="47.25" x14ac:dyDescent="0.25">
      <c r="A510" s="18" t="s">
        <v>1022</v>
      </c>
      <c r="B510" s="22" t="s">
        <v>104</v>
      </c>
      <c r="C510" s="49" t="s">
        <v>31</v>
      </c>
      <c r="D510" s="7">
        <f t="shared" ref="D510:R510" si="187">D511+D519+D521+D523</f>
        <v>1125.5403385440004</v>
      </c>
      <c r="E510" s="7">
        <f t="shared" si="187"/>
        <v>598.98269857000003</v>
      </c>
      <c r="F510" s="7">
        <f t="shared" si="187"/>
        <v>526.55763997399993</v>
      </c>
      <c r="G510" s="7">
        <f t="shared" si="187"/>
        <v>275.74711319400001</v>
      </c>
      <c r="H510" s="7">
        <f t="shared" si="187"/>
        <v>198.58909801999999</v>
      </c>
      <c r="I510" s="7">
        <f t="shared" si="187"/>
        <v>24.626695820400002</v>
      </c>
      <c r="J510" s="7">
        <f t="shared" si="187"/>
        <v>38.261505459999995</v>
      </c>
      <c r="K510" s="7">
        <f t="shared" si="187"/>
        <v>112.75089313519999</v>
      </c>
      <c r="L510" s="7">
        <f t="shared" si="187"/>
        <v>35.080457799999998</v>
      </c>
      <c r="M510" s="7">
        <f t="shared" si="187"/>
        <v>70.591456310400019</v>
      </c>
      <c r="N510" s="7">
        <f t="shared" si="187"/>
        <v>78.34833783000002</v>
      </c>
      <c r="O510" s="7">
        <f t="shared" si="187"/>
        <v>67.778067927999984</v>
      </c>
      <c r="P510" s="7">
        <f t="shared" si="187"/>
        <v>46.898796930000003</v>
      </c>
      <c r="Q510" s="7">
        <f t="shared" si="187"/>
        <v>327.96854195399999</v>
      </c>
      <c r="R510" s="7">
        <f t="shared" si="187"/>
        <v>-77.158015173999985</v>
      </c>
      <c r="S510" s="21">
        <f t="shared" ref="S510:S530" si="188">R510/(I510+K510+M510+O510)</f>
        <v>-0.27981440777483674</v>
      </c>
      <c r="T510" s="7" t="s">
        <v>32</v>
      </c>
    </row>
    <row r="511" spans="1:20" s="1" customFormat="1" ht="38.25" customHeight="1" x14ac:dyDescent="0.25">
      <c r="A511" s="18" t="s">
        <v>1023</v>
      </c>
      <c r="B511" s="22" t="s">
        <v>106</v>
      </c>
      <c r="C511" s="49" t="s">
        <v>31</v>
      </c>
      <c r="D511" s="7">
        <f t="shared" ref="D511:R511" si="189">SUM(D512:D518)</f>
        <v>736.00266353400025</v>
      </c>
      <c r="E511" s="7">
        <f t="shared" si="189"/>
        <v>555.77100634999999</v>
      </c>
      <c r="F511" s="7">
        <f t="shared" si="189"/>
        <v>180.231657184</v>
      </c>
      <c r="G511" s="7">
        <f t="shared" si="189"/>
        <v>155.69516558399999</v>
      </c>
      <c r="H511" s="7">
        <f t="shared" si="189"/>
        <v>147.89300229</v>
      </c>
      <c r="I511" s="7">
        <f t="shared" si="189"/>
        <v>9.1121719603999995</v>
      </c>
      <c r="J511" s="7">
        <f t="shared" si="189"/>
        <v>23.419871049999998</v>
      </c>
      <c r="K511" s="7">
        <f t="shared" si="189"/>
        <v>87.25185060119999</v>
      </c>
      <c r="L511" s="7">
        <f t="shared" si="189"/>
        <v>30.098766079999997</v>
      </c>
      <c r="M511" s="7">
        <f t="shared" si="189"/>
        <v>39.855395058400013</v>
      </c>
      <c r="N511" s="7">
        <f t="shared" si="189"/>
        <v>76.228353090000013</v>
      </c>
      <c r="O511" s="7">
        <f t="shared" si="189"/>
        <v>19.475747964</v>
      </c>
      <c r="P511" s="7">
        <f t="shared" si="189"/>
        <v>18.146012070000001</v>
      </c>
      <c r="Q511" s="7">
        <f t="shared" si="189"/>
        <v>32.338654894000015</v>
      </c>
      <c r="R511" s="7">
        <f t="shared" si="189"/>
        <v>-7.802163293999989</v>
      </c>
      <c r="S511" s="21">
        <f t="shared" si="188"/>
        <v>-5.0111789050961884E-2</v>
      </c>
      <c r="T511" s="7" t="s">
        <v>32</v>
      </c>
    </row>
    <row r="512" spans="1:20" s="1" customFormat="1" ht="45.75" customHeight="1" x14ac:dyDescent="0.25">
      <c r="A512" s="26" t="s">
        <v>1023</v>
      </c>
      <c r="B512" s="36" t="s">
        <v>1024</v>
      </c>
      <c r="C512" s="45" t="s">
        <v>1025</v>
      </c>
      <c r="D512" s="29">
        <v>278.01093403000004</v>
      </c>
      <c r="E512" s="29">
        <f>D512-F512</f>
        <v>270.21443383000002</v>
      </c>
      <c r="F512" s="29">
        <v>7.7965002000000005</v>
      </c>
      <c r="G512" s="29">
        <v>7.7965002000000005</v>
      </c>
      <c r="H512" s="29">
        <f t="shared" ref="H512:H518" si="190">J512+L512+N512+P512</f>
        <v>7.7965001999999997</v>
      </c>
      <c r="I512" s="29">
        <v>0</v>
      </c>
      <c r="J512" s="29">
        <v>7.7965001999999997</v>
      </c>
      <c r="K512" s="29">
        <v>0</v>
      </c>
      <c r="L512" s="29">
        <v>0</v>
      </c>
      <c r="M512" s="29">
        <v>0</v>
      </c>
      <c r="N512" s="29">
        <v>0</v>
      </c>
      <c r="O512" s="29">
        <v>7.7965002000000005</v>
      </c>
      <c r="P512" s="29">
        <v>0</v>
      </c>
      <c r="Q512" s="29">
        <f t="shared" ref="Q512:Q518" si="191">F512-H512</f>
        <v>0</v>
      </c>
      <c r="R512" s="29">
        <f t="shared" ref="R512:R518" si="192">H512-(I512+K512+M512+O512)</f>
        <v>0</v>
      </c>
      <c r="S512" s="31">
        <f t="shared" si="188"/>
        <v>0</v>
      </c>
      <c r="T512" s="45" t="s">
        <v>32</v>
      </c>
    </row>
    <row r="513" spans="1:20" s="1" customFormat="1" x14ac:dyDescent="0.25">
      <c r="A513" s="26" t="s">
        <v>1023</v>
      </c>
      <c r="B513" s="36" t="s">
        <v>1026</v>
      </c>
      <c r="C513" s="45" t="s">
        <v>1027</v>
      </c>
      <c r="D513" s="29">
        <v>317.24377013000003</v>
      </c>
      <c r="E513" s="29">
        <v>202.27666091</v>
      </c>
      <c r="F513" s="29">
        <f>D513-E513</f>
        <v>114.96710922000003</v>
      </c>
      <c r="G513" s="30">
        <v>111.92741762</v>
      </c>
      <c r="H513" s="29">
        <f t="shared" si="190"/>
        <v>112.43019219000001</v>
      </c>
      <c r="I513" s="29">
        <v>8.4939110899999992</v>
      </c>
      <c r="J513" s="29">
        <v>10.025777010000001</v>
      </c>
      <c r="K513" s="29">
        <v>79.997067989999991</v>
      </c>
      <c r="L513" s="29">
        <v>20.183927909999998</v>
      </c>
      <c r="M513" s="29">
        <f>G513-I513-K513</f>
        <v>23.436438540000012</v>
      </c>
      <c r="N513" s="29">
        <v>74.132420020000012</v>
      </c>
      <c r="O513" s="29">
        <v>0</v>
      </c>
      <c r="P513" s="29">
        <v>8.0880672499999999</v>
      </c>
      <c r="Q513" s="29">
        <f t="shared" si="191"/>
        <v>2.5369170300000121</v>
      </c>
      <c r="R513" s="29">
        <f t="shared" si="192"/>
        <v>0.50277457000001391</v>
      </c>
      <c r="S513" s="31">
        <f t="shared" si="188"/>
        <v>4.4919697129702611E-3</v>
      </c>
      <c r="T513" s="29" t="s">
        <v>32</v>
      </c>
    </row>
    <row r="514" spans="1:20" s="1" customFormat="1" ht="23.25" customHeight="1" x14ac:dyDescent="0.25">
      <c r="A514" s="26" t="s">
        <v>1023</v>
      </c>
      <c r="B514" s="36" t="s">
        <v>1028</v>
      </c>
      <c r="C514" s="45" t="s">
        <v>1029</v>
      </c>
      <c r="D514" s="29">
        <v>50.941885843999998</v>
      </c>
      <c r="E514" s="29">
        <v>23.809390269999998</v>
      </c>
      <c r="F514" s="29">
        <f>D514-E514</f>
        <v>27.132495574</v>
      </c>
      <c r="G514" s="30">
        <v>27.132495574</v>
      </c>
      <c r="H514" s="29">
        <f t="shared" si="190"/>
        <v>20.50755771</v>
      </c>
      <c r="I514" s="29">
        <v>0.6182608704</v>
      </c>
      <c r="J514" s="29">
        <v>0.11884164999999999</v>
      </c>
      <c r="K514" s="29">
        <v>7.2547826112000005</v>
      </c>
      <c r="L514" s="29">
        <v>9.3375181699999992</v>
      </c>
      <c r="M514" s="29">
        <v>14.7389565184</v>
      </c>
      <c r="N514" s="29">
        <f>993.25307/1000</f>
        <v>0.99325306999999996</v>
      </c>
      <c r="O514" s="29">
        <f>G514-I514-K514-M514</f>
        <v>4.5204955739999999</v>
      </c>
      <c r="P514" s="29">
        <v>10.057944820000001</v>
      </c>
      <c r="Q514" s="29">
        <f t="shared" si="191"/>
        <v>6.6249378639999996</v>
      </c>
      <c r="R514" s="29">
        <f t="shared" si="192"/>
        <v>-6.6249378640000032</v>
      </c>
      <c r="S514" s="31">
        <f t="shared" si="188"/>
        <v>-0.24416986804370547</v>
      </c>
      <c r="T514" s="29" t="s">
        <v>1030</v>
      </c>
    </row>
    <row r="515" spans="1:20" s="1" customFormat="1" x14ac:dyDescent="0.25">
      <c r="A515" s="26" t="s">
        <v>1023</v>
      </c>
      <c r="B515" s="36" t="s">
        <v>1031</v>
      </c>
      <c r="C515" s="45" t="s">
        <v>1032</v>
      </c>
      <c r="D515" s="29">
        <v>24.8568</v>
      </c>
      <c r="E515" s="29">
        <v>0</v>
      </c>
      <c r="F515" s="29">
        <f>D515-E515</f>
        <v>24.8568</v>
      </c>
      <c r="G515" s="30">
        <v>3.36</v>
      </c>
      <c r="H515" s="29">
        <f t="shared" si="190"/>
        <v>1.6800000000000002</v>
      </c>
      <c r="I515" s="29">
        <v>0</v>
      </c>
      <c r="J515" s="29">
        <v>0</v>
      </c>
      <c r="K515" s="29">
        <v>0</v>
      </c>
      <c r="L515" s="29">
        <v>0.57732000000000006</v>
      </c>
      <c r="M515" s="29">
        <v>1.68</v>
      </c>
      <c r="N515" s="29">
        <f>1102.68/1000</f>
        <v>1.1026800000000001</v>
      </c>
      <c r="O515" s="29">
        <v>1.68</v>
      </c>
      <c r="P515" s="29">
        <v>0</v>
      </c>
      <c r="Q515" s="29">
        <f t="shared" si="191"/>
        <v>23.1768</v>
      </c>
      <c r="R515" s="29">
        <f t="shared" si="192"/>
        <v>-1.6799999999999997</v>
      </c>
      <c r="S515" s="31">
        <f t="shared" si="188"/>
        <v>-0.49999999999999994</v>
      </c>
      <c r="T515" s="30" t="s">
        <v>1033</v>
      </c>
    </row>
    <row r="516" spans="1:20" s="1" customFormat="1" ht="31.5" x14ac:dyDescent="0.25">
      <c r="A516" s="26" t="s">
        <v>1023</v>
      </c>
      <c r="B516" s="36" t="s">
        <v>1034</v>
      </c>
      <c r="C516" s="45" t="s">
        <v>1035</v>
      </c>
      <c r="D516" s="29">
        <v>25.574856550000007</v>
      </c>
      <c r="E516" s="29">
        <f>D516-F516</f>
        <v>24.228332470000005</v>
      </c>
      <c r="F516" s="29">
        <v>1.34652408</v>
      </c>
      <c r="G516" s="29">
        <v>1.34652408</v>
      </c>
      <c r="H516" s="29">
        <f t="shared" si="190"/>
        <v>1.34652408</v>
      </c>
      <c r="I516" s="29">
        <v>0</v>
      </c>
      <c r="J516" s="29">
        <v>1.34652408</v>
      </c>
      <c r="K516" s="29">
        <v>0</v>
      </c>
      <c r="L516" s="29">
        <v>0</v>
      </c>
      <c r="M516" s="29">
        <v>0</v>
      </c>
      <c r="N516" s="29">
        <v>0</v>
      </c>
      <c r="O516" s="29">
        <v>1.34652408</v>
      </c>
      <c r="P516" s="29">
        <v>0</v>
      </c>
      <c r="Q516" s="29">
        <f t="shared" si="191"/>
        <v>0</v>
      </c>
      <c r="R516" s="29">
        <f t="shared" si="192"/>
        <v>0</v>
      </c>
      <c r="S516" s="31">
        <f t="shared" si="188"/>
        <v>0</v>
      </c>
      <c r="T516" s="45" t="s">
        <v>32</v>
      </c>
    </row>
    <row r="517" spans="1:20" s="1" customFormat="1" x14ac:dyDescent="0.25">
      <c r="A517" s="26" t="s">
        <v>1023</v>
      </c>
      <c r="B517" s="36" t="s">
        <v>1036</v>
      </c>
      <c r="C517" s="45" t="s">
        <v>1037</v>
      </c>
      <c r="D517" s="29">
        <v>19.407116820000002</v>
      </c>
      <c r="E517" s="29">
        <f t="shared" ref="E517:E518" si="193">D517-F517</f>
        <v>19.009916820000001</v>
      </c>
      <c r="F517" s="29">
        <v>0.3972</v>
      </c>
      <c r="G517" s="29">
        <v>0.3972</v>
      </c>
      <c r="H517" s="29">
        <f t="shared" si="190"/>
        <v>0.3972</v>
      </c>
      <c r="I517" s="29">
        <v>0</v>
      </c>
      <c r="J517" s="29">
        <v>0.3972</v>
      </c>
      <c r="K517" s="29">
        <v>0</v>
      </c>
      <c r="L517" s="29">
        <v>0</v>
      </c>
      <c r="M517" s="29">
        <v>0</v>
      </c>
      <c r="N517" s="29">
        <v>0</v>
      </c>
      <c r="O517" s="29">
        <v>0.3972</v>
      </c>
      <c r="P517" s="29">
        <v>0</v>
      </c>
      <c r="Q517" s="29">
        <f t="shared" si="191"/>
        <v>0</v>
      </c>
      <c r="R517" s="29">
        <f t="shared" si="192"/>
        <v>0</v>
      </c>
      <c r="S517" s="31">
        <f t="shared" si="188"/>
        <v>0</v>
      </c>
      <c r="T517" s="45" t="s">
        <v>32</v>
      </c>
    </row>
    <row r="518" spans="1:20" s="1" customFormat="1" ht="50.25" customHeight="1" x14ac:dyDescent="0.25">
      <c r="A518" s="26" t="s">
        <v>1023</v>
      </c>
      <c r="B518" s="36" t="s">
        <v>1038</v>
      </c>
      <c r="C518" s="45" t="s">
        <v>1039</v>
      </c>
      <c r="D518" s="29">
        <v>19.967300160000001</v>
      </c>
      <c r="E518" s="29">
        <f t="shared" si="193"/>
        <v>16.232272050000002</v>
      </c>
      <c r="F518" s="29">
        <v>3.7350281099999996</v>
      </c>
      <c r="G518" s="29">
        <v>3.7350281099999996</v>
      </c>
      <c r="H518" s="29">
        <f t="shared" si="190"/>
        <v>3.73502811</v>
      </c>
      <c r="I518" s="29">
        <v>0</v>
      </c>
      <c r="J518" s="29">
        <v>3.73502811</v>
      </c>
      <c r="K518" s="29">
        <v>0</v>
      </c>
      <c r="L518" s="29">
        <v>0</v>
      </c>
      <c r="M518" s="29">
        <v>0</v>
      </c>
      <c r="N518" s="29">
        <v>0</v>
      </c>
      <c r="O518" s="29">
        <v>3.7350281099999996</v>
      </c>
      <c r="P518" s="29">
        <v>0</v>
      </c>
      <c r="Q518" s="29">
        <f t="shared" si="191"/>
        <v>0</v>
      </c>
      <c r="R518" s="29">
        <f t="shared" si="192"/>
        <v>0</v>
      </c>
      <c r="S518" s="31">
        <f t="shared" si="188"/>
        <v>0</v>
      </c>
      <c r="T518" s="45" t="s">
        <v>32</v>
      </c>
    </row>
    <row r="519" spans="1:20" s="1" customFormat="1" ht="50.25" customHeight="1" x14ac:dyDescent="0.25">
      <c r="A519" s="18" t="s">
        <v>1040</v>
      </c>
      <c r="B519" s="50" t="s">
        <v>117</v>
      </c>
      <c r="C519" s="50" t="s">
        <v>31</v>
      </c>
      <c r="D519" s="25">
        <f t="shared" ref="D519:R519" si="194">SUM(D520)</f>
        <v>22.263125250000002</v>
      </c>
      <c r="E519" s="25">
        <f t="shared" si="194"/>
        <v>0</v>
      </c>
      <c r="F519" s="25">
        <f t="shared" si="194"/>
        <v>22.263125250000002</v>
      </c>
      <c r="G519" s="25">
        <f t="shared" si="194"/>
        <v>22.263125250000002</v>
      </c>
      <c r="H519" s="25">
        <f t="shared" si="194"/>
        <v>18.624758889999999</v>
      </c>
      <c r="I519" s="25">
        <f t="shared" si="194"/>
        <v>0.24</v>
      </c>
      <c r="J519" s="25">
        <f t="shared" si="194"/>
        <v>2.8503719599999999</v>
      </c>
      <c r="K519" s="25">
        <f t="shared" si="194"/>
        <v>4.6821581439999997</v>
      </c>
      <c r="L519" s="25">
        <f t="shared" si="194"/>
        <v>4.5631014099999989</v>
      </c>
      <c r="M519" s="25">
        <f t="shared" si="194"/>
        <v>8.4812859219999996</v>
      </c>
      <c r="N519" s="25">
        <f t="shared" si="194"/>
        <v>0.17164314999999999</v>
      </c>
      <c r="O519" s="25">
        <f t="shared" si="194"/>
        <v>8.8596811840000047</v>
      </c>
      <c r="P519" s="25">
        <f t="shared" si="194"/>
        <v>11.039642369999999</v>
      </c>
      <c r="Q519" s="25">
        <f t="shared" si="194"/>
        <v>3.6383663600000027</v>
      </c>
      <c r="R519" s="25">
        <f t="shared" si="194"/>
        <v>-3.6383663600000027</v>
      </c>
      <c r="S519" s="21">
        <f>R519/(I519+K519+M519+O519)</f>
        <v>-0.16342567897110502</v>
      </c>
      <c r="T519" s="50" t="s">
        <v>32</v>
      </c>
    </row>
    <row r="520" spans="1:20" s="1" customFormat="1" ht="31.5" x14ac:dyDescent="0.25">
      <c r="A520" s="26" t="s">
        <v>1040</v>
      </c>
      <c r="B520" s="36" t="s">
        <v>1041</v>
      </c>
      <c r="C520" s="45" t="s">
        <v>1042</v>
      </c>
      <c r="D520" s="51">
        <v>22.263125250000002</v>
      </c>
      <c r="E520" s="51">
        <v>0</v>
      </c>
      <c r="F520" s="29">
        <f>D520-E520</f>
        <v>22.263125250000002</v>
      </c>
      <c r="G520" s="30">
        <v>22.263125250000002</v>
      </c>
      <c r="H520" s="29">
        <f>J520+L520+N520+P520</f>
        <v>18.624758889999999</v>
      </c>
      <c r="I520" s="29">
        <v>0.24</v>
      </c>
      <c r="J520" s="29">
        <v>2.8503719599999999</v>
      </c>
      <c r="K520" s="29">
        <v>4.6821581439999997</v>
      </c>
      <c r="L520" s="29">
        <v>4.5631014099999989</v>
      </c>
      <c r="M520" s="29">
        <v>8.4812859219999996</v>
      </c>
      <c r="N520" s="29">
        <f>171.64315/1000</f>
        <v>0.17164314999999999</v>
      </c>
      <c r="O520" s="29">
        <f>G520-I520-K520-M520</f>
        <v>8.8596811840000047</v>
      </c>
      <c r="P520" s="29">
        <v>11.039642369999999</v>
      </c>
      <c r="Q520" s="29">
        <f>F520-H520</f>
        <v>3.6383663600000027</v>
      </c>
      <c r="R520" s="29">
        <f t="shared" ref="R520:R526" si="195">H520-(I520+K520+M520+O520)</f>
        <v>-3.6383663600000027</v>
      </c>
      <c r="S520" s="31">
        <f t="shared" si="188"/>
        <v>-0.16342567897110502</v>
      </c>
      <c r="T520" s="29" t="s">
        <v>1043</v>
      </c>
    </row>
    <row r="521" spans="1:20" s="1" customFormat="1" ht="40.5" customHeight="1" x14ac:dyDescent="0.25">
      <c r="A521" s="18" t="s">
        <v>1044</v>
      </c>
      <c r="B521" s="22" t="s">
        <v>126</v>
      </c>
      <c r="C521" s="20" t="s">
        <v>31</v>
      </c>
      <c r="D521" s="7">
        <f t="shared" ref="D521:R521" si="196">SUM(D522)</f>
        <v>106.07639999999999</v>
      </c>
      <c r="E521" s="7">
        <f t="shared" si="196"/>
        <v>0</v>
      </c>
      <c r="F521" s="7">
        <f t="shared" si="196"/>
        <v>106.07639999999999</v>
      </c>
      <c r="G521" s="7">
        <f t="shared" si="196"/>
        <v>3.6</v>
      </c>
      <c r="H521" s="7">
        <f t="shared" si="196"/>
        <v>3.6</v>
      </c>
      <c r="I521" s="7">
        <f t="shared" si="196"/>
        <v>0</v>
      </c>
      <c r="J521" s="7">
        <f t="shared" si="196"/>
        <v>0</v>
      </c>
      <c r="K521" s="7">
        <f t="shared" si="196"/>
        <v>0</v>
      </c>
      <c r="L521" s="7">
        <f t="shared" si="196"/>
        <v>0.17319599999999999</v>
      </c>
      <c r="M521" s="7">
        <f t="shared" si="196"/>
        <v>1.2</v>
      </c>
      <c r="N521" s="7">
        <f t="shared" si="196"/>
        <v>1.6268040000000001</v>
      </c>
      <c r="O521" s="7">
        <f t="shared" si="196"/>
        <v>2.4</v>
      </c>
      <c r="P521" s="7">
        <f t="shared" si="196"/>
        <v>1.8</v>
      </c>
      <c r="Q521" s="7">
        <f t="shared" si="196"/>
        <v>102.4764</v>
      </c>
      <c r="R521" s="7">
        <f t="shared" si="196"/>
        <v>0</v>
      </c>
      <c r="S521" s="21">
        <f t="shared" ref="S521" si="197">R521/(I521+K521+M521)</f>
        <v>0</v>
      </c>
      <c r="T521" s="7" t="s">
        <v>32</v>
      </c>
    </row>
    <row r="522" spans="1:20" s="1" customFormat="1" x14ac:dyDescent="0.25">
      <c r="A522" s="26" t="s">
        <v>1044</v>
      </c>
      <c r="B522" s="32" t="s">
        <v>1045</v>
      </c>
      <c r="C522" s="33" t="s">
        <v>1046</v>
      </c>
      <c r="D522" s="29">
        <v>106.07639999999999</v>
      </c>
      <c r="E522" s="29">
        <v>0</v>
      </c>
      <c r="F522" s="29">
        <f>D522-E522</f>
        <v>106.07639999999999</v>
      </c>
      <c r="G522" s="29">
        <v>3.6</v>
      </c>
      <c r="H522" s="29">
        <f>J522+L522+N522+P522</f>
        <v>3.6</v>
      </c>
      <c r="I522" s="29">
        <v>0</v>
      </c>
      <c r="J522" s="29">
        <v>0</v>
      </c>
      <c r="K522" s="29">
        <v>0</v>
      </c>
      <c r="L522" s="29">
        <v>0.17319599999999999</v>
      </c>
      <c r="M522" s="29">
        <v>1.2</v>
      </c>
      <c r="N522" s="29">
        <f>1626.804/1000</f>
        <v>1.6268040000000001</v>
      </c>
      <c r="O522" s="29">
        <v>2.4</v>
      </c>
      <c r="P522" s="29">
        <v>1.8</v>
      </c>
      <c r="Q522" s="29">
        <f>F522-H522</f>
        <v>102.4764</v>
      </c>
      <c r="R522" s="29">
        <f t="shared" si="195"/>
        <v>0</v>
      </c>
      <c r="S522" s="31">
        <f t="shared" si="188"/>
        <v>0</v>
      </c>
      <c r="T522" s="29" t="s">
        <v>32</v>
      </c>
    </row>
    <row r="523" spans="1:20" s="1" customFormat="1" ht="31.5" x14ac:dyDescent="0.25">
      <c r="A523" s="18" t="s">
        <v>1047</v>
      </c>
      <c r="B523" s="22" t="s">
        <v>131</v>
      </c>
      <c r="C523" s="20" t="s">
        <v>31</v>
      </c>
      <c r="D523" s="7">
        <f t="shared" ref="D523:R523" si="198">SUM(D524:D526)</f>
        <v>261.19814975999998</v>
      </c>
      <c r="E523" s="7">
        <f t="shared" si="198"/>
        <v>43.211692220000003</v>
      </c>
      <c r="F523" s="7">
        <f t="shared" si="198"/>
        <v>217.98645753999998</v>
      </c>
      <c r="G523" s="7">
        <f t="shared" si="198"/>
        <v>94.188822359999989</v>
      </c>
      <c r="H523" s="7">
        <f t="shared" si="198"/>
        <v>28.471336839999999</v>
      </c>
      <c r="I523" s="7">
        <f t="shared" si="198"/>
        <v>15.27452386</v>
      </c>
      <c r="J523" s="7">
        <f t="shared" si="198"/>
        <v>11.991262450000001</v>
      </c>
      <c r="K523" s="7">
        <f t="shared" si="198"/>
        <v>20.816884389999998</v>
      </c>
      <c r="L523" s="7">
        <f t="shared" si="198"/>
        <v>0.24539431000000003</v>
      </c>
      <c r="M523" s="7">
        <f t="shared" si="198"/>
        <v>21.054775330000002</v>
      </c>
      <c r="N523" s="7">
        <f t="shared" si="198"/>
        <v>0.32153759000000004</v>
      </c>
      <c r="O523" s="7">
        <f t="shared" si="198"/>
        <v>37.042638779999983</v>
      </c>
      <c r="P523" s="7">
        <f t="shared" si="198"/>
        <v>15.913142489999998</v>
      </c>
      <c r="Q523" s="7">
        <f t="shared" si="198"/>
        <v>189.51512069999998</v>
      </c>
      <c r="R523" s="7">
        <f t="shared" si="198"/>
        <v>-65.717485519999997</v>
      </c>
      <c r="S523" s="21">
        <f>R523/(I523+K523+M523+O523)</f>
        <v>-0.69772064108435894</v>
      </c>
      <c r="T523" s="7" t="s">
        <v>32</v>
      </c>
    </row>
    <row r="524" spans="1:20" s="1" customFormat="1" ht="31.5" x14ac:dyDescent="0.25">
      <c r="A524" s="26" t="s">
        <v>1047</v>
      </c>
      <c r="B524" s="32" t="s">
        <v>1048</v>
      </c>
      <c r="C524" s="33" t="s">
        <v>1049</v>
      </c>
      <c r="D524" s="29">
        <v>115.1016</v>
      </c>
      <c r="E524" s="29">
        <v>0</v>
      </c>
      <c r="F524" s="29">
        <f>D524-E524</f>
        <v>115.1016</v>
      </c>
      <c r="G524" s="30">
        <v>6</v>
      </c>
      <c r="H524" s="29">
        <f>J524+L524+N524+P524</f>
        <v>5.9999363999999993</v>
      </c>
      <c r="I524" s="29">
        <v>0</v>
      </c>
      <c r="J524" s="29">
        <v>0</v>
      </c>
      <c r="K524" s="29">
        <v>0</v>
      </c>
      <c r="L524" s="29">
        <v>0</v>
      </c>
      <c r="M524" s="29">
        <v>2</v>
      </c>
      <c r="N524" s="29">
        <v>0</v>
      </c>
      <c r="O524" s="29">
        <v>4</v>
      </c>
      <c r="P524" s="29">
        <v>5.9999363999999993</v>
      </c>
      <c r="Q524" s="29">
        <f>F524-H524</f>
        <v>109.10166360000001</v>
      </c>
      <c r="R524" s="29">
        <f t="shared" si="195"/>
        <v>-6.3600000000718637E-5</v>
      </c>
      <c r="S524" s="31">
        <f t="shared" si="188"/>
        <v>-1.0600000000119772E-5</v>
      </c>
      <c r="T524" s="29" t="s">
        <v>32</v>
      </c>
    </row>
    <row r="525" spans="1:20" s="1" customFormat="1" x14ac:dyDescent="0.25">
      <c r="A525" s="26" t="s">
        <v>1047</v>
      </c>
      <c r="B525" s="36" t="s">
        <v>1050</v>
      </c>
      <c r="C525" s="29" t="s">
        <v>1051</v>
      </c>
      <c r="D525" s="29">
        <v>33.747845139999995</v>
      </c>
      <c r="E525" s="29">
        <v>22.529598110000002</v>
      </c>
      <c r="F525" s="29">
        <f>D525-E525</f>
        <v>11.218247029999993</v>
      </c>
      <c r="G525" s="30">
        <v>11.218247030000001</v>
      </c>
      <c r="H525" s="29">
        <f>J525+L525+N525+P525</f>
        <v>11.218247030000001</v>
      </c>
      <c r="I525" s="29">
        <v>2.5988000000000002</v>
      </c>
      <c r="J525" s="29">
        <v>11.218247030000001</v>
      </c>
      <c r="K525" s="29">
        <v>0</v>
      </c>
      <c r="L525" s="29">
        <v>0</v>
      </c>
      <c r="M525" s="29">
        <v>0</v>
      </c>
      <c r="N525" s="29">
        <v>0</v>
      </c>
      <c r="O525" s="29">
        <f>G525-I525-K525-M525</f>
        <v>8.6194470299999999</v>
      </c>
      <c r="P525" s="29">
        <v>0</v>
      </c>
      <c r="Q525" s="29">
        <f>F525-H525</f>
        <v>0</v>
      </c>
      <c r="R525" s="29">
        <f t="shared" si="195"/>
        <v>0</v>
      </c>
      <c r="S525" s="31">
        <f t="shared" si="188"/>
        <v>0</v>
      </c>
      <c r="T525" s="45" t="s">
        <v>32</v>
      </c>
    </row>
    <row r="526" spans="1:20" s="1" customFormat="1" ht="31.5" x14ac:dyDescent="0.25">
      <c r="A526" s="26">
        <v>38021</v>
      </c>
      <c r="B526" s="36" t="s">
        <v>1052</v>
      </c>
      <c r="C526" s="29" t="s">
        <v>1053</v>
      </c>
      <c r="D526" s="29">
        <v>112.34870461999998</v>
      </c>
      <c r="E526" s="29">
        <v>20.682094110000001</v>
      </c>
      <c r="F526" s="29">
        <f>D526-E526</f>
        <v>91.66661050999997</v>
      </c>
      <c r="G526" s="30">
        <v>76.970575329999988</v>
      </c>
      <c r="H526" s="29">
        <f>J526+L526+N526+P526</f>
        <v>11.253153409999999</v>
      </c>
      <c r="I526" s="29">
        <v>12.67572386</v>
      </c>
      <c r="J526" s="29">
        <v>0.77301542000000001</v>
      </c>
      <c r="K526" s="29">
        <v>20.816884389999998</v>
      </c>
      <c r="L526" s="29">
        <v>0.24539431000000003</v>
      </c>
      <c r="M526" s="29">
        <v>19.054775330000002</v>
      </c>
      <c r="N526" s="29">
        <f>321.53759/1000</f>
        <v>0.32153759000000004</v>
      </c>
      <c r="O526" s="29">
        <f>G526-I526-K526-M526</f>
        <v>24.423191749999983</v>
      </c>
      <c r="P526" s="29">
        <v>9.9132060899999992</v>
      </c>
      <c r="Q526" s="29">
        <f>F526-H526</f>
        <v>80.413457099999974</v>
      </c>
      <c r="R526" s="29">
        <f t="shared" si="195"/>
        <v>-65.717421919999992</v>
      </c>
      <c r="S526" s="31">
        <f t="shared" si="188"/>
        <v>-0.85379928158580387</v>
      </c>
      <c r="T526" s="45" t="s">
        <v>1054</v>
      </c>
    </row>
    <row r="527" spans="1:20" s="1" customFormat="1" ht="31.5" x14ac:dyDescent="0.25">
      <c r="A527" s="18" t="s">
        <v>1055</v>
      </c>
      <c r="B527" s="22" t="s">
        <v>156</v>
      </c>
      <c r="C527" s="20" t="s">
        <v>31</v>
      </c>
      <c r="D527" s="7">
        <f t="shared" ref="D527:R527" si="199">D528+D531+D532+D533</f>
        <v>557.03793712620006</v>
      </c>
      <c r="E527" s="7">
        <f t="shared" si="199"/>
        <v>92.883737909999994</v>
      </c>
      <c r="F527" s="7">
        <f t="shared" si="199"/>
        <v>464.15419921620003</v>
      </c>
      <c r="G527" s="7">
        <f t="shared" si="199"/>
        <v>167.93849436599999</v>
      </c>
      <c r="H527" s="7">
        <f t="shared" si="199"/>
        <v>106.67449204</v>
      </c>
      <c r="I527" s="7">
        <f t="shared" si="199"/>
        <v>1.28705398</v>
      </c>
      <c r="J527" s="7">
        <f t="shared" si="199"/>
        <v>10.837934130000002</v>
      </c>
      <c r="K527" s="7">
        <f t="shared" si="199"/>
        <v>28.930266321999998</v>
      </c>
      <c r="L527" s="7">
        <f t="shared" si="199"/>
        <v>8.6491002599999991</v>
      </c>
      <c r="M527" s="7">
        <f t="shared" si="199"/>
        <v>66.268129858000009</v>
      </c>
      <c r="N527" s="7">
        <f t="shared" si="199"/>
        <v>28.583274530000001</v>
      </c>
      <c r="O527" s="7">
        <f t="shared" si="199"/>
        <v>71.453044206000001</v>
      </c>
      <c r="P527" s="7">
        <f t="shared" si="199"/>
        <v>58.604183120000002</v>
      </c>
      <c r="Q527" s="7">
        <f t="shared" si="199"/>
        <v>357.47970717620001</v>
      </c>
      <c r="R527" s="7">
        <f t="shared" si="199"/>
        <v>-61.264002326000011</v>
      </c>
      <c r="S527" s="21">
        <f t="shared" si="188"/>
        <v>-0.36480023568916325</v>
      </c>
      <c r="T527" s="7" t="s">
        <v>32</v>
      </c>
    </row>
    <row r="528" spans="1:20" s="1" customFormat="1" ht="31.5" x14ac:dyDescent="0.25">
      <c r="A528" s="18" t="s">
        <v>1056</v>
      </c>
      <c r="B528" s="22" t="s">
        <v>158</v>
      </c>
      <c r="C528" s="20" t="s">
        <v>31</v>
      </c>
      <c r="D528" s="7">
        <f t="shared" ref="D528:R528" si="200">SUM(D529:D530)</f>
        <v>99.610892952</v>
      </c>
      <c r="E528" s="7">
        <f t="shared" si="200"/>
        <v>2.7006158600000001</v>
      </c>
      <c r="F528" s="7">
        <f t="shared" si="200"/>
        <v>96.910277092000001</v>
      </c>
      <c r="G528" s="7">
        <f t="shared" si="200"/>
        <v>26.067944449999999</v>
      </c>
      <c r="H528" s="7">
        <f t="shared" si="200"/>
        <v>19.368304609999999</v>
      </c>
      <c r="I528" s="7">
        <f t="shared" si="200"/>
        <v>0</v>
      </c>
      <c r="J528" s="7">
        <f t="shared" si="200"/>
        <v>0</v>
      </c>
      <c r="K528" s="7">
        <f t="shared" si="200"/>
        <v>16.892862791999999</v>
      </c>
      <c r="L528" s="7">
        <f t="shared" si="200"/>
        <v>2.3816799999999998</v>
      </c>
      <c r="M528" s="7">
        <f t="shared" si="200"/>
        <v>8.2150816580000026</v>
      </c>
      <c r="N528" s="7">
        <f t="shared" si="200"/>
        <v>0.33426444999999999</v>
      </c>
      <c r="O528" s="7">
        <f t="shared" si="200"/>
        <v>0.96</v>
      </c>
      <c r="P528" s="7">
        <f t="shared" si="200"/>
        <v>16.652360160000001</v>
      </c>
      <c r="Q528" s="7">
        <f t="shared" si="200"/>
        <v>77.541972482000006</v>
      </c>
      <c r="R528" s="7">
        <f t="shared" si="200"/>
        <v>-6.6996398400000006</v>
      </c>
      <c r="S528" s="21">
        <f t="shared" si="188"/>
        <v>-0.25700683277311492</v>
      </c>
      <c r="T528" s="7" t="s">
        <v>32</v>
      </c>
    </row>
    <row r="529" spans="1:20" s="1" customFormat="1" ht="47.25" x14ac:dyDescent="0.25">
      <c r="A529" s="26" t="s">
        <v>1056</v>
      </c>
      <c r="B529" s="32" t="s">
        <v>1057</v>
      </c>
      <c r="C529" s="33" t="s">
        <v>1058</v>
      </c>
      <c r="D529" s="29">
        <v>27.253799999999998</v>
      </c>
      <c r="E529" s="29">
        <v>0</v>
      </c>
      <c r="F529" s="29">
        <f>D529-E529</f>
        <v>27.253799999999998</v>
      </c>
      <c r="G529" s="30">
        <v>2.4</v>
      </c>
      <c r="H529" s="29">
        <f>J529+L529+N529+P529</f>
        <v>2.3860584</v>
      </c>
      <c r="I529" s="29">
        <v>0</v>
      </c>
      <c r="J529" s="29">
        <v>0</v>
      </c>
      <c r="K529" s="29">
        <v>0.48</v>
      </c>
      <c r="L529" s="29">
        <v>0</v>
      </c>
      <c r="M529" s="29">
        <v>0.96</v>
      </c>
      <c r="N529" s="29">
        <v>0</v>
      </c>
      <c r="O529" s="29">
        <v>0.96</v>
      </c>
      <c r="P529" s="29">
        <v>2.3860584</v>
      </c>
      <c r="Q529" s="29">
        <f>F529-H529</f>
        <v>24.867741599999999</v>
      </c>
      <c r="R529" s="29">
        <f t="shared" ref="R529:R530" si="201">H529-(I529+K529+M529+O529)</f>
        <v>-1.3941599999999887E-2</v>
      </c>
      <c r="S529" s="31">
        <f t="shared" si="188"/>
        <v>-5.8089999999999531E-3</v>
      </c>
      <c r="T529" s="29" t="s">
        <v>32</v>
      </c>
    </row>
    <row r="530" spans="1:20" s="1" customFormat="1" ht="31.5" x14ac:dyDescent="0.25">
      <c r="A530" s="26" t="s">
        <v>1056</v>
      </c>
      <c r="B530" s="32" t="s">
        <v>1059</v>
      </c>
      <c r="C530" s="33" t="s">
        <v>1060</v>
      </c>
      <c r="D530" s="29">
        <v>72.357092952000002</v>
      </c>
      <c r="E530" s="29">
        <v>2.7006158600000001</v>
      </c>
      <c r="F530" s="29">
        <f>D530-E530</f>
        <v>69.656477092000003</v>
      </c>
      <c r="G530" s="30">
        <v>23.66794445</v>
      </c>
      <c r="H530" s="29">
        <f>J530+L530+N530+P530</f>
        <v>16.98224621</v>
      </c>
      <c r="I530" s="29">
        <v>0</v>
      </c>
      <c r="J530" s="29">
        <v>0</v>
      </c>
      <c r="K530" s="29">
        <v>16.412862791999999</v>
      </c>
      <c r="L530" s="29">
        <v>2.3816799999999998</v>
      </c>
      <c r="M530" s="29">
        <f>G530-I530-K530</f>
        <v>7.2550816580000017</v>
      </c>
      <c r="N530" s="29">
        <f>334.26445/1000</f>
        <v>0.33426444999999999</v>
      </c>
      <c r="O530" s="29">
        <v>0</v>
      </c>
      <c r="P530" s="29">
        <v>14.266301760000001</v>
      </c>
      <c r="Q530" s="29">
        <f>F530-H530</f>
        <v>52.674230882000003</v>
      </c>
      <c r="R530" s="29">
        <f t="shared" si="201"/>
        <v>-6.6856982400000007</v>
      </c>
      <c r="S530" s="31">
        <f t="shared" si="188"/>
        <v>-0.28247904054887202</v>
      </c>
      <c r="T530" s="29" t="s">
        <v>1061</v>
      </c>
    </row>
    <row r="531" spans="1:20" s="1" customFormat="1" ht="31.5" x14ac:dyDescent="0.25">
      <c r="A531" s="18" t="s">
        <v>1062</v>
      </c>
      <c r="B531" s="22" t="s">
        <v>188</v>
      </c>
      <c r="C531" s="20" t="s">
        <v>31</v>
      </c>
      <c r="D531" s="7">
        <v>0</v>
      </c>
      <c r="E531" s="7">
        <v>0</v>
      </c>
      <c r="F531" s="7">
        <v>0</v>
      </c>
      <c r="G531" s="7">
        <v>0</v>
      </c>
      <c r="H531" s="7">
        <v>0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21">
        <v>0</v>
      </c>
      <c r="T531" s="7" t="s">
        <v>32</v>
      </c>
    </row>
    <row r="532" spans="1:20" s="1" customFormat="1" ht="31.5" x14ac:dyDescent="0.25">
      <c r="A532" s="18" t="s">
        <v>1063</v>
      </c>
      <c r="B532" s="22" t="s">
        <v>190</v>
      </c>
      <c r="C532" s="20" t="s">
        <v>31</v>
      </c>
      <c r="D532" s="7">
        <v>0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21">
        <v>0</v>
      </c>
      <c r="T532" s="7" t="s">
        <v>32</v>
      </c>
    </row>
    <row r="533" spans="1:20" s="1" customFormat="1" ht="31.5" x14ac:dyDescent="0.25">
      <c r="A533" s="18" t="s">
        <v>1064</v>
      </c>
      <c r="B533" s="22" t="s">
        <v>227</v>
      </c>
      <c r="C533" s="20" t="s">
        <v>31</v>
      </c>
      <c r="D533" s="7">
        <f t="shared" ref="D533:R533" si="202">SUM(D534:D547)</f>
        <v>457.42704417420003</v>
      </c>
      <c r="E533" s="7">
        <f t="shared" si="202"/>
        <v>90.183122049999994</v>
      </c>
      <c r="F533" s="7">
        <f t="shared" si="202"/>
        <v>367.24392212420003</v>
      </c>
      <c r="G533" s="7">
        <f t="shared" si="202"/>
        <v>141.87054991599999</v>
      </c>
      <c r="H533" s="7">
        <f t="shared" si="202"/>
        <v>87.306187430000008</v>
      </c>
      <c r="I533" s="7">
        <f t="shared" si="202"/>
        <v>1.28705398</v>
      </c>
      <c r="J533" s="7">
        <f t="shared" si="202"/>
        <v>10.837934130000002</v>
      </c>
      <c r="K533" s="7">
        <f t="shared" si="202"/>
        <v>12.037403529999999</v>
      </c>
      <c r="L533" s="7">
        <f t="shared" si="202"/>
        <v>6.2674202599999997</v>
      </c>
      <c r="M533" s="7">
        <f t="shared" si="202"/>
        <v>58.053048199999999</v>
      </c>
      <c r="N533" s="7">
        <f t="shared" si="202"/>
        <v>28.249010080000001</v>
      </c>
      <c r="O533" s="7">
        <f t="shared" si="202"/>
        <v>70.493044206000008</v>
      </c>
      <c r="P533" s="7">
        <f t="shared" si="202"/>
        <v>41.951822960000001</v>
      </c>
      <c r="Q533" s="7">
        <f t="shared" si="202"/>
        <v>279.9377346942</v>
      </c>
      <c r="R533" s="7">
        <f t="shared" si="202"/>
        <v>-54.564362486000007</v>
      </c>
      <c r="S533" s="21">
        <f>R533/(I533+K533+M533+O533)</f>
        <v>-0.38460668911417462</v>
      </c>
      <c r="T533" s="7" t="s">
        <v>32</v>
      </c>
    </row>
    <row r="534" spans="1:20" s="1" customFormat="1" ht="31.5" x14ac:dyDescent="0.25">
      <c r="A534" s="26" t="s">
        <v>1064</v>
      </c>
      <c r="B534" s="36" t="s">
        <v>1065</v>
      </c>
      <c r="C534" s="29" t="s">
        <v>1066</v>
      </c>
      <c r="D534" s="29">
        <v>64.950399030200003</v>
      </c>
      <c r="E534" s="29">
        <v>18.60195397</v>
      </c>
      <c r="F534" s="29">
        <f t="shared" ref="F534:F541" si="203">D534-E534</f>
        <v>46.348445060200007</v>
      </c>
      <c r="G534" s="30">
        <v>15.56079429</v>
      </c>
      <c r="H534" s="29">
        <f t="shared" ref="H534:H547" si="204">J534+L534+N534+P534</f>
        <v>15.553868619999998</v>
      </c>
      <c r="I534" s="29">
        <v>0</v>
      </c>
      <c r="J534" s="29">
        <v>0.23477741999999999</v>
      </c>
      <c r="K534" s="29">
        <v>2.3935999999999997</v>
      </c>
      <c r="L534" s="29">
        <v>1.5867771999999998</v>
      </c>
      <c r="M534" s="29">
        <v>6.9568168699999999</v>
      </c>
      <c r="N534" s="29">
        <f>9893.64901/1000</f>
        <v>9.893649009999999</v>
      </c>
      <c r="O534" s="29">
        <f>G534-I534-K534-M534</f>
        <v>6.2103774200000013</v>
      </c>
      <c r="P534" s="29">
        <v>3.8386649900000003</v>
      </c>
      <c r="Q534" s="29">
        <f t="shared" ref="Q534:Q547" si="205">F534-H534</f>
        <v>30.794576440200011</v>
      </c>
      <c r="R534" s="29">
        <f t="shared" ref="R534:R547" si="206">H534-(I534+K534+M534+O534)</f>
        <v>-6.9256700000028815E-3</v>
      </c>
      <c r="S534" s="31">
        <f t="shared" ref="S534:S547" si="207">R534/(I534+K534+M534+O534)</f>
        <v>-4.4507175346785469E-4</v>
      </c>
      <c r="T534" s="29" t="s">
        <v>32</v>
      </c>
    </row>
    <row r="535" spans="1:20" s="1" customFormat="1" ht="31.5" x14ac:dyDescent="0.25">
      <c r="A535" s="26" t="s">
        <v>1064</v>
      </c>
      <c r="B535" s="36" t="s">
        <v>1067</v>
      </c>
      <c r="C535" s="29" t="s">
        <v>1068</v>
      </c>
      <c r="D535" s="29">
        <v>157.24565999999999</v>
      </c>
      <c r="E535" s="29">
        <v>28.437636769999997</v>
      </c>
      <c r="F535" s="29">
        <f t="shared" si="203"/>
        <v>128.80802323</v>
      </c>
      <c r="G535" s="30">
        <v>10.45922416</v>
      </c>
      <c r="H535" s="29">
        <f t="shared" si="204"/>
        <v>9.3581829600000006</v>
      </c>
      <c r="I535" s="29">
        <v>0.42366037000000001</v>
      </c>
      <c r="J535" s="29">
        <v>1.8972853599999999</v>
      </c>
      <c r="K535" s="29">
        <v>1.4623586</v>
      </c>
      <c r="L535" s="29">
        <v>5.000000000000001E-2</v>
      </c>
      <c r="M535" s="29">
        <v>2.8331200000000001</v>
      </c>
      <c r="N535" s="29">
        <f>4675.22239/1000</f>
        <v>4.6752223900000001</v>
      </c>
      <c r="O535" s="29">
        <f>G535-I535-K535-M535</f>
        <v>5.7400851899999994</v>
      </c>
      <c r="P535" s="29">
        <v>2.7356752099999997</v>
      </c>
      <c r="Q535" s="29">
        <f>F535-H535</f>
        <v>119.44984027000001</v>
      </c>
      <c r="R535" s="29">
        <f t="shared" si="206"/>
        <v>-1.1010411999999974</v>
      </c>
      <c r="S535" s="31">
        <f t="shared" si="207"/>
        <v>-0.1052698730954436</v>
      </c>
      <c r="T535" s="29" t="s">
        <v>1069</v>
      </c>
    </row>
    <row r="536" spans="1:20" s="1" customFormat="1" ht="31.5" x14ac:dyDescent="0.25">
      <c r="A536" s="26" t="s">
        <v>1064</v>
      </c>
      <c r="B536" s="52" t="s">
        <v>1070</v>
      </c>
      <c r="C536" s="28" t="s">
        <v>1071</v>
      </c>
      <c r="D536" s="29">
        <v>75.159344069999989</v>
      </c>
      <c r="E536" s="29">
        <v>29.317465630000001</v>
      </c>
      <c r="F536" s="29">
        <f t="shared" si="203"/>
        <v>45.841878439999988</v>
      </c>
      <c r="G536" s="30">
        <v>0.86339360999999992</v>
      </c>
      <c r="H536" s="29">
        <f t="shared" si="204"/>
        <v>0.86339361000000003</v>
      </c>
      <c r="I536" s="29">
        <v>0.86339360999999992</v>
      </c>
      <c r="J536" s="29">
        <v>0.86339361000000003</v>
      </c>
      <c r="K536" s="29">
        <v>0</v>
      </c>
      <c r="L536" s="29">
        <v>0</v>
      </c>
      <c r="M536" s="29">
        <v>0</v>
      </c>
      <c r="N536" s="29">
        <v>0</v>
      </c>
      <c r="O536" s="29">
        <v>0</v>
      </c>
      <c r="P536" s="29">
        <v>0</v>
      </c>
      <c r="Q536" s="29">
        <f t="shared" si="205"/>
        <v>44.978484829999985</v>
      </c>
      <c r="R536" s="29">
        <f t="shared" si="206"/>
        <v>0</v>
      </c>
      <c r="S536" s="31">
        <f t="shared" si="207"/>
        <v>0</v>
      </c>
      <c r="T536" s="29" t="s">
        <v>32</v>
      </c>
    </row>
    <row r="537" spans="1:20" s="1" customFormat="1" ht="28.5" customHeight="1" x14ac:dyDescent="0.25">
      <c r="A537" s="26" t="s">
        <v>1064</v>
      </c>
      <c r="B537" s="52" t="s">
        <v>1072</v>
      </c>
      <c r="C537" s="28" t="s">
        <v>1073</v>
      </c>
      <c r="D537" s="29">
        <v>39.43951062</v>
      </c>
      <c r="E537" s="29">
        <v>13.12419648</v>
      </c>
      <c r="F537" s="29">
        <f t="shared" si="203"/>
        <v>26.315314139999998</v>
      </c>
      <c r="G537" s="30">
        <v>26.315314140000002</v>
      </c>
      <c r="H537" s="29">
        <f t="shared" si="204"/>
        <v>23.99113517</v>
      </c>
      <c r="I537" s="29">
        <v>0</v>
      </c>
      <c r="J537" s="29">
        <v>5.0349061400000004</v>
      </c>
      <c r="K537" s="29">
        <v>0</v>
      </c>
      <c r="L537" s="29">
        <v>0</v>
      </c>
      <c r="M537" s="29">
        <v>13.929830679999998</v>
      </c>
      <c r="N537" s="29">
        <f>2193.02857/1000</f>
        <v>2.1930285700000001</v>
      </c>
      <c r="O537" s="29">
        <f>G537-I537-K537-M537</f>
        <v>12.385483460000003</v>
      </c>
      <c r="P537" s="29">
        <v>16.76320046</v>
      </c>
      <c r="Q537" s="29">
        <f t="shared" si="205"/>
        <v>2.3241789699999984</v>
      </c>
      <c r="R537" s="29">
        <f t="shared" si="206"/>
        <v>-2.324178970000002</v>
      </c>
      <c r="S537" s="31">
        <f t="shared" si="207"/>
        <v>-8.8320396163053441E-2</v>
      </c>
      <c r="T537" s="29" t="s">
        <v>32</v>
      </c>
    </row>
    <row r="538" spans="1:20" s="1" customFormat="1" x14ac:dyDescent="0.25">
      <c r="A538" s="26" t="s">
        <v>1064</v>
      </c>
      <c r="B538" s="52" t="s">
        <v>1074</v>
      </c>
      <c r="C538" s="28" t="s">
        <v>1075</v>
      </c>
      <c r="D538" s="29">
        <v>11.717199999999998</v>
      </c>
      <c r="E538" s="29">
        <v>0</v>
      </c>
      <c r="F538" s="29">
        <f t="shared" si="203"/>
        <v>11.717199999999998</v>
      </c>
      <c r="G538" s="30">
        <v>0.96</v>
      </c>
      <c r="H538" s="29">
        <f t="shared" si="204"/>
        <v>0.95997359999999998</v>
      </c>
      <c r="I538" s="29">
        <v>0</v>
      </c>
      <c r="J538" s="29">
        <v>0</v>
      </c>
      <c r="K538" s="29">
        <v>0</v>
      </c>
      <c r="L538" s="29">
        <v>0</v>
      </c>
      <c r="M538" s="29">
        <v>0.96</v>
      </c>
      <c r="N538" s="29">
        <v>0</v>
      </c>
      <c r="O538" s="29">
        <v>0</v>
      </c>
      <c r="P538" s="29">
        <v>0.95997359999999998</v>
      </c>
      <c r="Q538" s="29">
        <f t="shared" si="205"/>
        <v>10.757226399999999</v>
      </c>
      <c r="R538" s="29">
        <f t="shared" si="206"/>
        <v>-2.6399999999981993E-5</v>
      </c>
      <c r="S538" s="31">
        <f t="shared" si="207"/>
        <v>-2.7499999999981244E-5</v>
      </c>
      <c r="T538" s="29" t="s">
        <v>32</v>
      </c>
    </row>
    <row r="539" spans="1:20" s="1" customFormat="1" ht="31.5" x14ac:dyDescent="0.25">
      <c r="A539" s="26" t="s">
        <v>1064</v>
      </c>
      <c r="B539" s="27" t="s">
        <v>1076</v>
      </c>
      <c r="C539" s="28" t="s">
        <v>1077</v>
      </c>
      <c r="D539" s="28">
        <v>8.0653916759999991</v>
      </c>
      <c r="E539" s="29">
        <v>0.2628144</v>
      </c>
      <c r="F539" s="29">
        <f t="shared" si="203"/>
        <v>7.8025772759999992</v>
      </c>
      <c r="G539" s="30">
        <v>6.2156855999999996</v>
      </c>
      <c r="H539" s="29">
        <f t="shared" si="204"/>
        <v>1.1711855999999998</v>
      </c>
      <c r="I539" s="29">
        <v>0</v>
      </c>
      <c r="J539" s="29">
        <v>0.28918559999999999</v>
      </c>
      <c r="K539" s="29">
        <v>0</v>
      </c>
      <c r="L539" s="29">
        <v>0</v>
      </c>
      <c r="M539" s="29">
        <v>3.03728</v>
      </c>
      <c r="N539" s="29">
        <f>752/1000</f>
        <v>0.752</v>
      </c>
      <c r="O539" s="29">
        <f>G539-I539-K539-M539</f>
        <v>3.1784055999999996</v>
      </c>
      <c r="P539" s="29">
        <v>0.13</v>
      </c>
      <c r="Q539" s="29">
        <f t="shared" si="205"/>
        <v>6.6313916759999998</v>
      </c>
      <c r="R539" s="29">
        <f t="shared" si="206"/>
        <v>-5.0444999999999993</v>
      </c>
      <c r="S539" s="31">
        <f t="shared" si="207"/>
        <v>-0.81157579784923484</v>
      </c>
      <c r="T539" s="29" t="s">
        <v>1069</v>
      </c>
    </row>
    <row r="540" spans="1:20" s="1" customFormat="1" ht="31.5" x14ac:dyDescent="0.25">
      <c r="A540" s="26" t="s">
        <v>1064</v>
      </c>
      <c r="B540" s="27" t="s">
        <v>1078</v>
      </c>
      <c r="C540" s="28" t="s">
        <v>1079</v>
      </c>
      <c r="D540" s="28">
        <v>2.7984490799999997</v>
      </c>
      <c r="E540" s="29">
        <v>0.1393548</v>
      </c>
      <c r="F540" s="29">
        <f t="shared" si="203"/>
        <v>2.6590942799999997</v>
      </c>
      <c r="G540" s="30">
        <v>2.1171451999999999</v>
      </c>
      <c r="H540" s="29">
        <f t="shared" si="204"/>
        <v>0.30164760000000002</v>
      </c>
      <c r="I540" s="29">
        <v>0</v>
      </c>
      <c r="J540" s="29">
        <v>9.4645199999999999E-2</v>
      </c>
      <c r="K540" s="29">
        <v>0</v>
      </c>
      <c r="L540" s="29">
        <v>0</v>
      </c>
      <c r="M540" s="29">
        <v>1.0300799999999999</v>
      </c>
      <c r="N540" s="29">
        <v>0</v>
      </c>
      <c r="O540" s="29">
        <f>G540-I540-K540-M540</f>
        <v>1.0870652000000001</v>
      </c>
      <c r="P540" s="29">
        <v>0.2070024</v>
      </c>
      <c r="Q540" s="29">
        <f t="shared" si="205"/>
        <v>2.3574466799999998</v>
      </c>
      <c r="R540" s="29">
        <f t="shared" si="206"/>
        <v>-1.8154976</v>
      </c>
      <c r="S540" s="31">
        <f t="shared" si="207"/>
        <v>-0.8575215341866963</v>
      </c>
      <c r="T540" s="29" t="s">
        <v>1069</v>
      </c>
    </row>
    <row r="541" spans="1:20" s="1" customFormat="1" ht="52.5" customHeight="1" x14ac:dyDescent="0.25">
      <c r="A541" s="26" t="s">
        <v>1064</v>
      </c>
      <c r="B541" s="27" t="s">
        <v>1080</v>
      </c>
      <c r="C541" s="28" t="s">
        <v>1081</v>
      </c>
      <c r="D541" s="28">
        <v>15.761407999999999</v>
      </c>
      <c r="E541" s="29">
        <v>0</v>
      </c>
      <c r="F541" s="29">
        <f t="shared" si="203"/>
        <v>15.761407999999999</v>
      </c>
      <c r="G541" s="30">
        <v>14.236608</v>
      </c>
      <c r="H541" s="29">
        <f t="shared" si="204"/>
        <v>14.18866094</v>
      </c>
      <c r="I541" s="29">
        <v>0</v>
      </c>
      <c r="J541" s="29">
        <v>1.5246408</v>
      </c>
      <c r="K541" s="29">
        <v>0</v>
      </c>
      <c r="L541" s="29">
        <v>3.0692797300000003</v>
      </c>
      <c r="M541" s="29">
        <v>6.5256000000000007</v>
      </c>
      <c r="N541" s="29">
        <f>5429.96319/1000</f>
        <v>5.4299631900000005</v>
      </c>
      <c r="O541" s="29">
        <f>G541-I541-K541-M541</f>
        <v>7.7110079999999996</v>
      </c>
      <c r="P541" s="29">
        <v>4.1647772199999995</v>
      </c>
      <c r="Q541" s="29">
        <f t="shared" si="205"/>
        <v>1.5727470599999993</v>
      </c>
      <c r="R541" s="29">
        <f t="shared" si="206"/>
        <v>-4.7947060000000263E-2</v>
      </c>
      <c r="S541" s="31">
        <f t="shared" si="207"/>
        <v>-3.3678710546782113E-3</v>
      </c>
      <c r="T541" s="29" t="s">
        <v>32</v>
      </c>
    </row>
    <row r="542" spans="1:20" s="1" customFormat="1" ht="52.5" customHeight="1" x14ac:dyDescent="0.25">
      <c r="A542" s="26" t="s">
        <v>1064</v>
      </c>
      <c r="B542" s="27" t="s">
        <v>1082</v>
      </c>
      <c r="C542" s="28" t="s">
        <v>1083</v>
      </c>
      <c r="D542" s="28">
        <v>4.8550550299999999</v>
      </c>
      <c r="E542" s="29">
        <f>D542-F542</f>
        <v>0</v>
      </c>
      <c r="F542" s="29">
        <v>4.8550550299999999</v>
      </c>
      <c r="G542" s="30">
        <v>0.82992147599999999</v>
      </c>
      <c r="H542" s="29">
        <f t="shared" si="204"/>
        <v>0.77400000000000002</v>
      </c>
      <c r="I542" s="29">
        <v>0</v>
      </c>
      <c r="J542" s="29">
        <v>0</v>
      </c>
      <c r="K542" s="29">
        <v>0</v>
      </c>
      <c r="L542" s="29">
        <v>0</v>
      </c>
      <c r="M542" s="29">
        <v>0</v>
      </c>
      <c r="N542" s="29">
        <v>0</v>
      </c>
      <c r="O542" s="29">
        <v>0.82992147599999999</v>
      </c>
      <c r="P542" s="29">
        <v>0.77400000000000002</v>
      </c>
      <c r="Q542" s="29">
        <f t="shared" si="205"/>
        <v>4.0810550299999999</v>
      </c>
      <c r="R542" s="29">
        <f t="shared" si="206"/>
        <v>-5.592147599999997E-2</v>
      </c>
      <c r="S542" s="31">
        <f t="shared" si="207"/>
        <v>-6.7381647080066609E-2</v>
      </c>
      <c r="T542" s="29" t="s">
        <v>32</v>
      </c>
    </row>
    <row r="543" spans="1:20" s="1" customFormat="1" ht="47.25" x14ac:dyDescent="0.25">
      <c r="A543" s="26" t="s">
        <v>1064</v>
      </c>
      <c r="B543" s="27" t="s">
        <v>1084</v>
      </c>
      <c r="C543" s="28" t="s">
        <v>1085</v>
      </c>
      <c r="D543" s="28">
        <v>3.2312426680000002</v>
      </c>
      <c r="E543" s="29">
        <v>0</v>
      </c>
      <c r="F543" s="29">
        <v>3.2312426680000002</v>
      </c>
      <c r="G543" s="30">
        <v>0.97957943999999997</v>
      </c>
      <c r="H543" s="29">
        <f t="shared" si="204"/>
        <v>0</v>
      </c>
      <c r="I543" s="29">
        <v>0</v>
      </c>
      <c r="J543" s="29">
        <v>0</v>
      </c>
      <c r="K543" s="29">
        <v>0</v>
      </c>
      <c r="L543" s="29">
        <v>0</v>
      </c>
      <c r="M543" s="29">
        <v>0</v>
      </c>
      <c r="N543" s="29">
        <v>0</v>
      </c>
      <c r="O543" s="29">
        <v>0.97957943999999997</v>
      </c>
      <c r="P543" s="29">
        <v>0</v>
      </c>
      <c r="Q543" s="29">
        <f t="shared" si="205"/>
        <v>3.2312426680000002</v>
      </c>
      <c r="R543" s="29">
        <f t="shared" si="206"/>
        <v>-0.97957943999999997</v>
      </c>
      <c r="S543" s="31">
        <f t="shared" si="207"/>
        <v>-1</v>
      </c>
      <c r="T543" s="29" t="s">
        <v>1086</v>
      </c>
    </row>
    <row r="544" spans="1:20" s="1" customFormat="1" x14ac:dyDescent="0.25">
      <c r="A544" s="26" t="s">
        <v>1064</v>
      </c>
      <c r="B544" s="27" t="s">
        <v>1087</v>
      </c>
      <c r="C544" s="28" t="s">
        <v>1088</v>
      </c>
      <c r="D544" s="28">
        <v>11.970799999999999</v>
      </c>
      <c r="E544" s="29">
        <v>0</v>
      </c>
      <c r="F544" s="29">
        <f>D544-E544</f>
        <v>11.970799999999999</v>
      </c>
      <c r="G544" s="30">
        <v>2.4</v>
      </c>
      <c r="H544" s="29">
        <f t="shared" si="204"/>
        <v>2.28106952</v>
      </c>
      <c r="I544" s="29">
        <v>0</v>
      </c>
      <c r="J544" s="29">
        <v>0</v>
      </c>
      <c r="K544" s="29">
        <v>0.32</v>
      </c>
      <c r="L544" s="29">
        <v>0</v>
      </c>
      <c r="M544" s="29">
        <v>1.1200000000000001</v>
      </c>
      <c r="N544" s="29">
        <f>305.84876/1000</f>
        <v>0.30584876000000005</v>
      </c>
      <c r="O544" s="29">
        <v>0.96</v>
      </c>
      <c r="P544" s="29">
        <v>1.97522076</v>
      </c>
      <c r="Q544" s="29">
        <f t="shared" si="205"/>
        <v>9.6897304799999979</v>
      </c>
      <c r="R544" s="29">
        <f t="shared" si="206"/>
        <v>-0.11893048000000039</v>
      </c>
      <c r="S544" s="31">
        <f t="shared" si="207"/>
        <v>-4.9554366666666821E-2</v>
      </c>
      <c r="T544" s="29" t="s">
        <v>32</v>
      </c>
    </row>
    <row r="545" spans="1:20" s="1" customFormat="1" ht="31.5" x14ac:dyDescent="0.25">
      <c r="A545" s="26" t="s">
        <v>1064</v>
      </c>
      <c r="B545" s="27" t="s">
        <v>1089</v>
      </c>
      <c r="C545" s="28" t="s">
        <v>1090</v>
      </c>
      <c r="D545" s="28">
        <v>33.876384000000002</v>
      </c>
      <c r="E545" s="29">
        <v>0</v>
      </c>
      <c r="F545" s="29">
        <f>D545-E545</f>
        <v>33.876384000000002</v>
      </c>
      <c r="G545" s="30">
        <v>33.876384000000002</v>
      </c>
      <c r="H545" s="29">
        <f t="shared" si="204"/>
        <v>3.8122502799999998</v>
      </c>
      <c r="I545" s="29">
        <v>0</v>
      </c>
      <c r="J545" s="29">
        <v>0</v>
      </c>
      <c r="K545" s="29">
        <v>6.5186815999999999</v>
      </c>
      <c r="L545" s="29">
        <v>0.39219999999999999</v>
      </c>
      <c r="M545" s="29">
        <v>12.8759408</v>
      </c>
      <c r="N545" s="29">
        <f>3420.05028/1000</f>
        <v>3.4200502799999999</v>
      </c>
      <c r="O545" s="29">
        <f>G545-I545-K545-M545</f>
        <v>14.4817616</v>
      </c>
      <c r="P545" s="29">
        <v>0</v>
      </c>
      <c r="Q545" s="29">
        <f t="shared" si="205"/>
        <v>30.064133720000001</v>
      </c>
      <c r="R545" s="29">
        <f t="shared" si="206"/>
        <v>-30.064133720000001</v>
      </c>
      <c r="S545" s="31">
        <f t="shared" si="207"/>
        <v>-0.887465844052305</v>
      </c>
      <c r="T545" s="29" t="s">
        <v>1091</v>
      </c>
    </row>
    <row r="546" spans="1:20" s="1" customFormat="1" ht="31.5" x14ac:dyDescent="0.25">
      <c r="A546" s="26" t="s">
        <v>1064</v>
      </c>
      <c r="B546" s="52" t="s">
        <v>1092</v>
      </c>
      <c r="C546" s="28" t="s">
        <v>1093</v>
      </c>
      <c r="D546" s="29">
        <v>16.689600000000002</v>
      </c>
      <c r="E546" s="29">
        <v>0.29969999999999997</v>
      </c>
      <c r="F546" s="29">
        <f>D546-E546</f>
        <v>16.389900000000001</v>
      </c>
      <c r="G546" s="30">
        <v>16.389900000000001</v>
      </c>
      <c r="H546" s="29">
        <f t="shared" si="204"/>
        <v>3.6658195300000003</v>
      </c>
      <c r="I546" s="29">
        <v>0</v>
      </c>
      <c r="J546" s="29">
        <v>0.89910000000000001</v>
      </c>
      <c r="K546" s="29">
        <v>0</v>
      </c>
      <c r="L546" s="29">
        <v>0</v>
      </c>
      <c r="M546" s="29">
        <v>4.1311999999999998</v>
      </c>
      <c r="N546" s="29">
        <f>1481.66803/1000</f>
        <v>1.48166803</v>
      </c>
      <c r="O546" s="29">
        <f>G546-I546-K546-M546</f>
        <v>12.258700000000001</v>
      </c>
      <c r="P546" s="29">
        <v>1.2850515</v>
      </c>
      <c r="Q546" s="29">
        <f t="shared" si="205"/>
        <v>12.724080470000001</v>
      </c>
      <c r="R546" s="29">
        <f t="shared" si="206"/>
        <v>-12.724080470000001</v>
      </c>
      <c r="S546" s="31">
        <f t="shared" si="207"/>
        <v>-0.77633667502547299</v>
      </c>
      <c r="T546" s="29" t="s">
        <v>1094</v>
      </c>
    </row>
    <row r="547" spans="1:20" s="1" customFormat="1" ht="31.5" x14ac:dyDescent="0.25">
      <c r="A547" s="26" t="s">
        <v>1064</v>
      </c>
      <c r="B547" s="52" t="s">
        <v>1095</v>
      </c>
      <c r="C547" s="28" t="s">
        <v>1096</v>
      </c>
      <c r="D547" s="29">
        <v>11.666600000000001</v>
      </c>
      <c r="E547" s="29">
        <v>0</v>
      </c>
      <c r="F547" s="29">
        <f>D547-E547</f>
        <v>11.666600000000001</v>
      </c>
      <c r="G547" s="30">
        <v>10.666600000000001</v>
      </c>
      <c r="H547" s="29">
        <f t="shared" si="204"/>
        <v>10.385000000000002</v>
      </c>
      <c r="I547" s="29">
        <v>0</v>
      </c>
      <c r="J547" s="29">
        <v>0</v>
      </c>
      <c r="K547" s="29">
        <v>1.3427633299999999</v>
      </c>
      <c r="L547" s="29">
        <v>1.1691633300000002</v>
      </c>
      <c r="M547" s="29">
        <v>4.6531798500000008</v>
      </c>
      <c r="N547" s="29">
        <f>97.57985/1000</f>
        <v>9.7579849999999996E-2</v>
      </c>
      <c r="O547" s="29">
        <v>4.6706568200000005</v>
      </c>
      <c r="P547" s="29">
        <v>9.1182568200000009</v>
      </c>
      <c r="Q547" s="29">
        <f t="shared" si="205"/>
        <v>1.2815999999999992</v>
      </c>
      <c r="R547" s="29">
        <f t="shared" si="206"/>
        <v>-0.28160000000000096</v>
      </c>
      <c r="S547" s="31">
        <f t="shared" si="207"/>
        <v>-2.6400165001031341E-2</v>
      </c>
      <c r="T547" s="30" t="s">
        <v>32</v>
      </c>
    </row>
    <row r="548" spans="1:20" s="1" customFormat="1" ht="47.25" x14ac:dyDescent="0.25">
      <c r="A548" s="18" t="s">
        <v>1097</v>
      </c>
      <c r="B548" s="22" t="s">
        <v>290</v>
      </c>
      <c r="C548" s="20" t="s">
        <v>31</v>
      </c>
      <c r="D548" s="7">
        <f t="shared" ref="D548:R548" si="208">D549</f>
        <v>0</v>
      </c>
      <c r="E548" s="7">
        <f t="shared" si="208"/>
        <v>0</v>
      </c>
      <c r="F548" s="7">
        <f t="shared" si="208"/>
        <v>0</v>
      </c>
      <c r="G548" s="7">
        <f t="shared" si="208"/>
        <v>0</v>
      </c>
      <c r="H548" s="7">
        <f t="shared" si="208"/>
        <v>0</v>
      </c>
      <c r="I548" s="7">
        <f t="shared" si="208"/>
        <v>0</v>
      </c>
      <c r="J548" s="7">
        <f t="shared" si="208"/>
        <v>0</v>
      </c>
      <c r="K548" s="7">
        <f t="shared" si="208"/>
        <v>0</v>
      </c>
      <c r="L548" s="7">
        <f t="shared" si="208"/>
        <v>0</v>
      </c>
      <c r="M548" s="7">
        <f t="shared" si="208"/>
        <v>0</v>
      </c>
      <c r="N548" s="7">
        <f t="shared" si="208"/>
        <v>0</v>
      </c>
      <c r="O548" s="7">
        <f t="shared" si="208"/>
        <v>0</v>
      </c>
      <c r="P548" s="7">
        <f t="shared" si="208"/>
        <v>0</v>
      </c>
      <c r="Q548" s="7">
        <f t="shared" si="208"/>
        <v>0</v>
      </c>
      <c r="R548" s="7">
        <f t="shared" si="208"/>
        <v>0</v>
      </c>
      <c r="S548" s="21">
        <v>0</v>
      </c>
      <c r="T548" s="7" t="s">
        <v>32</v>
      </c>
    </row>
    <row r="549" spans="1:20" s="1" customFormat="1" x14ac:dyDescent="0.25">
      <c r="A549" s="18" t="s">
        <v>1098</v>
      </c>
      <c r="B549" s="22" t="s">
        <v>300</v>
      </c>
      <c r="C549" s="20" t="s">
        <v>31</v>
      </c>
      <c r="D549" s="7">
        <v>0</v>
      </c>
      <c r="E549" s="7">
        <f t="shared" ref="E549:R549" si="209">E550+E551</f>
        <v>0</v>
      </c>
      <c r="F549" s="7">
        <f t="shared" si="209"/>
        <v>0</v>
      </c>
      <c r="G549" s="7">
        <f t="shared" si="209"/>
        <v>0</v>
      </c>
      <c r="H549" s="7">
        <f t="shared" si="209"/>
        <v>0</v>
      </c>
      <c r="I549" s="7">
        <f t="shared" si="209"/>
        <v>0</v>
      </c>
      <c r="J549" s="7">
        <f t="shared" si="209"/>
        <v>0</v>
      </c>
      <c r="K549" s="7">
        <f t="shared" si="209"/>
        <v>0</v>
      </c>
      <c r="L549" s="7">
        <f t="shared" si="209"/>
        <v>0</v>
      </c>
      <c r="M549" s="7">
        <f t="shared" si="209"/>
        <v>0</v>
      </c>
      <c r="N549" s="7">
        <f t="shared" si="209"/>
        <v>0</v>
      </c>
      <c r="O549" s="7">
        <f t="shared" si="209"/>
        <v>0</v>
      </c>
      <c r="P549" s="7">
        <f t="shared" si="209"/>
        <v>0</v>
      </c>
      <c r="Q549" s="7">
        <f t="shared" si="209"/>
        <v>0</v>
      </c>
      <c r="R549" s="7">
        <f t="shared" si="209"/>
        <v>0</v>
      </c>
      <c r="S549" s="21">
        <v>0</v>
      </c>
      <c r="T549" s="7" t="s">
        <v>32</v>
      </c>
    </row>
    <row r="550" spans="1:20" s="1" customFormat="1" ht="47.25" x14ac:dyDescent="0.25">
      <c r="A550" s="18" t="s">
        <v>1099</v>
      </c>
      <c r="B550" s="22" t="s">
        <v>294</v>
      </c>
      <c r="C550" s="20" t="s">
        <v>31</v>
      </c>
      <c r="D550" s="7">
        <v>0</v>
      </c>
      <c r="E550" s="7">
        <v>0</v>
      </c>
      <c r="F550" s="7">
        <v>0</v>
      </c>
      <c r="G550" s="7">
        <v>0</v>
      </c>
      <c r="H550" s="7">
        <v>0</v>
      </c>
      <c r="I550" s="7">
        <v>0</v>
      </c>
      <c r="J550" s="7"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21">
        <v>0</v>
      </c>
      <c r="T550" s="7" t="s">
        <v>32</v>
      </c>
    </row>
    <row r="551" spans="1:20" s="1" customFormat="1" ht="47.25" x14ac:dyDescent="0.25">
      <c r="A551" s="18" t="s">
        <v>1100</v>
      </c>
      <c r="B551" s="22" t="s">
        <v>296</v>
      </c>
      <c r="C551" s="20" t="s">
        <v>31</v>
      </c>
      <c r="D551" s="7">
        <v>0</v>
      </c>
      <c r="E551" s="7">
        <v>0</v>
      </c>
      <c r="F551" s="7">
        <v>0</v>
      </c>
      <c r="G551" s="7">
        <v>0</v>
      </c>
      <c r="H551" s="7">
        <v>0</v>
      </c>
      <c r="I551" s="7">
        <v>0</v>
      </c>
      <c r="J551" s="7">
        <v>0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21">
        <v>0</v>
      </c>
      <c r="T551" s="7" t="s">
        <v>32</v>
      </c>
    </row>
    <row r="552" spans="1:20" s="1" customFormat="1" x14ac:dyDescent="0.25">
      <c r="A552" s="18" t="s">
        <v>1101</v>
      </c>
      <c r="B552" s="22" t="s">
        <v>300</v>
      </c>
      <c r="C552" s="20" t="s">
        <v>31</v>
      </c>
      <c r="D552" s="7">
        <v>0</v>
      </c>
      <c r="E552" s="7">
        <v>0</v>
      </c>
      <c r="F552" s="7">
        <v>0</v>
      </c>
      <c r="G552" s="7">
        <v>0</v>
      </c>
      <c r="H552" s="7">
        <v>0</v>
      </c>
      <c r="I552" s="7">
        <v>0</v>
      </c>
      <c r="J552" s="7">
        <v>0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21">
        <v>0</v>
      </c>
      <c r="T552" s="7" t="s">
        <v>32</v>
      </c>
    </row>
    <row r="553" spans="1:20" s="1" customFormat="1" ht="47.25" x14ac:dyDescent="0.25">
      <c r="A553" s="18" t="s">
        <v>1102</v>
      </c>
      <c r="B553" s="22" t="s">
        <v>294</v>
      </c>
      <c r="C553" s="20" t="s">
        <v>31</v>
      </c>
      <c r="D553" s="7">
        <v>0</v>
      </c>
      <c r="E553" s="7">
        <v>0</v>
      </c>
      <c r="F553" s="7">
        <v>0</v>
      </c>
      <c r="G553" s="7">
        <v>0</v>
      </c>
      <c r="H553" s="7">
        <v>0</v>
      </c>
      <c r="I553" s="7">
        <v>0</v>
      </c>
      <c r="J553" s="7">
        <v>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21">
        <v>0</v>
      </c>
      <c r="T553" s="7" t="s">
        <v>32</v>
      </c>
    </row>
    <row r="554" spans="1:20" s="1" customFormat="1" ht="47.25" x14ac:dyDescent="0.25">
      <c r="A554" s="18" t="s">
        <v>1103</v>
      </c>
      <c r="B554" s="22" t="s">
        <v>296</v>
      </c>
      <c r="C554" s="20" t="s">
        <v>31</v>
      </c>
      <c r="D554" s="7">
        <v>0</v>
      </c>
      <c r="E554" s="7">
        <v>0</v>
      </c>
      <c r="F554" s="7">
        <v>0</v>
      </c>
      <c r="G554" s="7">
        <v>0</v>
      </c>
      <c r="H554" s="7">
        <v>0</v>
      </c>
      <c r="I554" s="7">
        <v>0</v>
      </c>
      <c r="J554" s="7">
        <v>0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21">
        <v>0</v>
      </c>
      <c r="T554" s="7" t="s">
        <v>32</v>
      </c>
    </row>
    <row r="555" spans="1:20" s="1" customFormat="1" x14ac:dyDescent="0.25">
      <c r="A555" s="18" t="s">
        <v>1104</v>
      </c>
      <c r="B555" s="22" t="s">
        <v>304</v>
      </c>
      <c r="C555" s="20" t="s">
        <v>31</v>
      </c>
      <c r="D555" s="7">
        <f t="shared" ref="D555:R555" si="210">D556+D557+D558+D559</f>
        <v>2608.7736</v>
      </c>
      <c r="E555" s="7">
        <f t="shared" si="210"/>
        <v>0.45</v>
      </c>
      <c r="F555" s="7">
        <f t="shared" si="210"/>
        <v>2608.3236000000002</v>
      </c>
      <c r="G555" s="7">
        <f t="shared" si="210"/>
        <v>18.064499999999999</v>
      </c>
      <c r="H555" s="7">
        <f t="shared" si="210"/>
        <v>1.6871174</v>
      </c>
      <c r="I555" s="7">
        <f t="shared" si="210"/>
        <v>0</v>
      </c>
      <c r="J555" s="7">
        <f t="shared" si="210"/>
        <v>1.5993798100000001</v>
      </c>
      <c r="K555" s="7">
        <f t="shared" si="210"/>
        <v>12.028433447999999</v>
      </c>
      <c r="L555" s="7">
        <f t="shared" si="210"/>
        <v>0</v>
      </c>
      <c r="M555" s="7">
        <f t="shared" si="210"/>
        <v>1.0035665520000001</v>
      </c>
      <c r="N555" s="7">
        <f t="shared" si="210"/>
        <v>0</v>
      </c>
      <c r="O555" s="7">
        <f t="shared" si="210"/>
        <v>5.0324999999999989</v>
      </c>
      <c r="P555" s="7">
        <f t="shared" si="210"/>
        <v>8.7737590000000004E-2</v>
      </c>
      <c r="Q555" s="7">
        <f t="shared" si="210"/>
        <v>2606.6364826000004</v>
      </c>
      <c r="R555" s="7">
        <f t="shared" si="210"/>
        <v>-16.377382599999997</v>
      </c>
      <c r="S555" s="21">
        <f>R555/(I555+K555+M555+O555)</f>
        <v>-0.90660591768385501</v>
      </c>
      <c r="T555" s="7" t="s">
        <v>32</v>
      </c>
    </row>
    <row r="556" spans="1:20" s="1" customFormat="1" ht="31.5" x14ac:dyDescent="0.25">
      <c r="A556" s="18" t="s">
        <v>1105</v>
      </c>
      <c r="B556" s="24" t="s">
        <v>306</v>
      </c>
      <c r="C556" s="24" t="s">
        <v>31</v>
      </c>
      <c r="D556" s="7">
        <v>0</v>
      </c>
      <c r="E556" s="7">
        <v>0</v>
      </c>
      <c r="F556" s="7">
        <v>0</v>
      </c>
      <c r="G556" s="7">
        <v>0</v>
      </c>
      <c r="H556" s="7">
        <v>0</v>
      </c>
      <c r="I556" s="7">
        <v>0</v>
      </c>
      <c r="J556" s="7">
        <v>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21">
        <v>0</v>
      </c>
      <c r="T556" s="7" t="s">
        <v>32</v>
      </c>
    </row>
    <row r="557" spans="1:20" s="1" customFormat="1" x14ac:dyDescent="0.25">
      <c r="A557" s="18" t="s">
        <v>1106</v>
      </c>
      <c r="B557" s="24" t="s">
        <v>308</v>
      </c>
      <c r="C557" s="24" t="s">
        <v>31</v>
      </c>
      <c r="D557" s="25">
        <v>0</v>
      </c>
      <c r="E557" s="25">
        <v>0</v>
      </c>
      <c r="F557" s="25">
        <v>0</v>
      </c>
      <c r="G557" s="25">
        <v>0</v>
      </c>
      <c r="H557" s="25">
        <v>0</v>
      </c>
      <c r="I557" s="25">
        <v>0</v>
      </c>
      <c r="J557" s="25">
        <v>0</v>
      </c>
      <c r="K557" s="25">
        <v>0</v>
      </c>
      <c r="L557" s="25">
        <v>0</v>
      </c>
      <c r="M557" s="25">
        <v>0</v>
      </c>
      <c r="N557" s="25">
        <v>0</v>
      </c>
      <c r="O557" s="25">
        <v>0</v>
      </c>
      <c r="P557" s="25">
        <v>0</v>
      </c>
      <c r="Q557" s="25">
        <v>0</v>
      </c>
      <c r="R557" s="25">
        <v>0</v>
      </c>
      <c r="S557" s="21">
        <v>0</v>
      </c>
      <c r="T557" s="24" t="s">
        <v>32</v>
      </c>
    </row>
    <row r="558" spans="1:20" s="1" customFormat="1" x14ac:dyDescent="0.25">
      <c r="A558" s="18" t="s">
        <v>1107</v>
      </c>
      <c r="B558" s="25" t="s">
        <v>313</v>
      </c>
      <c r="C558" s="25" t="s">
        <v>31</v>
      </c>
      <c r="D558" s="25">
        <v>0</v>
      </c>
      <c r="E558" s="7">
        <v>0</v>
      </c>
      <c r="F558" s="7">
        <v>0</v>
      </c>
      <c r="G558" s="7">
        <v>0</v>
      </c>
      <c r="H558" s="7">
        <v>0</v>
      </c>
      <c r="I558" s="7">
        <v>0</v>
      </c>
      <c r="J558" s="7">
        <v>0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21">
        <v>0</v>
      </c>
      <c r="T558" s="7" t="s">
        <v>32</v>
      </c>
    </row>
    <row r="559" spans="1:20" s="1" customFormat="1" x14ac:dyDescent="0.25">
      <c r="A559" s="18" t="s">
        <v>1108</v>
      </c>
      <c r="B559" s="22" t="s">
        <v>321</v>
      </c>
      <c r="C559" s="20" t="s">
        <v>31</v>
      </c>
      <c r="D559" s="7">
        <f t="shared" ref="D559:R559" si="211">SUM(D560:D560)</f>
        <v>2608.7736</v>
      </c>
      <c r="E559" s="7">
        <f t="shared" si="211"/>
        <v>0.45</v>
      </c>
      <c r="F559" s="7">
        <f t="shared" si="211"/>
        <v>2608.3236000000002</v>
      </c>
      <c r="G559" s="7">
        <f t="shared" si="211"/>
        <v>18.064499999999999</v>
      </c>
      <c r="H559" s="7">
        <f t="shared" si="211"/>
        <v>1.6871174</v>
      </c>
      <c r="I559" s="7">
        <f t="shared" si="211"/>
        <v>0</v>
      </c>
      <c r="J559" s="7">
        <f t="shared" si="211"/>
        <v>1.5993798100000001</v>
      </c>
      <c r="K559" s="7">
        <f t="shared" si="211"/>
        <v>12.028433447999999</v>
      </c>
      <c r="L559" s="7">
        <f t="shared" si="211"/>
        <v>0</v>
      </c>
      <c r="M559" s="7">
        <f t="shared" si="211"/>
        <v>1.0035665520000001</v>
      </c>
      <c r="N559" s="7">
        <f t="shared" si="211"/>
        <v>0</v>
      </c>
      <c r="O559" s="7">
        <f t="shared" si="211"/>
        <v>5.0324999999999989</v>
      </c>
      <c r="P559" s="7">
        <f t="shared" si="211"/>
        <v>8.7737590000000004E-2</v>
      </c>
      <c r="Q559" s="7">
        <f t="shared" si="211"/>
        <v>2606.6364826000004</v>
      </c>
      <c r="R559" s="7">
        <f t="shared" si="211"/>
        <v>-16.377382599999997</v>
      </c>
      <c r="S559" s="21">
        <f>R559/(I559+K559+M559+O559)</f>
        <v>-0.90660591768385501</v>
      </c>
      <c r="T559" s="7" t="s">
        <v>32</v>
      </c>
    </row>
    <row r="560" spans="1:20" s="1" customFormat="1" x14ac:dyDescent="0.25">
      <c r="A560" s="26" t="s">
        <v>1108</v>
      </c>
      <c r="B560" s="27" t="s">
        <v>1109</v>
      </c>
      <c r="C560" s="28" t="s">
        <v>1110</v>
      </c>
      <c r="D560" s="28">
        <v>2608.7736</v>
      </c>
      <c r="E560" s="29">
        <v>0.45</v>
      </c>
      <c r="F560" s="29">
        <f>D560-E560</f>
        <v>2608.3236000000002</v>
      </c>
      <c r="G560" s="30">
        <v>18.064499999999999</v>
      </c>
      <c r="H560" s="29">
        <f>J560+L560+N560+P560</f>
        <v>1.6871174</v>
      </c>
      <c r="I560" s="29">
        <v>0</v>
      </c>
      <c r="J560" s="29">
        <v>1.5993798100000001</v>
      </c>
      <c r="K560" s="29">
        <v>12.028433447999999</v>
      </c>
      <c r="L560" s="29">
        <v>0</v>
      </c>
      <c r="M560" s="29">
        <v>1.0035665520000001</v>
      </c>
      <c r="N560" s="29">
        <v>0</v>
      </c>
      <c r="O560" s="29">
        <f>G560-I560-K560-M560</f>
        <v>5.0324999999999989</v>
      </c>
      <c r="P560" s="29">
        <v>8.7737590000000004E-2</v>
      </c>
      <c r="Q560" s="29">
        <f>F560-H560</f>
        <v>2606.6364826000004</v>
      </c>
      <c r="R560" s="29">
        <f t="shared" ref="R560" si="212">H560-(I560+K560+M560+O560)</f>
        <v>-16.377382599999997</v>
      </c>
      <c r="S560" s="31">
        <f t="shared" ref="S560" si="213">R560/(I560+K560+M560+O560)</f>
        <v>-0.90660591768385501</v>
      </c>
      <c r="T560" s="29" t="s">
        <v>1111</v>
      </c>
    </row>
    <row r="561" spans="1:20" s="1" customFormat="1" ht="31.5" x14ac:dyDescent="0.25">
      <c r="A561" s="18" t="s">
        <v>1112</v>
      </c>
      <c r="B561" s="22" t="s">
        <v>339</v>
      </c>
      <c r="C561" s="20" t="s">
        <v>31</v>
      </c>
      <c r="D561" s="7">
        <v>0</v>
      </c>
      <c r="E561" s="7">
        <v>0</v>
      </c>
      <c r="F561" s="7">
        <v>0</v>
      </c>
      <c r="G561" s="7">
        <v>0</v>
      </c>
      <c r="H561" s="7">
        <v>0</v>
      </c>
      <c r="I561" s="7">
        <v>0</v>
      </c>
      <c r="J561" s="7"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21">
        <v>0</v>
      </c>
      <c r="T561" s="7" t="s">
        <v>32</v>
      </c>
    </row>
    <row r="562" spans="1:20" s="1" customFormat="1" x14ac:dyDescent="0.25">
      <c r="A562" s="18" t="s">
        <v>1113</v>
      </c>
      <c r="B562" s="22" t="s">
        <v>341</v>
      </c>
      <c r="C562" s="20" t="s">
        <v>31</v>
      </c>
      <c r="D562" s="7">
        <f t="shared" ref="D562:R562" si="214">SUM(D563:D580,)</f>
        <v>167.884195132</v>
      </c>
      <c r="E562" s="7">
        <f t="shared" si="214"/>
        <v>88.546718850000005</v>
      </c>
      <c r="F562" s="7">
        <f t="shared" si="214"/>
        <v>79.337476281999997</v>
      </c>
      <c r="G562" s="7">
        <f t="shared" si="214"/>
        <v>74.397076282000015</v>
      </c>
      <c r="H562" s="7">
        <f t="shared" si="214"/>
        <v>63.206030730000009</v>
      </c>
      <c r="I562" s="7">
        <f t="shared" si="214"/>
        <v>0</v>
      </c>
      <c r="J562" s="7">
        <f t="shared" si="214"/>
        <v>0.19865624000000001</v>
      </c>
      <c r="K562" s="7">
        <f t="shared" si="214"/>
        <v>0</v>
      </c>
      <c r="L562" s="7">
        <f t="shared" si="214"/>
        <v>47.040087640000003</v>
      </c>
      <c r="M562" s="7">
        <f t="shared" si="214"/>
        <v>0</v>
      </c>
      <c r="N562" s="7">
        <f t="shared" si="214"/>
        <v>0.376272</v>
      </c>
      <c r="O562" s="7">
        <f t="shared" si="214"/>
        <v>74.397076282000015</v>
      </c>
      <c r="P562" s="7">
        <f t="shared" si="214"/>
        <v>15.591014850000001</v>
      </c>
      <c r="Q562" s="7">
        <f t="shared" si="214"/>
        <v>16.381458031999998</v>
      </c>
      <c r="R562" s="7">
        <f t="shared" si="214"/>
        <v>-11.441058032000004</v>
      </c>
      <c r="S562" s="21">
        <f>R562/(I562+K562+M562+O562)</f>
        <v>-0.15378370500250571</v>
      </c>
      <c r="T562" s="7" t="s">
        <v>32</v>
      </c>
    </row>
    <row r="563" spans="1:20" s="1" customFormat="1" ht="63" x14ac:dyDescent="0.25">
      <c r="A563" s="26" t="s">
        <v>1113</v>
      </c>
      <c r="B563" s="27" t="s">
        <v>1114</v>
      </c>
      <c r="C563" s="45" t="s">
        <v>1115</v>
      </c>
      <c r="D563" s="28" t="s">
        <v>32</v>
      </c>
      <c r="E563" s="7" t="s">
        <v>32</v>
      </c>
      <c r="F563" s="7" t="s">
        <v>32</v>
      </c>
      <c r="G563" s="7" t="s">
        <v>32</v>
      </c>
      <c r="H563" s="7">
        <f t="shared" ref="H563:H580" si="215">J563+L563+N563+P563</f>
        <v>0.25001248000000004</v>
      </c>
      <c r="I563" s="7" t="s">
        <v>32</v>
      </c>
      <c r="J563" s="7">
        <v>0</v>
      </c>
      <c r="K563" s="7" t="s">
        <v>32</v>
      </c>
      <c r="L563" s="7">
        <v>0</v>
      </c>
      <c r="M563" s="7" t="s">
        <v>32</v>
      </c>
      <c r="N563" s="7">
        <v>0</v>
      </c>
      <c r="O563" s="7" t="s">
        <v>32</v>
      </c>
      <c r="P563" s="7">
        <v>0.25001248000000004</v>
      </c>
      <c r="Q563" s="7" t="s">
        <v>32</v>
      </c>
      <c r="R563" s="7" t="s">
        <v>32</v>
      </c>
      <c r="S563" s="21" t="s">
        <v>32</v>
      </c>
      <c r="T563" s="29" t="s">
        <v>1116</v>
      </c>
    </row>
    <row r="564" spans="1:20" s="1" customFormat="1" ht="47.25" x14ac:dyDescent="0.25">
      <c r="A564" s="26" t="s">
        <v>1113</v>
      </c>
      <c r="B564" s="34" t="s">
        <v>1117</v>
      </c>
      <c r="C564" s="30" t="s">
        <v>1118</v>
      </c>
      <c r="D564" s="28">
        <v>2.4000035999999998</v>
      </c>
      <c r="E564" s="29">
        <v>0</v>
      </c>
      <c r="F564" s="29">
        <v>2.4000035999999998</v>
      </c>
      <c r="G564" s="30">
        <v>2.4000035999999998</v>
      </c>
      <c r="H564" s="29">
        <f t="shared" si="215"/>
        <v>2.01267</v>
      </c>
      <c r="I564" s="29">
        <v>0</v>
      </c>
      <c r="J564" s="29">
        <v>0</v>
      </c>
      <c r="K564" s="29">
        <v>0</v>
      </c>
      <c r="L564" s="29">
        <v>0</v>
      </c>
      <c r="M564" s="29">
        <v>0</v>
      </c>
      <c r="N564" s="29">
        <v>0</v>
      </c>
      <c r="O564" s="29">
        <v>2.4000035999999998</v>
      </c>
      <c r="P564" s="29">
        <v>2.01267</v>
      </c>
      <c r="Q564" s="29">
        <f t="shared" ref="Q564:Q580" si="216">F564-H564</f>
        <v>0.38733359999999983</v>
      </c>
      <c r="R564" s="29">
        <f t="shared" ref="R564:R580" si="217">H564-(I564+K564+M564+O564)</f>
        <v>-0.38733359999999983</v>
      </c>
      <c r="S564" s="31">
        <f t="shared" ref="S564:S580" si="218">R564/(I564+K564+M564+O564)</f>
        <v>-0.16138875791686308</v>
      </c>
      <c r="T564" s="29" t="s">
        <v>1119</v>
      </c>
    </row>
    <row r="565" spans="1:20" s="1" customFormat="1" ht="31.5" x14ac:dyDescent="0.25">
      <c r="A565" s="26" t="s">
        <v>1113</v>
      </c>
      <c r="B565" s="34" t="s">
        <v>1120</v>
      </c>
      <c r="C565" s="30" t="s">
        <v>1121</v>
      </c>
      <c r="D565" s="30">
        <v>22.983679989999999</v>
      </c>
      <c r="E565" s="29">
        <v>13.72327999</v>
      </c>
      <c r="F565" s="29">
        <f t="shared" ref="F565:F575" si="219">D565-E565</f>
        <v>9.2603999999999989</v>
      </c>
      <c r="G565" s="30">
        <v>4.32</v>
      </c>
      <c r="H565" s="29">
        <f t="shared" si="215"/>
        <v>4.3</v>
      </c>
      <c r="I565" s="29">
        <v>0</v>
      </c>
      <c r="J565" s="29">
        <v>0</v>
      </c>
      <c r="K565" s="29">
        <v>0</v>
      </c>
      <c r="L565" s="29">
        <v>0</v>
      </c>
      <c r="M565" s="29">
        <v>0</v>
      </c>
      <c r="N565" s="29">
        <v>0</v>
      </c>
      <c r="O565" s="29">
        <v>4.32</v>
      </c>
      <c r="P565" s="29">
        <v>4.3</v>
      </c>
      <c r="Q565" s="29">
        <f t="shared" si="216"/>
        <v>4.960399999999999</v>
      </c>
      <c r="R565" s="29">
        <f t="shared" si="217"/>
        <v>-2.0000000000000462E-2</v>
      </c>
      <c r="S565" s="31">
        <f t="shared" si="218"/>
        <v>-4.6296296296297361E-3</v>
      </c>
      <c r="T565" s="29" t="s">
        <v>32</v>
      </c>
    </row>
    <row r="566" spans="1:20" s="1" customFormat="1" ht="38.25" customHeight="1" x14ac:dyDescent="0.25">
      <c r="A566" s="26" t="s">
        <v>1113</v>
      </c>
      <c r="B566" s="34" t="s">
        <v>1122</v>
      </c>
      <c r="C566" s="30" t="s">
        <v>1123</v>
      </c>
      <c r="D566" s="28">
        <v>2.8891212359999998</v>
      </c>
      <c r="E566" s="29">
        <v>0</v>
      </c>
      <c r="F566" s="29">
        <v>2.8891212359999998</v>
      </c>
      <c r="G566" s="30">
        <v>2.8891212359999998</v>
      </c>
      <c r="H566" s="29">
        <f t="shared" si="215"/>
        <v>0</v>
      </c>
      <c r="I566" s="29">
        <v>0</v>
      </c>
      <c r="J566" s="29">
        <v>0</v>
      </c>
      <c r="K566" s="29">
        <v>0</v>
      </c>
      <c r="L566" s="29">
        <v>0</v>
      </c>
      <c r="M566" s="29">
        <v>0</v>
      </c>
      <c r="N566" s="29">
        <v>0</v>
      </c>
      <c r="O566" s="29">
        <v>2.8891212359999998</v>
      </c>
      <c r="P566" s="29">
        <v>0</v>
      </c>
      <c r="Q566" s="29">
        <f t="shared" si="216"/>
        <v>2.8891212359999998</v>
      </c>
      <c r="R566" s="29">
        <f t="shared" si="217"/>
        <v>-2.8891212359999998</v>
      </c>
      <c r="S566" s="31">
        <f t="shared" si="218"/>
        <v>-1</v>
      </c>
      <c r="T566" s="29" t="s">
        <v>1124</v>
      </c>
    </row>
    <row r="567" spans="1:20" s="1" customFormat="1" x14ac:dyDescent="0.25">
      <c r="A567" s="26" t="s">
        <v>1113</v>
      </c>
      <c r="B567" s="34" t="s">
        <v>1125</v>
      </c>
      <c r="C567" s="30" t="s">
        <v>1126</v>
      </c>
      <c r="D567" s="30">
        <v>9.2520000000000007</v>
      </c>
      <c r="E567" s="29">
        <v>0</v>
      </c>
      <c r="F567" s="29">
        <f t="shared" si="219"/>
        <v>9.2520000000000007</v>
      </c>
      <c r="G567" s="30">
        <v>9.2520000000000007</v>
      </c>
      <c r="H567" s="29">
        <f t="shared" si="215"/>
        <v>6.82578</v>
      </c>
      <c r="I567" s="29">
        <v>0</v>
      </c>
      <c r="J567" s="29">
        <v>0</v>
      </c>
      <c r="K567" s="29">
        <v>0</v>
      </c>
      <c r="L567" s="29">
        <v>0</v>
      </c>
      <c r="M567" s="29">
        <v>0</v>
      </c>
      <c r="N567" s="29">
        <v>0</v>
      </c>
      <c r="O567" s="29">
        <v>9.2520000000000007</v>
      </c>
      <c r="P567" s="29">
        <v>6.82578</v>
      </c>
      <c r="Q567" s="29">
        <f t="shared" si="216"/>
        <v>2.4262200000000007</v>
      </c>
      <c r="R567" s="29">
        <f t="shared" si="217"/>
        <v>-2.4262200000000007</v>
      </c>
      <c r="S567" s="31">
        <f t="shared" si="218"/>
        <v>-0.26223735408560317</v>
      </c>
      <c r="T567" s="29" t="s">
        <v>1119</v>
      </c>
    </row>
    <row r="568" spans="1:20" s="1" customFormat="1" ht="31.5" x14ac:dyDescent="0.25">
      <c r="A568" s="26" t="s">
        <v>1113</v>
      </c>
      <c r="B568" s="34" t="s">
        <v>1127</v>
      </c>
      <c r="C568" s="30" t="s">
        <v>1128</v>
      </c>
      <c r="D568" s="28">
        <v>115.215589902</v>
      </c>
      <c r="E568" s="29">
        <v>74.82343886000001</v>
      </c>
      <c r="F568" s="29">
        <f t="shared" si="219"/>
        <v>40.392151041999995</v>
      </c>
      <c r="G568" s="30">
        <v>40.392151042000002</v>
      </c>
      <c r="H568" s="29">
        <f t="shared" si="215"/>
        <v>40.392151040000002</v>
      </c>
      <c r="I568" s="29">
        <v>0</v>
      </c>
      <c r="J568" s="29">
        <v>0.19865624000000001</v>
      </c>
      <c r="K568" s="29">
        <v>0</v>
      </c>
      <c r="L568" s="29">
        <v>40.193494800000003</v>
      </c>
      <c r="M568" s="29">
        <v>0</v>
      </c>
      <c r="N568" s="29">
        <v>0</v>
      </c>
      <c r="O568" s="29">
        <v>40.392151042000002</v>
      </c>
      <c r="P568" s="29">
        <v>0</v>
      </c>
      <c r="Q568" s="29">
        <f t="shared" si="216"/>
        <v>1.9999930600533844E-9</v>
      </c>
      <c r="R568" s="29">
        <f t="shared" si="217"/>
        <v>-2.000000165480742E-9</v>
      </c>
      <c r="S568" s="31">
        <f t="shared" si="218"/>
        <v>-4.9514574338988033E-11</v>
      </c>
      <c r="T568" s="29" t="s">
        <v>32</v>
      </c>
    </row>
    <row r="569" spans="1:20" s="1" customFormat="1" ht="31.5" x14ac:dyDescent="0.25">
      <c r="A569" s="26" t="s">
        <v>1113</v>
      </c>
      <c r="B569" s="34" t="s">
        <v>1129</v>
      </c>
      <c r="C569" s="30" t="s">
        <v>1130</v>
      </c>
      <c r="D569" s="28">
        <v>1.02</v>
      </c>
      <c r="E569" s="29">
        <v>0</v>
      </c>
      <c r="F569" s="29">
        <f t="shared" si="219"/>
        <v>1.02</v>
      </c>
      <c r="G569" s="30">
        <v>1.02</v>
      </c>
      <c r="H569" s="29">
        <f t="shared" si="215"/>
        <v>1.0178929999999999</v>
      </c>
      <c r="I569" s="29">
        <v>0</v>
      </c>
      <c r="J569" s="29">
        <v>0</v>
      </c>
      <c r="K569" s="29">
        <v>0</v>
      </c>
      <c r="L569" s="29">
        <v>1.0178929999999999</v>
      </c>
      <c r="M569" s="29">
        <v>0</v>
      </c>
      <c r="N569" s="29">
        <v>0</v>
      </c>
      <c r="O569" s="29">
        <v>1.02</v>
      </c>
      <c r="P569" s="29">
        <v>0</v>
      </c>
      <c r="Q569" s="29">
        <f t="shared" si="216"/>
        <v>2.107000000000081E-3</v>
      </c>
      <c r="R569" s="29">
        <f t="shared" si="217"/>
        <v>-2.107000000000081E-3</v>
      </c>
      <c r="S569" s="31">
        <f t="shared" si="218"/>
        <v>-2.0656862745098833E-3</v>
      </c>
      <c r="T569" s="29" t="s">
        <v>32</v>
      </c>
    </row>
    <row r="570" spans="1:20" s="1" customFormat="1" ht="31.5" x14ac:dyDescent="0.25">
      <c r="A570" s="26" t="s">
        <v>1113</v>
      </c>
      <c r="B570" s="34" t="s">
        <v>1131</v>
      </c>
      <c r="C570" s="30" t="s">
        <v>1132</v>
      </c>
      <c r="D570" s="28">
        <v>0.376272</v>
      </c>
      <c r="E570" s="29">
        <v>0</v>
      </c>
      <c r="F570" s="29">
        <f t="shared" si="219"/>
        <v>0.376272</v>
      </c>
      <c r="G570" s="30">
        <v>0.376272</v>
      </c>
      <c r="H570" s="29">
        <f t="shared" si="215"/>
        <v>0.376272</v>
      </c>
      <c r="I570" s="29">
        <v>0</v>
      </c>
      <c r="J570" s="29">
        <v>0</v>
      </c>
      <c r="K570" s="29">
        <v>0</v>
      </c>
      <c r="L570" s="29">
        <v>0</v>
      </c>
      <c r="M570" s="29">
        <v>0</v>
      </c>
      <c r="N570" s="29">
        <f>376.272/1000</f>
        <v>0.376272</v>
      </c>
      <c r="O570" s="29">
        <v>0.376272</v>
      </c>
      <c r="P570" s="29">
        <v>0</v>
      </c>
      <c r="Q570" s="29">
        <f t="shared" si="216"/>
        <v>0</v>
      </c>
      <c r="R570" s="29">
        <f t="shared" si="217"/>
        <v>0</v>
      </c>
      <c r="S570" s="31">
        <f t="shared" si="218"/>
        <v>0</v>
      </c>
      <c r="T570" s="29" t="s">
        <v>32</v>
      </c>
    </row>
    <row r="571" spans="1:20" s="1" customFormat="1" ht="31.5" x14ac:dyDescent="0.25">
      <c r="A571" s="26" t="s">
        <v>1113</v>
      </c>
      <c r="B571" s="34" t="s">
        <v>1133</v>
      </c>
      <c r="C571" s="30" t="s">
        <v>1134</v>
      </c>
      <c r="D571" s="28">
        <v>0.79322040000000005</v>
      </c>
      <c r="E571" s="29">
        <v>0</v>
      </c>
      <c r="F571" s="29">
        <f t="shared" si="219"/>
        <v>0.79322040000000005</v>
      </c>
      <c r="G571" s="30">
        <v>0.79322040000000005</v>
      </c>
      <c r="H571" s="29">
        <f t="shared" si="215"/>
        <v>0.79322040000000005</v>
      </c>
      <c r="I571" s="29">
        <v>0</v>
      </c>
      <c r="J571" s="29">
        <v>0</v>
      </c>
      <c r="K571" s="29">
        <v>0</v>
      </c>
      <c r="L571" s="29">
        <v>0</v>
      </c>
      <c r="M571" s="29">
        <v>0</v>
      </c>
      <c r="N571" s="29">
        <v>0</v>
      </c>
      <c r="O571" s="29">
        <v>0.79322040000000005</v>
      </c>
      <c r="P571" s="29">
        <v>0.79322040000000005</v>
      </c>
      <c r="Q571" s="29">
        <f t="shared" si="216"/>
        <v>0</v>
      </c>
      <c r="R571" s="29">
        <f t="shared" si="217"/>
        <v>0</v>
      </c>
      <c r="S571" s="31">
        <f t="shared" si="218"/>
        <v>0</v>
      </c>
      <c r="T571" s="29" t="s">
        <v>32</v>
      </c>
    </row>
    <row r="572" spans="1:20" s="1" customFormat="1" ht="31.5" x14ac:dyDescent="0.25">
      <c r="A572" s="26" t="s">
        <v>1113</v>
      </c>
      <c r="B572" s="34" t="s">
        <v>1135</v>
      </c>
      <c r="C572" s="30" t="s">
        <v>1136</v>
      </c>
      <c r="D572" s="28">
        <v>0.75253560000000008</v>
      </c>
      <c r="E572" s="29">
        <v>0</v>
      </c>
      <c r="F572" s="29">
        <f t="shared" si="219"/>
        <v>0.75253560000000008</v>
      </c>
      <c r="G572" s="30">
        <v>0.75253560000000008</v>
      </c>
      <c r="H572" s="29">
        <f t="shared" si="215"/>
        <v>0.75253560000000008</v>
      </c>
      <c r="I572" s="29">
        <v>0</v>
      </c>
      <c r="J572" s="29">
        <v>0</v>
      </c>
      <c r="K572" s="29">
        <v>0</v>
      </c>
      <c r="L572" s="29">
        <v>0</v>
      </c>
      <c r="M572" s="29">
        <v>0</v>
      </c>
      <c r="N572" s="29">
        <v>0</v>
      </c>
      <c r="O572" s="29">
        <v>0.75253560000000008</v>
      </c>
      <c r="P572" s="29">
        <v>0.75253560000000008</v>
      </c>
      <c r="Q572" s="29">
        <f t="shared" si="216"/>
        <v>0</v>
      </c>
      <c r="R572" s="29">
        <f t="shared" si="217"/>
        <v>0</v>
      </c>
      <c r="S572" s="31">
        <f t="shared" si="218"/>
        <v>0</v>
      </c>
      <c r="T572" s="29" t="s">
        <v>32</v>
      </c>
    </row>
    <row r="573" spans="1:20" s="1" customFormat="1" ht="31.5" x14ac:dyDescent="0.25">
      <c r="A573" s="26" t="s">
        <v>1113</v>
      </c>
      <c r="B573" s="34" t="s">
        <v>1137</v>
      </c>
      <c r="C573" s="30" t="s">
        <v>1138</v>
      </c>
      <c r="D573" s="28">
        <v>4.2119999999999997</v>
      </c>
      <c r="E573" s="29">
        <v>0</v>
      </c>
      <c r="F573" s="29">
        <f t="shared" si="219"/>
        <v>4.2119999999999997</v>
      </c>
      <c r="G573" s="30">
        <v>4.2119999999999997</v>
      </c>
      <c r="H573" s="29">
        <f t="shared" si="215"/>
        <v>0</v>
      </c>
      <c r="I573" s="29">
        <v>0</v>
      </c>
      <c r="J573" s="29">
        <v>0</v>
      </c>
      <c r="K573" s="29">
        <v>0</v>
      </c>
      <c r="L573" s="29">
        <v>0</v>
      </c>
      <c r="M573" s="29">
        <v>0</v>
      </c>
      <c r="N573" s="29">
        <v>0</v>
      </c>
      <c r="O573" s="29">
        <v>4.2119999999999997</v>
      </c>
      <c r="P573" s="29">
        <v>0</v>
      </c>
      <c r="Q573" s="29">
        <f t="shared" si="216"/>
        <v>4.2119999999999997</v>
      </c>
      <c r="R573" s="29">
        <f t="shared" si="217"/>
        <v>-4.2119999999999997</v>
      </c>
      <c r="S573" s="31">
        <f t="shared" si="218"/>
        <v>-1</v>
      </c>
      <c r="T573" s="29" t="s">
        <v>1124</v>
      </c>
    </row>
    <row r="574" spans="1:20" s="1" customFormat="1" ht="31.5" x14ac:dyDescent="0.25">
      <c r="A574" s="26" t="s">
        <v>1113</v>
      </c>
      <c r="B574" s="34" t="s">
        <v>1139</v>
      </c>
      <c r="C574" s="30" t="s">
        <v>1140</v>
      </c>
      <c r="D574" s="28">
        <v>0.99661199999999994</v>
      </c>
      <c r="E574" s="29">
        <v>0</v>
      </c>
      <c r="F574" s="29">
        <f t="shared" si="219"/>
        <v>0.99661199999999994</v>
      </c>
      <c r="G574" s="30">
        <v>0.99661199999999994</v>
      </c>
      <c r="H574" s="29">
        <f t="shared" si="215"/>
        <v>1.044</v>
      </c>
      <c r="I574" s="29">
        <v>0</v>
      </c>
      <c r="J574" s="29">
        <v>0</v>
      </c>
      <c r="K574" s="29">
        <v>0</v>
      </c>
      <c r="L574" s="29">
        <v>1.044</v>
      </c>
      <c r="M574" s="29">
        <v>0</v>
      </c>
      <c r="N574" s="29">
        <v>0</v>
      </c>
      <c r="O574" s="29">
        <v>0.99661199999999994</v>
      </c>
      <c r="P574" s="29">
        <v>0</v>
      </c>
      <c r="Q574" s="29">
        <f t="shared" si="216"/>
        <v>-4.7388000000000097E-2</v>
      </c>
      <c r="R574" s="29">
        <f t="shared" si="217"/>
        <v>4.7388000000000097E-2</v>
      </c>
      <c r="S574" s="31">
        <f t="shared" si="218"/>
        <v>4.7549096338394582E-2</v>
      </c>
      <c r="T574" s="29" t="s">
        <v>154</v>
      </c>
    </row>
    <row r="575" spans="1:20" s="1" customFormat="1" ht="25.15" customHeight="1" x14ac:dyDescent="0.25">
      <c r="A575" s="26" t="s">
        <v>1113</v>
      </c>
      <c r="B575" s="34" t="s">
        <v>1141</v>
      </c>
      <c r="C575" s="30" t="s">
        <v>1142</v>
      </c>
      <c r="D575" s="28">
        <v>0.78479999999999994</v>
      </c>
      <c r="E575" s="29">
        <v>0</v>
      </c>
      <c r="F575" s="29">
        <f t="shared" si="219"/>
        <v>0.78479999999999994</v>
      </c>
      <c r="G575" s="30">
        <v>0.78479999999999994</v>
      </c>
      <c r="H575" s="29">
        <f t="shared" si="215"/>
        <v>0.56629636999999999</v>
      </c>
      <c r="I575" s="29">
        <v>0</v>
      </c>
      <c r="J575" s="29">
        <v>0</v>
      </c>
      <c r="K575" s="29">
        <v>0</v>
      </c>
      <c r="L575" s="29">
        <v>0</v>
      </c>
      <c r="M575" s="29">
        <v>0</v>
      </c>
      <c r="N575" s="29">
        <v>0</v>
      </c>
      <c r="O575" s="29">
        <v>0.78479999999999994</v>
      </c>
      <c r="P575" s="29">
        <v>0.56629636999999999</v>
      </c>
      <c r="Q575" s="29">
        <f t="shared" si="216"/>
        <v>0.21850362999999995</v>
      </c>
      <c r="R575" s="29">
        <f t="shared" si="217"/>
        <v>-0.21850362999999995</v>
      </c>
      <c r="S575" s="31">
        <f t="shared" si="218"/>
        <v>-0.27841950815494387</v>
      </c>
      <c r="T575" s="29" t="s">
        <v>1119</v>
      </c>
    </row>
    <row r="576" spans="1:20" s="1" customFormat="1" ht="60.75" customHeight="1" x14ac:dyDescent="0.25">
      <c r="A576" s="26" t="s">
        <v>1113</v>
      </c>
      <c r="B576" s="34" t="s">
        <v>1143</v>
      </c>
      <c r="C576" s="30" t="s">
        <v>1144</v>
      </c>
      <c r="D576" s="28">
        <v>0.190509348</v>
      </c>
      <c r="E576" s="29">
        <v>0</v>
      </c>
      <c r="F576" s="29">
        <v>0.190509348</v>
      </c>
      <c r="G576" s="30">
        <v>0.190509348</v>
      </c>
      <c r="H576" s="29">
        <f t="shared" si="215"/>
        <v>0</v>
      </c>
      <c r="I576" s="29">
        <v>0</v>
      </c>
      <c r="J576" s="29">
        <v>0</v>
      </c>
      <c r="K576" s="29">
        <v>0</v>
      </c>
      <c r="L576" s="29">
        <v>0</v>
      </c>
      <c r="M576" s="29">
        <v>0</v>
      </c>
      <c r="N576" s="29">
        <v>0</v>
      </c>
      <c r="O576" s="29">
        <v>0.190509348</v>
      </c>
      <c r="P576" s="29">
        <v>0</v>
      </c>
      <c r="Q576" s="29">
        <f t="shared" si="216"/>
        <v>0.190509348</v>
      </c>
      <c r="R576" s="29">
        <f t="shared" si="217"/>
        <v>-0.190509348</v>
      </c>
      <c r="S576" s="31">
        <f t="shared" si="218"/>
        <v>-1</v>
      </c>
      <c r="T576" s="29" t="s">
        <v>1124</v>
      </c>
    </row>
    <row r="577" spans="1:20" s="1" customFormat="1" ht="47.25" customHeight="1" x14ac:dyDescent="0.25">
      <c r="A577" s="26" t="s">
        <v>1113</v>
      </c>
      <c r="B577" s="34" t="s">
        <v>1145</v>
      </c>
      <c r="C577" s="30" t="s">
        <v>1146</v>
      </c>
      <c r="D577" s="28">
        <v>0.19840005600000002</v>
      </c>
      <c r="E577" s="29">
        <v>0</v>
      </c>
      <c r="F577" s="29">
        <v>0.19840005600000002</v>
      </c>
      <c r="G577" s="30">
        <v>0.19840005600000002</v>
      </c>
      <c r="H577" s="29">
        <f t="shared" si="215"/>
        <v>9.0499999999999997E-2</v>
      </c>
      <c r="I577" s="29">
        <v>0</v>
      </c>
      <c r="J577" s="29">
        <v>0</v>
      </c>
      <c r="K577" s="29">
        <v>0</v>
      </c>
      <c r="L577" s="29">
        <v>0</v>
      </c>
      <c r="M577" s="29">
        <v>0</v>
      </c>
      <c r="N577" s="29">
        <v>0</v>
      </c>
      <c r="O577" s="29">
        <v>0.19840005600000002</v>
      </c>
      <c r="P577" s="29">
        <v>9.0499999999999997E-2</v>
      </c>
      <c r="Q577" s="29">
        <f t="shared" si="216"/>
        <v>0.10790005600000002</v>
      </c>
      <c r="R577" s="29">
        <f t="shared" si="217"/>
        <v>-0.10790005600000002</v>
      </c>
      <c r="S577" s="31">
        <f t="shared" si="218"/>
        <v>-0.54385093520336514</v>
      </c>
      <c r="T577" s="29" t="s">
        <v>1124</v>
      </c>
    </row>
    <row r="578" spans="1:20" s="1" customFormat="1" ht="30" customHeight="1" x14ac:dyDescent="0.25">
      <c r="A578" s="26" t="s">
        <v>1113</v>
      </c>
      <c r="B578" s="27" t="s">
        <v>1147</v>
      </c>
      <c r="C578" s="28" t="s">
        <v>1148</v>
      </c>
      <c r="D578" s="28">
        <v>0.147790584</v>
      </c>
      <c r="E578" s="29">
        <v>0</v>
      </c>
      <c r="F578" s="29">
        <v>0.147790584</v>
      </c>
      <c r="G578" s="29">
        <v>0.147790584</v>
      </c>
      <c r="H578" s="29">
        <f t="shared" si="215"/>
        <v>0.14499999999999999</v>
      </c>
      <c r="I578" s="29">
        <v>0</v>
      </c>
      <c r="J578" s="29">
        <v>0</v>
      </c>
      <c r="K578" s="29">
        <v>0</v>
      </c>
      <c r="L578" s="29">
        <v>0.14499999999999999</v>
      </c>
      <c r="M578" s="29">
        <v>0</v>
      </c>
      <c r="N578" s="29">
        <v>0</v>
      </c>
      <c r="O578" s="29">
        <v>0.147790584</v>
      </c>
      <c r="P578" s="29">
        <v>0</v>
      </c>
      <c r="Q578" s="29">
        <f t="shared" si="216"/>
        <v>2.7905840000000126E-3</v>
      </c>
      <c r="R578" s="29">
        <f t="shared" si="217"/>
        <v>-2.7905840000000126E-3</v>
      </c>
      <c r="S578" s="31">
        <f t="shared" si="218"/>
        <v>-1.8882014837968381E-2</v>
      </c>
      <c r="T578" s="29" t="s">
        <v>32</v>
      </c>
    </row>
    <row r="579" spans="1:20" s="1" customFormat="1" ht="56.25" customHeight="1" x14ac:dyDescent="0.25">
      <c r="A579" s="26" t="s">
        <v>1113</v>
      </c>
      <c r="B579" s="34" t="s">
        <v>1149</v>
      </c>
      <c r="C579" s="30" t="s">
        <v>1150</v>
      </c>
      <c r="D579" s="28">
        <v>0.104021616</v>
      </c>
      <c r="E579" s="29">
        <v>0</v>
      </c>
      <c r="F579" s="29">
        <v>0.104021616</v>
      </c>
      <c r="G579" s="30">
        <v>0.104021616</v>
      </c>
      <c r="H579" s="29">
        <f t="shared" si="215"/>
        <v>0</v>
      </c>
      <c r="I579" s="29">
        <v>0</v>
      </c>
      <c r="J579" s="29">
        <v>0</v>
      </c>
      <c r="K579" s="29">
        <v>0</v>
      </c>
      <c r="L579" s="29">
        <v>0</v>
      </c>
      <c r="M579" s="29">
        <v>0</v>
      </c>
      <c r="N579" s="29">
        <v>0</v>
      </c>
      <c r="O579" s="29">
        <v>0.104021616</v>
      </c>
      <c r="P579" s="29">
        <v>0</v>
      </c>
      <c r="Q579" s="29">
        <f t="shared" si="216"/>
        <v>0.104021616</v>
      </c>
      <c r="R579" s="29">
        <f t="shared" si="217"/>
        <v>-0.104021616</v>
      </c>
      <c r="S579" s="31">
        <f t="shared" si="218"/>
        <v>-1</v>
      </c>
      <c r="T579" s="29" t="s">
        <v>1124</v>
      </c>
    </row>
    <row r="580" spans="1:20" s="1" customFormat="1" ht="31.5" x14ac:dyDescent="0.25">
      <c r="A580" s="26" t="s">
        <v>1113</v>
      </c>
      <c r="B580" s="27" t="s">
        <v>1151</v>
      </c>
      <c r="C580" s="28" t="s">
        <v>1152</v>
      </c>
      <c r="D580" s="28">
        <v>5.5676388000000001</v>
      </c>
      <c r="E580" s="29">
        <v>0</v>
      </c>
      <c r="F580" s="29">
        <v>5.5676388000000001</v>
      </c>
      <c r="G580" s="29">
        <v>5.5676388000000001</v>
      </c>
      <c r="H580" s="29">
        <f t="shared" si="215"/>
        <v>4.6396998399999996</v>
      </c>
      <c r="I580" s="29">
        <v>0</v>
      </c>
      <c r="J580" s="29">
        <v>0</v>
      </c>
      <c r="K580" s="29">
        <v>0</v>
      </c>
      <c r="L580" s="29">
        <v>4.6396998399999996</v>
      </c>
      <c r="M580" s="29">
        <v>0</v>
      </c>
      <c r="N580" s="29">
        <v>0</v>
      </c>
      <c r="O580" s="29">
        <v>5.5676388000000001</v>
      </c>
      <c r="P580" s="29">
        <v>0</v>
      </c>
      <c r="Q580" s="29">
        <f t="shared" si="216"/>
        <v>0.92793896000000053</v>
      </c>
      <c r="R580" s="29">
        <f t="shared" si="217"/>
        <v>-0.92793896000000053</v>
      </c>
      <c r="S580" s="31">
        <f t="shared" si="218"/>
        <v>-0.16666651579481062</v>
      </c>
      <c r="T580" s="29" t="s">
        <v>1153</v>
      </c>
    </row>
    <row r="581" spans="1:20" s="1" customFormat="1" x14ac:dyDescent="0.25">
      <c r="A581" s="18" t="s">
        <v>1154</v>
      </c>
      <c r="B581" s="24" t="s">
        <v>1155</v>
      </c>
      <c r="C581" s="24" t="s">
        <v>31</v>
      </c>
      <c r="D581" s="24">
        <f t="shared" ref="D581:R581" si="220">SUM(D582,D597,D604,D612,D619,D624,D625)</f>
        <v>720.29959286802227</v>
      </c>
      <c r="E581" s="7">
        <f t="shared" si="220"/>
        <v>184.29277180000003</v>
      </c>
      <c r="F581" s="7">
        <f t="shared" si="220"/>
        <v>536.0068210680223</v>
      </c>
      <c r="G581" s="7">
        <f t="shared" si="220"/>
        <v>50.40066283035604</v>
      </c>
      <c r="H581" s="7">
        <f t="shared" si="220"/>
        <v>24.193643029999997</v>
      </c>
      <c r="I581" s="7">
        <f t="shared" si="220"/>
        <v>6.8815323900000003</v>
      </c>
      <c r="J581" s="7">
        <f t="shared" si="220"/>
        <v>7.877583529999999</v>
      </c>
      <c r="K581" s="7">
        <f t="shared" si="220"/>
        <v>4.5688394965199999</v>
      </c>
      <c r="L581" s="7">
        <f t="shared" si="220"/>
        <v>3.1493528999999998</v>
      </c>
      <c r="M581" s="7">
        <f t="shared" si="220"/>
        <v>14.968051383860001</v>
      </c>
      <c r="N581" s="7">
        <f t="shared" si="220"/>
        <v>8.2609007200000004</v>
      </c>
      <c r="O581" s="7">
        <f t="shared" si="220"/>
        <v>23.982239559976037</v>
      </c>
      <c r="P581" s="7">
        <f t="shared" si="220"/>
        <v>4.90580588</v>
      </c>
      <c r="Q581" s="7">
        <f t="shared" si="220"/>
        <v>511.81317803802233</v>
      </c>
      <c r="R581" s="7">
        <f t="shared" si="220"/>
        <v>-26.207019800356036</v>
      </c>
      <c r="S581" s="21">
        <f>R581/(I581+K581+M581+O581)</f>
        <v>-0.51997371321417807</v>
      </c>
      <c r="T581" s="7" t="s">
        <v>32</v>
      </c>
    </row>
    <row r="582" spans="1:20" s="1" customFormat="1" ht="31.5" x14ac:dyDescent="0.25">
      <c r="A582" s="18" t="s">
        <v>1156</v>
      </c>
      <c r="B582" s="19" t="s">
        <v>50</v>
      </c>
      <c r="C582" s="20" t="s">
        <v>31</v>
      </c>
      <c r="D582" s="7">
        <f>SUM(D583,D586,D589,D596)</f>
        <v>383.18020207102234</v>
      </c>
      <c r="E582" s="7">
        <f t="shared" ref="E582:R582" si="221">E583+E586+E589+E596</f>
        <v>76.374665610000022</v>
      </c>
      <c r="F582" s="7">
        <f t="shared" si="221"/>
        <v>306.80553646102231</v>
      </c>
      <c r="G582" s="7">
        <f t="shared" si="221"/>
        <v>0.12699110999999999</v>
      </c>
      <c r="H582" s="7">
        <f t="shared" si="221"/>
        <v>0.12699111000000002</v>
      </c>
      <c r="I582" s="7">
        <f t="shared" si="221"/>
        <v>0</v>
      </c>
      <c r="J582" s="7">
        <f t="shared" si="221"/>
        <v>0.12699111000000002</v>
      </c>
      <c r="K582" s="7">
        <f t="shared" si="221"/>
        <v>0</v>
      </c>
      <c r="L582" s="7">
        <f t="shared" si="221"/>
        <v>0</v>
      </c>
      <c r="M582" s="7">
        <f t="shared" si="221"/>
        <v>0</v>
      </c>
      <c r="N582" s="7">
        <f t="shared" si="221"/>
        <v>0</v>
      </c>
      <c r="O582" s="7">
        <f t="shared" si="221"/>
        <v>0.12699110999999999</v>
      </c>
      <c r="P582" s="7">
        <f t="shared" si="221"/>
        <v>0</v>
      </c>
      <c r="Q582" s="7">
        <f t="shared" si="221"/>
        <v>306.67854535102231</v>
      </c>
      <c r="R582" s="7">
        <f t="shared" si="221"/>
        <v>0</v>
      </c>
      <c r="S582" s="21">
        <v>0</v>
      </c>
      <c r="T582" s="7" t="s">
        <v>32</v>
      </c>
    </row>
    <row r="583" spans="1:20" s="1" customFormat="1" ht="78.75" x14ac:dyDescent="0.25">
      <c r="A583" s="22" t="s">
        <v>1157</v>
      </c>
      <c r="B583" s="22" t="s">
        <v>52</v>
      </c>
      <c r="C583" s="20" t="s">
        <v>31</v>
      </c>
      <c r="D583" s="7">
        <f t="shared" ref="D583:R583" si="222">D584+D585</f>
        <v>0</v>
      </c>
      <c r="E583" s="7">
        <f t="shared" si="222"/>
        <v>0</v>
      </c>
      <c r="F583" s="7">
        <f t="shared" si="222"/>
        <v>0</v>
      </c>
      <c r="G583" s="7">
        <f t="shared" si="222"/>
        <v>0</v>
      </c>
      <c r="H583" s="7">
        <f t="shared" si="222"/>
        <v>0</v>
      </c>
      <c r="I583" s="7">
        <f t="shared" si="222"/>
        <v>0</v>
      </c>
      <c r="J583" s="7">
        <f t="shared" si="222"/>
        <v>0</v>
      </c>
      <c r="K583" s="7">
        <f t="shared" si="222"/>
        <v>0</v>
      </c>
      <c r="L583" s="7">
        <f t="shared" si="222"/>
        <v>0</v>
      </c>
      <c r="M583" s="7">
        <f t="shared" si="222"/>
        <v>0</v>
      </c>
      <c r="N583" s="7">
        <f t="shared" si="222"/>
        <v>0</v>
      </c>
      <c r="O583" s="7">
        <f t="shared" si="222"/>
        <v>0</v>
      </c>
      <c r="P583" s="7">
        <f t="shared" si="222"/>
        <v>0</v>
      </c>
      <c r="Q583" s="7">
        <f t="shared" si="222"/>
        <v>0</v>
      </c>
      <c r="R583" s="7">
        <f t="shared" si="222"/>
        <v>0</v>
      </c>
      <c r="S583" s="21">
        <v>0</v>
      </c>
      <c r="T583" s="7" t="s">
        <v>32</v>
      </c>
    </row>
    <row r="584" spans="1:20" s="1" customFormat="1" ht="31.5" x14ac:dyDescent="0.25">
      <c r="A584" s="22" t="s">
        <v>1158</v>
      </c>
      <c r="B584" s="22" t="s">
        <v>56</v>
      </c>
      <c r="C584" s="20" t="s">
        <v>31</v>
      </c>
      <c r="D584" s="7">
        <v>0</v>
      </c>
      <c r="E584" s="7">
        <v>0</v>
      </c>
      <c r="F584" s="7">
        <v>0</v>
      </c>
      <c r="G584" s="7">
        <v>0</v>
      </c>
      <c r="H584" s="7">
        <v>0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21">
        <v>0</v>
      </c>
      <c r="T584" s="7" t="s">
        <v>32</v>
      </c>
    </row>
    <row r="585" spans="1:20" s="1" customFormat="1" ht="31.5" x14ac:dyDescent="0.25">
      <c r="A585" s="22" t="s">
        <v>1159</v>
      </c>
      <c r="B585" s="22" t="s">
        <v>56</v>
      </c>
      <c r="C585" s="20" t="s">
        <v>31</v>
      </c>
      <c r="D585" s="7">
        <v>0</v>
      </c>
      <c r="E585" s="7">
        <v>0</v>
      </c>
      <c r="F585" s="7">
        <v>0</v>
      </c>
      <c r="G585" s="7">
        <v>0</v>
      </c>
      <c r="H585" s="7">
        <v>0</v>
      </c>
      <c r="I585" s="7">
        <v>0</v>
      </c>
      <c r="J585" s="7"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21">
        <v>0</v>
      </c>
      <c r="T585" s="7" t="s">
        <v>32</v>
      </c>
    </row>
    <row r="586" spans="1:20" s="1" customFormat="1" ht="47.25" x14ac:dyDescent="0.25">
      <c r="A586" s="18" t="s">
        <v>1160</v>
      </c>
      <c r="B586" s="22" t="s">
        <v>58</v>
      </c>
      <c r="C586" s="20" t="s">
        <v>31</v>
      </c>
      <c r="D586" s="7">
        <f t="shared" ref="D586:R586" si="223">D587+D588</f>
        <v>0</v>
      </c>
      <c r="E586" s="7">
        <f t="shared" si="223"/>
        <v>0</v>
      </c>
      <c r="F586" s="7">
        <f t="shared" si="223"/>
        <v>0</v>
      </c>
      <c r="G586" s="7">
        <f t="shared" si="223"/>
        <v>0</v>
      </c>
      <c r="H586" s="7">
        <f t="shared" si="223"/>
        <v>0</v>
      </c>
      <c r="I586" s="7">
        <f t="shared" si="223"/>
        <v>0</v>
      </c>
      <c r="J586" s="7">
        <f t="shared" si="223"/>
        <v>0</v>
      </c>
      <c r="K586" s="7">
        <f t="shared" si="223"/>
        <v>0</v>
      </c>
      <c r="L586" s="7">
        <f t="shared" si="223"/>
        <v>0</v>
      </c>
      <c r="M586" s="7">
        <f t="shared" si="223"/>
        <v>0</v>
      </c>
      <c r="N586" s="7">
        <f t="shared" si="223"/>
        <v>0</v>
      </c>
      <c r="O586" s="7">
        <f t="shared" si="223"/>
        <v>0</v>
      </c>
      <c r="P586" s="7">
        <f t="shared" si="223"/>
        <v>0</v>
      </c>
      <c r="Q586" s="7">
        <f t="shared" si="223"/>
        <v>0</v>
      </c>
      <c r="R586" s="7">
        <f t="shared" si="223"/>
        <v>0</v>
      </c>
      <c r="S586" s="21">
        <v>0</v>
      </c>
      <c r="T586" s="7" t="s">
        <v>32</v>
      </c>
    </row>
    <row r="587" spans="1:20" s="1" customFormat="1" ht="31.5" x14ac:dyDescent="0.25">
      <c r="A587" s="18" t="s">
        <v>1161</v>
      </c>
      <c r="B587" s="22" t="s">
        <v>1006</v>
      </c>
      <c r="C587" s="20" t="s">
        <v>31</v>
      </c>
      <c r="D587" s="7">
        <v>0</v>
      </c>
      <c r="E587" s="7">
        <v>0</v>
      </c>
      <c r="F587" s="7">
        <v>0</v>
      </c>
      <c r="G587" s="7">
        <v>0</v>
      </c>
      <c r="H587" s="7">
        <v>0</v>
      </c>
      <c r="I587" s="7">
        <v>0</v>
      </c>
      <c r="J587" s="7">
        <v>0</v>
      </c>
      <c r="K587" s="7">
        <v>0</v>
      </c>
      <c r="L587" s="7">
        <v>0</v>
      </c>
      <c r="M587" s="7">
        <v>0</v>
      </c>
      <c r="N587" s="7">
        <v>0</v>
      </c>
      <c r="O587" s="7">
        <v>0</v>
      </c>
      <c r="P587" s="7">
        <v>0</v>
      </c>
      <c r="Q587" s="7">
        <v>0</v>
      </c>
      <c r="R587" s="7">
        <v>0</v>
      </c>
      <c r="S587" s="21">
        <v>0</v>
      </c>
      <c r="T587" s="7" t="s">
        <v>32</v>
      </c>
    </row>
    <row r="588" spans="1:20" s="1" customFormat="1" ht="31.5" x14ac:dyDescent="0.25">
      <c r="A588" s="18" t="s">
        <v>1162</v>
      </c>
      <c r="B588" s="22" t="s">
        <v>56</v>
      </c>
      <c r="C588" s="20" t="s">
        <v>31</v>
      </c>
      <c r="D588" s="7">
        <v>0</v>
      </c>
      <c r="E588" s="7">
        <v>0</v>
      </c>
      <c r="F588" s="7">
        <v>0</v>
      </c>
      <c r="G588" s="7">
        <v>0</v>
      </c>
      <c r="H588" s="7">
        <v>0</v>
      </c>
      <c r="I588" s="7">
        <v>0</v>
      </c>
      <c r="J588" s="7">
        <v>0</v>
      </c>
      <c r="K588" s="7">
        <v>0</v>
      </c>
      <c r="L588" s="7">
        <v>0</v>
      </c>
      <c r="M588" s="7">
        <v>0</v>
      </c>
      <c r="N588" s="7">
        <v>0</v>
      </c>
      <c r="O588" s="7">
        <v>0</v>
      </c>
      <c r="P588" s="7">
        <v>0</v>
      </c>
      <c r="Q588" s="7">
        <v>0</v>
      </c>
      <c r="R588" s="7">
        <v>0</v>
      </c>
      <c r="S588" s="21">
        <v>0</v>
      </c>
      <c r="T588" s="7" t="s">
        <v>32</v>
      </c>
    </row>
    <row r="589" spans="1:20" s="1" customFormat="1" ht="47.25" x14ac:dyDescent="0.25">
      <c r="A589" s="18" t="s">
        <v>1163</v>
      </c>
      <c r="B589" s="22" t="s">
        <v>62</v>
      </c>
      <c r="C589" s="20" t="s">
        <v>31</v>
      </c>
      <c r="D589" s="7">
        <f>SUM(D590,D591,D592,D593,D594)</f>
        <v>383.18020207102234</v>
      </c>
      <c r="E589" s="7">
        <f t="shared" ref="E589:R589" si="224">E590+E591+E592+E593+E594</f>
        <v>76.374665610000022</v>
      </c>
      <c r="F589" s="7">
        <f t="shared" si="224"/>
        <v>306.80553646102231</v>
      </c>
      <c r="G589" s="7">
        <f t="shared" si="224"/>
        <v>0.12699110999999999</v>
      </c>
      <c r="H589" s="7">
        <f t="shared" si="224"/>
        <v>0.12699111000000002</v>
      </c>
      <c r="I589" s="7">
        <f t="shared" si="224"/>
        <v>0</v>
      </c>
      <c r="J589" s="7">
        <f t="shared" si="224"/>
        <v>0.12699111000000002</v>
      </c>
      <c r="K589" s="7">
        <f t="shared" si="224"/>
        <v>0</v>
      </c>
      <c r="L589" s="7">
        <f t="shared" si="224"/>
        <v>0</v>
      </c>
      <c r="M589" s="7">
        <f t="shared" si="224"/>
        <v>0</v>
      </c>
      <c r="N589" s="7">
        <f t="shared" si="224"/>
        <v>0</v>
      </c>
      <c r="O589" s="7">
        <f t="shared" si="224"/>
        <v>0.12699110999999999</v>
      </c>
      <c r="P589" s="7">
        <f t="shared" si="224"/>
        <v>0</v>
      </c>
      <c r="Q589" s="7">
        <f t="shared" si="224"/>
        <v>306.67854535102231</v>
      </c>
      <c r="R589" s="7">
        <f t="shared" si="224"/>
        <v>0</v>
      </c>
      <c r="S589" s="21">
        <v>0</v>
      </c>
      <c r="T589" s="7" t="s">
        <v>32</v>
      </c>
    </row>
    <row r="590" spans="1:20" s="1" customFormat="1" ht="63" x14ac:dyDescent="0.25">
      <c r="A590" s="18" t="s">
        <v>1164</v>
      </c>
      <c r="B590" s="22" t="s">
        <v>64</v>
      </c>
      <c r="C590" s="20" t="s">
        <v>31</v>
      </c>
      <c r="D590" s="7">
        <v>0</v>
      </c>
      <c r="E590" s="7">
        <v>0</v>
      </c>
      <c r="F590" s="7">
        <v>0</v>
      </c>
      <c r="G590" s="7">
        <v>0</v>
      </c>
      <c r="H590" s="7">
        <v>0</v>
      </c>
      <c r="I590" s="7">
        <v>0</v>
      </c>
      <c r="J590" s="7">
        <v>0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21">
        <v>0</v>
      </c>
      <c r="T590" s="7" t="s">
        <v>32</v>
      </c>
    </row>
    <row r="591" spans="1:20" s="1" customFormat="1" ht="63" x14ac:dyDescent="0.25">
      <c r="A591" s="18" t="s">
        <v>1165</v>
      </c>
      <c r="B591" s="24" t="s">
        <v>66</v>
      </c>
      <c r="C591" s="24" t="s">
        <v>31</v>
      </c>
      <c r="D591" s="25">
        <v>0</v>
      </c>
      <c r="E591" s="7">
        <v>0</v>
      </c>
      <c r="F591" s="7">
        <v>0</v>
      </c>
      <c r="G591" s="7">
        <v>0</v>
      </c>
      <c r="H591" s="7">
        <v>0</v>
      </c>
      <c r="I591" s="7">
        <v>0</v>
      </c>
      <c r="J591" s="7">
        <v>0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21">
        <v>0</v>
      </c>
      <c r="T591" s="7" t="s">
        <v>32</v>
      </c>
    </row>
    <row r="592" spans="1:20" s="1" customFormat="1" ht="63" x14ac:dyDescent="0.25">
      <c r="A592" s="18" t="s">
        <v>1166</v>
      </c>
      <c r="B592" s="19" t="s">
        <v>68</v>
      </c>
      <c r="C592" s="20" t="s">
        <v>31</v>
      </c>
      <c r="D592" s="7">
        <v>0</v>
      </c>
      <c r="E592" s="7">
        <v>0</v>
      </c>
      <c r="F592" s="7">
        <v>0</v>
      </c>
      <c r="G592" s="7">
        <v>0</v>
      </c>
      <c r="H592" s="7">
        <v>0</v>
      </c>
      <c r="I592" s="7">
        <v>0</v>
      </c>
      <c r="J592" s="7">
        <v>0</v>
      </c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21">
        <v>0</v>
      </c>
      <c r="T592" s="7" t="s">
        <v>32</v>
      </c>
    </row>
    <row r="593" spans="1:20" s="1" customFormat="1" ht="78.75" x14ac:dyDescent="0.25">
      <c r="A593" s="18" t="s">
        <v>1167</v>
      </c>
      <c r="B593" s="19" t="s">
        <v>75</v>
      </c>
      <c r="C593" s="20" t="s">
        <v>31</v>
      </c>
      <c r="D593" s="7">
        <v>0</v>
      </c>
      <c r="E593" s="7">
        <v>0</v>
      </c>
      <c r="F593" s="7">
        <v>0</v>
      </c>
      <c r="G593" s="7">
        <v>0</v>
      </c>
      <c r="H593" s="7">
        <v>0</v>
      </c>
      <c r="I593" s="7">
        <v>0</v>
      </c>
      <c r="J593" s="7">
        <v>0</v>
      </c>
      <c r="K593" s="7">
        <v>0</v>
      </c>
      <c r="L593" s="7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21">
        <v>0</v>
      </c>
      <c r="T593" s="7" t="s">
        <v>32</v>
      </c>
    </row>
    <row r="594" spans="1:20" s="1" customFormat="1" ht="78.75" x14ac:dyDescent="0.25">
      <c r="A594" s="24" t="s">
        <v>1168</v>
      </c>
      <c r="B594" s="24" t="s">
        <v>80</v>
      </c>
      <c r="C594" s="24" t="s">
        <v>31</v>
      </c>
      <c r="D594" s="7">
        <f t="shared" ref="D594:R594" si="225">SUM(D595)</f>
        <v>383.18020207102234</v>
      </c>
      <c r="E594" s="7">
        <f t="shared" si="225"/>
        <v>76.374665610000022</v>
      </c>
      <c r="F594" s="7">
        <f t="shared" si="225"/>
        <v>306.80553646102231</v>
      </c>
      <c r="G594" s="7">
        <f t="shared" si="225"/>
        <v>0.12699110999999999</v>
      </c>
      <c r="H594" s="7">
        <f t="shared" si="225"/>
        <v>0.12699111000000002</v>
      </c>
      <c r="I594" s="7">
        <f t="shared" si="225"/>
        <v>0</v>
      </c>
      <c r="J594" s="7">
        <f t="shared" si="225"/>
        <v>0.12699111000000002</v>
      </c>
      <c r="K594" s="7">
        <f t="shared" si="225"/>
        <v>0</v>
      </c>
      <c r="L594" s="7">
        <f t="shared" si="225"/>
        <v>0</v>
      </c>
      <c r="M594" s="7">
        <f t="shared" si="225"/>
        <v>0</v>
      </c>
      <c r="N594" s="7">
        <f t="shared" si="225"/>
        <v>0</v>
      </c>
      <c r="O594" s="7">
        <f t="shared" si="225"/>
        <v>0.12699110999999999</v>
      </c>
      <c r="P594" s="7">
        <f t="shared" si="225"/>
        <v>0</v>
      </c>
      <c r="Q594" s="7">
        <f t="shared" si="225"/>
        <v>306.67854535102231</v>
      </c>
      <c r="R594" s="7">
        <f t="shared" si="225"/>
        <v>0</v>
      </c>
      <c r="S594" s="21">
        <v>0</v>
      </c>
      <c r="T594" s="7" t="s">
        <v>32</v>
      </c>
    </row>
    <row r="595" spans="1:20" s="1" customFormat="1" ht="63" x14ac:dyDescent="0.25">
      <c r="A595" s="30" t="s">
        <v>1168</v>
      </c>
      <c r="B595" s="34" t="s">
        <v>1169</v>
      </c>
      <c r="C595" s="30" t="s">
        <v>1170</v>
      </c>
      <c r="D595" s="29">
        <v>383.18020207102234</v>
      </c>
      <c r="E595" s="29">
        <f>D595-F595</f>
        <v>76.374665610000022</v>
      </c>
      <c r="F595" s="29">
        <v>306.80553646102231</v>
      </c>
      <c r="G595" s="29">
        <v>0.12699110999999999</v>
      </c>
      <c r="H595" s="29">
        <f>J595+L595+N595+P595</f>
        <v>0.12699111000000002</v>
      </c>
      <c r="I595" s="29">
        <v>0</v>
      </c>
      <c r="J595" s="29">
        <v>0.12699111000000002</v>
      </c>
      <c r="K595" s="29">
        <v>0</v>
      </c>
      <c r="L595" s="29">
        <v>0</v>
      </c>
      <c r="M595" s="29">
        <v>0</v>
      </c>
      <c r="N595" s="29">
        <v>0</v>
      </c>
      <c r="O595" s="29">
        <v>0.12699110999999999</v>
      </c>
      <c r="P595" s="29">
        <v>0</v>
      </c>
      <c r="Q595" s="29">
        <f>F595-H595</f>
        <v>306.67854535102231</v>
      </c>
      <c r="R595" s="29">
        <f t="shared" ref="R595" si="226">H595-(I595+K595+M595+O595)</f>
        <v>0</v>
      </c>
      <c r="S595" s="31">
        <f t="shared" ref="S595" si="227">R595/(I595+K595+M595+O595)</f>
        <v>0</v>
      </c>
      <c r="T595" s="29" t="s">
        <v>32</v>
      </c>
    </row>
    <row r="596" spans="1:20" s="1" customFormat="1" ht="31.5" x14ac:dyDescent="0.25">
      <c r="A596" s="24" t="s">
        <v>1171</v>
      </c>
      <c r="B596" s="24" t="s">
        <v>102</v>
      </c>
      <c r="C596" s="24" t="s">
        <v>31</v>
      </c>
      <c r="D596" s="7">
        <v>0</v>
      </c>
      <c r="E596" s="7">
        <v>0</v>
      </c>
      <c r="F596" s="7">
        <v>0</v>
      </c>
      <c r="G596" s="7">
        <v>0</v>
      </c>
      <c r="H596" s="7">
        <v>0</v>
      </c>
      <c r="I596" s="7">
        <v>0</v>
      </c>
      <c r="J596" s="7">
        <v>0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21">
        <v>0</v>
      </c>
      <c r="T596" s="7" t="s">
        <v>32</v>
      </c>
    </row>
    <row r="597" spans="1:20" s="1" customFormat="1" ht="47.25" x14ac:dyDescent="0.25">
      <c r="A597" s="24" t="s">
        <v>1172</v>
      </c>
      <c r="B597" s="24" t="s">
        <v>104</v>
      </c>
      <c r="C597" s="24" t="s">
        <v>31</v>
      </c>
      <c r="D597" s="7">
        <f t="shared" ref="D597:R597" si="228">D598+D599+D601+D602</f>
        <v>114.24447911999999</v>
      </c>
      <c r="E597" s="7">
        <f t="shared" si="228"/>
        <v>68.066613009999998</v>
      </c>
      <c r="F597" s="7">
        <f t="shared" si="228"/>
        <v>46.177866109999997</v>
      </c>
      <c r="G597" s="7">
        <f t="shared" si="228"/>
        <v>6.7203963900000003</v>
      </c>
      <c r="H597" s="7">
        <f t="shared" si="228"/>
        <v>6.7203963899999994</v>
      </c>
      <c r="I597" s="7">
        <f t="shared" si="228"/>
        <v>6.2455323900000002</v>
      </c>
      <c r="J597" s="7">
        <f t="shared" si="228"/>
        <v>6.7203963899999994</v>
      </c>
      <c r="K597" s="7">
        <f t="shared" si="228"/>
        <v>0</v>
      </c>
      <c r="L597" s="7">
        <f t="shared" si="228"/>
        <v>0</v>
      </c>
      <c r="M597" s="7">
        <f t="shared" si="228"/>
        <v>0</v>
      </c>
      <c r="N597" s="7">
        <f t="shared" si="228"/>
        <v>0</v>
      </c>
      <c r="O597" s="7">
        <f t="shared" si="228"/>
        <v>0.47486399999999995</v>
      </c>
      <c r="P597" s="7">
        <f t="shared" si="228"/>
        <v>0</v>
      </c>
      <c r="Q597" s="7">
        <f t="shared" si="228"/>
        <v>39.457469720000006</v>
      </c>
      <c r="R597" s="7">
        <f t="shared" si="228"/>
        <v>0</v>
      </c>
      <c r="S597" s="21">
        <f>R597/(I597+K597+M597)</f>
        <v>0</v>
      </c>
      <c r="T597" s="7" t="s">
        <v>32</v>
      </c>
    </row>
    <row r="598" spans="1:20" s="1" customFormat="1" ht="31.5" x14ac:dyDescent="0.25">
      <c r="A598" s="24" t="s">
        <v>1173</v>
      </c>
      <c r="B598" s="24" t="s">
        <v>106</v>
      </c>
      <c r="C598" s="24" t="s">
        <v>31</v>
      </c>
      <c r="D598" s="7">
        <v>0</v>
      </c>
      <c r="E598" s="7">
        <v>0</v>
      </c>
      <c r="F598" s="7">
        <v>0</v>
      </c>
      <c r="G598" s="7">
        <v>0</v>
      </c>
      <c r="H598" s="7">
        <v>0</v>
      </c>
      <c r="I598" s="7">
        <v>0</v>
      </c>
      <c r="J598" s="7">
        <v>0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21">
        <v>0</v>
      </c>
      <c r="T598" s="7" t="s">
        <v>32</v>
      </c>
    </row>
    <row r="599" spans="1:20" s="1" customFormat="1" x14ac:dyDescent="0.25">
      <c r="A599" s="24" t="s">
        <v>1174</v>
      </c>
      <c r="B599" s="24" t="s">
        <v>117</v>
      </c>
      <c r="C599" s="24" t="s">
        <v>31</v>
      </c>
      <c r="D599" s="7">
        <f t="shared" ref="D599:R599" si="229">SUM(D600:D600)</f>
        <v>41.875280000000004</v>
      </c>
      <c r="E599" s="7">
        <f t="shared" si="229"/>
        <v>1.942946280000001</v>
      </c>
      <c r="F599" s="7">
        <f t="shared" si="229"/>
        <v>39.932333720000003</v>
      </c>
      <c r="G599" s="7">
        <f t="shared" si="229"/>
        <v>0.47486399999999995</v>
      </c>
      <c r="H599" s="7">
        <f t="shared" si="229"/>
        <v>0.47486399999999995</v>
      </c>
      <c r="I599" s="7">
        <f t="shared" si="229"/>
        <v>0</v>
      </c>
      <c r="J599" s="7">
        <f t="shared" si="229"/>
        <v>0.47486399999999995</v>
      </c>
      <c r="K599" s="7">
        <f t="shared" si="229"/>
        <v>0</v>
      </c>
      <c r="L599" s="7">
        <f t="shared" si="229"/>
        <v>0</v>
      </c>
      <c r="M599" s="7">
        <f t="shared" si="229"/>
        <v>0</v>
      </c>
      <c r="N599" s="7">
        <f t="shared" si="229"/>
        <v>0</v>
      </c>
      <c r="O599" s="7">
        <f t="shared" si="229"/>
        <v>0.47486399999999995</v>
      </c>
      <c r="P599" s="7">
        <f t="shared" si="229"/>
        <v>0</v>
      </c>
      <c r="Q599" s="7">
        <f t="shared" si="229"/>
        <v>39.457469720000006</v>
      </c>
      <c r="R599" s="7">
        <f t="shared" si="229"/>
        <v>0</v>
      </c>
      <c r="S599" s="21">
        <v>0</v>
      </c>
      <c r="T599" s="7" t="s">
        <v>32</v>
      </c>
    </row>
    <row r="600" spans="1:20" s="1" customFormat="1" ht="31.5" x14ac:dyDescent="0.25">
      <c r="A600" s="30" t="s">
        <v>1174</v>
      </c>
      <c r="B600" s="34" t="s">
        <v>1175</v>
      </c>
      <c r="C600" s="30" t="s">
        <v>1176</v>
      </c>
      <c r="D600" s="29">
        <v>41.875280000000004</v>
      </c>
      <c r="E600" s="29">
        <f>D600-F600</f>
        <v>1.942946280000001</v>
      </c>
      <c r="F600" s="29">
        <v>39.932333720000003</v>
      </c>
      <c r="G600" s="29">
        <v>0.47486399999999995</v>
      </c>
      <c r="H600" s="29">
        <f>J600+L600+N600+P600</f>
        <v>0.47486399999999995</v>
      </c>
      <c r="I600" s="29">
        <v>0</v>
      </c>
      <c r="J600" s="29">
        <v>0.47486399999999995</v>
      </c>
      <c r="K600" s="29">
        <v>0</v>
      </c>
      <c r="L600" s="29">
        <v>0</v>
      </c>
      <c r="M600" s="29">
        <v>0</v>
      </c>
      <c r="N600" s="29">
        <v>0</v>
      </c>
      <c r="O600" s="29">
        <v>0.47486399999999995</v>
      </c>
      <c r="P600" s="29">
        <v>0</v>
      </c>
      <c r="Q600" s="29">
        <f>F600-H600</f>
        <v>39.457469720000006</v>
      </c>
      <c r="R600" s="29">
        <f t="shared" ref="R600" si="230">H600-(I600+K600+M600+O600)</f>
        <v>0</v>
      </c>
      <c r="S600" s="31">
        <f t="shared" ref="S600" si="231">R600/(I600+K600+M600+O600)</f>
        <v>0</v>
      </c>
      <c r="T600" s="29" t="s">
        <v>32</v>
      </c>
    </row>
    <row r="601" spans="1:20" s="1" customFormat="1" x14ac:dyDescent="0.25">
      <c r="A601" s="24" t="s">
        <v>1177</v>
      </c>
      <c r="B601" s="24" t="s">
        <v>126</v>
      </c>
      <c r="C601" s="24" t="s">
        <v>31</v>
      </c>
      <c r="D601" s="7">
        <v>0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21">
        <v>0</v>
      </c>
      <c r="T601" s="7" t="s">
        <v>32</v>
      </c>
    </row>
    <row r="602" spans="1:20" s="1" customFormat="1" ht="31.5" x14ac:dyDescent="0.25">
      <c r="A602" s="24" t="s">
        <v>1178</v>
      </c>
      <c r="B602" s="24" t="s">
        <v>131</v>
      </c>
      <c r="C602" s="24" t="s">
        <v>31</v>
      </c>
      <c r="D602" s="7">
        <f t="shared" ref="D602:R602" si="232">SUM(D603:D603)</f>
        <v>72.36919911999999</v>
      </c>
      <c r="E602" s="7">
        <f t="shared" si="232"/>
        <v>66.123666729999997</v>
      </c>
      <c r="F602" s="7">
        <f t="shared" si="232"/>
        <v>6.2455323899999939</v>
      </c>
      <c r="G602" s="7">
        <f t="shared" si="232"/>
        <v>6.2455323900000002</v>
      </c>
      <c r="H602" s="7">
        <f t="shared" si="232"/>
        <v>6.2455323899999993</v>
      </c>
      <c r="I602" s="7">
        <f t="shared" si="232"/>
        <v>6.2455323900000002</v>
      </c>
      <c r="J602" s="7">
        <f t="shared" si="232"/>
        <v>6.2455323899999993</v>
      </c>
      <c r="K602" s="7">
        <f t="shared" si="232"/>
        <v>0</v>
      </c>
      <c r="L602" s="7">
        <f t="shared" si="232"/>
        <v>0</v>
      </c>
      <c r="M602" s="7">
        <f t="shared" si="232"/>
        <v>0</v>
      </c>
      <c r="N602" s="7">
        <f t="shared" si="232"/>
        <v>0</v>
      </c>
      <c r="O602" s="7">
        <f t="shared" si="232"/>
        <v>0</v>
      </c>
      <c r="P602" s="7">
        <f t="shared" si="232"/>
        <v>0</v>
      </c>
      <c r="Q602" s="7">
        <f t="shared" si="232"/>
        <v>0</v>
      </c>
      <c r="R602" s="7">
        <f t="shared" si="232"/>
        <v>0</v>
      </c>
      <c r="S602" s="21">
        <f>R602/(I602+K602+M602)</f>
        <v>0</v>
      </c>
      <c r="T602" s="7" t="s">
        <v>32</v>
      </c>
    </row>
    <row r="603" spans="1:20" s="1" customFormat="1" ht="47.25" x14ac:dyDescent="0.25">
      <c r="A603" s="30" t="s">
        <v>1178</v>
      </c>
      <c r="B603" s="34" t="s">
        <v>1179</v>
      </c>
      <c r="C603" s="30" t="s">
        <v>1180</v>
      </c>
      <c r="D603" s="29">
        <v>72.36919911999999</v>
      </c>
      <c r="E603" s="29">
        <v>66.123666729999997</v>
      </c>
      <c r="F603" s="29">
        <f>D603-E603</f>
        <v>6.2455323899999939</v>
      </c>
      <c r="G603" s="30">
        <v>6.2455323900000002</v>
      </c>
      <c r="H603" s="29">
        <f>J603+L603+N603+P603</f>
        <v>6.2455323899999993</v>
      </c>
      <c r="I603" s="29">
        <v>6.2455323900000002</v>
      </c>
      <c r="J603" s="29">
        <v>6.2455323899999993</v>
      </c>
      <c r="K603" s="29">
        <v>0</v>
      </c>
      <c r="L603" s="29">
        <v>0</v>
      </c>
      <c r="M603" s="29">
        <v>0</v>
      </c>
      <c r="N603" s="29">
        <v>0</v>
      </c>
      <c r="O603" s="29">
        <v>0</v>
      </c>
      <c r="P603" s="29">
        <v>0</v>
      </c>
      <c r="Q603" s="29">
        <f>F603-H603</f>
        <v>0</v>
      </c>
      <c r="R603" s="29">
        <f t="shared" ref="R603" si="233">H603-(I603+K603+M603+O603)</f>
        <v>0</v>
      </c>
      <c r="S603" s="31">
        <f t="shared" ref="S603" si="234">R603/(I603+K603+M603+O603)</f>
        <v>0</v>
      </c>
      <c r="T603" s="29" t="s">
        <v>32</v>
      </c>
    </row>
    <row r="604" spans="1:20" s="1" customFormat="1" ht="31.5" x14ac:dyDescent="0.25">
      <c r="A604" s="24" t="s">
        <v>1181</v>
      </c>
      <c r="B604" s="24" t="s">
        <v>156</v>
      </c>
      <c r="C604" s="24" t="s">
        <v>31</v>
      </c>
      <c r="D604" s="7">
        <f t="shared" ref="D604:R604" si="235">D605+D606+D607+D608</f>
        <v>215.59331167699997</v>
      </c>
      <c r="E604" s="7">
        <f t="shared" si="235"/>
        <v>39.851493180000006</v>
      </c>
      <c r="F604" s="7">
        <f t="shared" si="235"/>
        <v>175.74181849699997</v>
      </c>
      <c r="G604" s="7">
        <f t="shared" si="235"/>
        <v>36.271675330356047</v>
      </c>
      <c r="H604" s="7">
        <f t="shared" si="235"/>
        <v>11.108553969999999</v>
      </c>
      <c r="I604" s="7">
        <f t="shared" si="235"/>
        <v>0.63600000000000001</v>
      </c>
      <c r="J604" s="7">
        <f t="shared" si="235"/>
        <v>1.0301960300000002</v>
      </c>
      <c r="K604" s="7">
        <f t="shared" si="235"/>
        <v>4.5688394965199999</v>
      </c>
      <c r="L604" s="7">
        <f t="shared" si="235"/>
        <v>9.3795739999999989E-2</v>
      </c>
      <c r="M604" s="7">
        <f t="shared" si="235"/>
        <v>14.968051383860001</v>
      </c>
      <c r="N604" s="7">
        <f t="shared" si="235"/>
        <v>5.0787563200000001</v>
      </c>
      <c r="O604" s="7">
        <f t="shared" si="235"/>
        <v>16.098784449976041</v>
      </c>
      <c r="P604" s="7">
        <f t="shared" si="235"/>
        <v>4.90580588</v>
      </c>
      <c r="Q604" s="7">
        <f t="shared" si="235"/>
        <v>164.63326452699999</v>
      </c>
      <c r="R604" s="7">
        <f t="shared" si="235"/>
        <v>-25.163121360356037</v>
      </c>
      <c r="S604" s="21">
        <f>R604/(I604+K604+M604+O604)</f>
        <v>-0.69374025685813379</v>
      </c>
      <c r="T604" s="7" t="s">
        <v>32</v>
      </c>
    </row>
    <row r="605" spans="1:20" s="1" customFormat="1" ht="31.5" x14ac:dyDescent="0.25">
      <c r="A605" s="24" t="s">
        <v>1182</v>
      </c>
      <c r="B605" s="24" t="s">
        <v>158</v>
      </c>
      <c r="C605" s="24" t="s">
        <v>31</v>
      </c>
      <c r="D605" s="7">
        <v>0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21">
        <v>0</v>
      </c>
      <c r="T605" s="7" t="s">
        <v>32</v>
      </c>
    </row>
    <row r="606" spans="1:20" s="1" customFormat="1" ht="31.5" x14ac:dyDescent="0.25">
      <c r="A606" s="24" t="s">
        <v>1183</v>
      </c>
      <c r="B606" s="24" t="s">
        <v>188</v>
      </c>
      <c r="C606" s="24" t="s">
        <v>31</v>
      </c>
      <c r="D606" s="7">
        <v>0</v>
      </c>
      <c r="E606" s="7">
        <v>0</v>
      </c>
      <c r="F606" s="7">
        <v>0</v>
      </c>
      <c r="G606" s="7">
        <v>0</v>
      </c>
      <c r="H606" s="7">
        <v>0</v>
      </c>
      <c r="I606" s="7">
        <v>0</v>
      </c>
      <c r="J606" s="7">
        <v>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21">
        <v>0</v>
      </c>
      <c r="T606" s="7" t="s">
        <v>32</v>
      </c>
    </row>
    <row r="607" spans="1:20" s="1" customFormat="1" ht="31.5" x14ac:dyDescent="0.25">
      <c r="A607" s="24" t="s">
        <v>1184</v>
      </c>
      <c r="B607" s="24" t="s">
        <v>190</v>
      </c>
      <c r="C607" s="24" t="s">
        <v>31</v>
      </c>
      <c r="D607" s="7">
        <v>0</v>
      </c>
      <c r="E607" s="7">
        <v>0</v>
      </c>
      <c r="F607" s="7">
        <v>0</v>
      </c>
      <c r="G607" s="7">
        <v>0</v>
      </c>
      <c r="H607" s="7">
        <v>0</v>
      </c>
      <c r="I607" s="7">
        <v>0</v>
      </c>
      <c r="J607" s="7">
        <v>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21">
        <v>0</v>
      </c>
      <c r="T607" s="7" t="s">
        <v>32</v>
      </c>
    </row>
    <row r="608" spans="1:20" s="1" customFormat="1" ht="31.5" x14ac:dyDescent="0.25">
      <c r="A608" s="24" t="s">
        <v>1185</v>
      </c>
      <c r="B608" s="24" t="s">
        <v>227</v>
      </c>
      <c r="C608" s="24" t="s">
        <v>31</v>
      </c>
      <c r="D608" s="7">
        <f t="shared" ref="D608:R608" si="236">SUM(D609:D611)</f>
        <v>215.59331167699997</v>
      </c>
      <c r="E608" s="7">
        <f t="shared" si="236"/>
        <v>39.851493180000006</v>
      </c>
      <c r="F608" s="7">
        <f t="shared" si="236"/>
        <v>175.74181849699997</v>
      </c>
      <c r="G608" s="7">
        <f t="shared" si="236"/>
        <v>36.271675330356047</v>
      </c>
      <c r="H608" s="7">
        <f t="shared" si="236"/>
        <v>11.108553969999999</v>
      </c>
      <c r="I608" s="7">
        <f t="shared" si="236"/>
        <v>0.63600000000000001</v>
      </c>
      <c r="J608" s="7">
        <f t="shared" si="236"/>
        <v>1.0301960300000002</v>
      </c>
      <c r="K608" s="7">
        <f t="shared" si="236"/>
        <v>4.5688394965199999</v>
      </c>
      <c r="L608" s="7">
        <f t="shared" si="236"/>
        <v>9.3795739999999989E-2</v>
      </c>
      <c r="M608" s="7">
        <f t="shared" si="236"/>
        <v>14.968051383860001</v>
      </c>
      <c r="N608" s="7">
        <f t="shared" si="236"/>
        <v>5.0787563200000001</v>
      </c>
      <c r="O608" s="7">
        <f t="shared" si="236"/>
        <v>16.098784449976041</v>
      </c>
      <c r="P608" s="7">
        <f t="shared" si="236"/>
        <v>4.90580588</v>
      </c>
      <c r="Q608" s="7">
        <f t="shared" si="236"/>
        <v>164.63326452699999</v>
      </c>
      <c r="R608" s="7">
        <f t="shared" si="236"/>
        <v>-25.163121360356037</v>
      </c>
      <c r="S608" s="21">
        <f>R608/(I608+K608+M608+O608)</f>
        <v>-0.69374025685813379</v>
      </c>
      <c r="T608" s="7" t="s">
        <v>32</v>
      </c>
    </row>
    <row r="609" spans="1:20" s="1" customFormat="1" ht="31.5" x14ac:dyDescent="0.25">
      <c r="A609" s="30" t="s">
        <v>1185</v>
      </c>
      <c r="B609" s="34" t="s">
        <v>1186</v>
      </c>
      <c r="C609" s="30" t="s">
        <v>1187</v>
      </c>
      <c r="D609" s="29">
        <v>76.366949172399984</v>
      </c>
      <c r="E609" s="29">
        <f>D609-F609</f>
        <v>24.040637180000004</v>
      </c>
      <c r="F609" s="29">
        <v>52.32631199239998</v>
      </c>
      <c r="G609" s="30">
        <v>3.9211470495560397</v>
      </c>
      <c r="H609" s="29">
        <f>J609+L609+N609+P609</f>
        <v>3.7808906700000002</v>
      </c>
      <c r="I609" s="29">
        <v>0.63600000000000001</v>
      </c>
      <c r="J609" s="29">
        <v>0.9192541700000002</v>
      </c>
      <c r="K609" s="29">
        <v>0.18906785621</v>
      </c>
      <c r="L609" s="29">
        <v>0</v>
      </c>
      <c r="M609" s="29">
        <v>2.9801715725899998</v>
      </c>
      <c r="N609" s="29">
        <v>2.4607676000000001</v>
      </c>
      <c r="O609" s="29">
        <f>G609-I609-K609-M609</f>
        <v>0.11590762075603989</v>
      </c>
      <c r="P609" s="29">
        <v>0.40086889999999997</v>
      </c>
      <c r="Q609" s="29">
        <f>F609-H609</f>
        <v>48.545421322399982</v>
      </c>
      <c r="R609" s="29">
        <f t="shared" ref="R609:R611" si="237">H609-(I609+K609+M609+O609)</f>
        <v>-0.14025637955603942</v>
      </c>
      <c r="S609" s="31">
        <f t="shared" ref="S609:S611" si="238">R609/(I609+K609+M609+O609)</f>
        <v>-3.5769222062691973E-2</v>
      </c>
      <c r="T609" s="29" t="s">
        <v>32</v>
      </c>
    </row>
    <row r="610" spans="1:20" s="1" customFormat="1" ht="31.5" x14ac:dyDescent="0.25">
      <c r="A610" s="30" t="s">
        <v>1185</v>
      </c>
      <c r="B610" s="34" t="s">
        <v>1188</v>
      </c>
      <c r="C610" s="30" t="s">
        <v>1189</v>
      </c>
      <c r="D610" s="29">
        <v>56.145186756000001</v>
      </c>
      <c r="E610" s="29">
        <v>1.55081055</v>
      </c>
      <c r="F610" s="29">
        <f>D610-E610</f>
        <v>54.594376206</v>
      </c>
      <c r="G610" s="30">
        <v>23.373294522000002</v>
      </c>
      <c r="H610" s="29">
        <f>J610+L610+N610+P610</f>
        <v>3.2217121</v>
      </c>
      <c r="I610" s="29">
        <v>0</v>
      </c>
      <c r="J610" s="29">
        <v>0.11094185999999999</v>
      </c>
      <c r="K610" s="29">
        <v>3.19543226465</v>
      </c>
      <c r="L610" s="29">
        <v>9.3795739999999989E-2</v>
      </c>
      <c r="M610" s="29">
        <v>5.8853638331000004</v>
      </c>
      <c r="N610" s="29">
        <v>0.16721261999999998</v>
      </c>
      <c r="O610" s="29">
        <f>G610-I610-K610-M610</f>
        <v>14.292498424249999</v>
      </c>
      <c r="P610" s="29">
        <v>2.84976188</v>
      </c>
      <c r="Q610" s="29">
        <f>F610-H610</f>
        <v>51.372664106000002</v>
      </c>
      <c r="R610" s="29">
        <f t="shared" si="237"/>
        <v>-20.151582421999997</v>
      </c>
      <c r="S610" s="31">
        <f t="shared" si="238"/>
        <v>-0.86216268755063263</v>
      </c>
      <c r="T610" s="30" t="s">
        <v>518</v>
      </c>
    </row>
    <row r="611" spans="1:20" s="1" customFormat="1" ht="31.5" x14ac:dyDescent="0.25">
      <c r="A611" s="30" t="s">
        <v>1185</v>
      </c>
      <c r="B611" s="34" t="s">
        <v>1190</v>
      </c>
      <c r="C611" s="30" t="s">
        <v>1191</v>
      </c>
      <c r="D611" s="29">
        <v>83.081175748600003</v>
      </c>
      <c r="E611" s="29">
        <v>14.26004545</v>
      </c>
      <c r="F611" s="29">
        <f>D611-E611</f>
        <v>68.821130298599996</v>
      </c>
      <c r="G611" s="30">
        <v>8.9772337588000024</v>
      </c>
      <c r="H611" s="29">
        <f>J611+L611+N611+P611</f>
        <v>4.1059511999999998</v>
      </c>
      <c r="I611" s="29">
        <v>0</v>
      </c>
      <c r="J611" s="29">
        <v>0</v>
      </c>
      <c r="K611" s="29">
        <v>1.18433937566</v>
      </c>
      <c r="L611" s="29">
        <v>0</v>
      </c>
      <c r="M611" s="29">
        <v>6.1025159781700005</v>
      </c>
      <c r="N611" s="29">
        <v>2.4507761000000001</v>
      </c>
      <c r="O611" s="29">
        <f>G611-I611-K611-M611</f>
        <v>1.6903784049700015</v>
      </c>
      <c r="P611" s="29">
        <v>1.6551750999999999</v>
      </c>
      <c r="Q611" s="29">
        <f>F611-H611</f>
        <v>64.715179098600004</v>
      </c>
      <c r="R611" s="29">
        <f t="shared" si="237"/>
        <v>-4.8712825588000026</v>
      </c>
      <c r="S611" s="31">
        <f t="shared" si="238"/>
        <v>-0.54262623539516175</v>
      </c>
      <c r="T611" s="29" t="s">
        <v>1192</v>
      </c>
    </row>
    <row r="612" spans="1:20" s="1" customFormat="1" ht="47.25" x14ac:dyDescent="0.25">
      <c r="A612" s="24" t="s">
        <v>1193</v>
      </c>
      <c r="B612" s="24" t="s">
        <v>290</v>
      </c>
      <c r="C612" s="24" t="s">
        <v>31</v>
      </c>
      <c r="D612" s="7">
        <v>0</v>
      </c>
      <c r="E612" s="7">
        <f t="shared" ref="E612:R612" si="239">E613</f>
        <v>0</v>
      </c>
      <c r="F612" s="7">
        <f t="shared" si="239"/>
        <v>0</v>
      </c>
      <c r="G612" s="7">
        <f t="shared" si="239"/>
        <v>0</v>
      </c>
      <c r="H612" s="7">
        <f t="shared" si="239"/>
        <v>0</v>
      </c>
      <c r="I612" s="7">
        <f t="shared" si="239"/>
        <v>0</v>
      </c>
      <c r="J612" s="7">
        <f t="shared" si="239"/>
        <v>0</v>
      </c>
      <c r="K612" s="7">
        <f t="shared" si="239"/>
        <v>0</v>
      </c>
      <c r="L612" s="7">
        <f t="shared" si="239"/>
        <v>0</v>
      </c>
      <c r="M612" s="7">
        <f t="shared" si="239"/>
        <v>0</v>
      </c>
      <c r="N612" s="7">
        <f t="shared" si="239"/>
        <v>0</v>
      </c>
      <c r="O612" s="7">
        <f t="shared" si="239"/>
        <v>0</v>
      </c>
      <c r="P612" s="7">
        <f t="shared" si="239"/>
        <v>0</v>
      </c>
      <c r="Q612" s="7">
        <f t="shared" si="239"/>
        <v>0</v>
      </c>
      <c r="R612" s="7">
        <f t="shared" si="239"/>
        <v>0</v>
      </c>
      <c r="S612" s="21">
        <v>0</v>
      </c>
      <c r="T612" s="7" t="s">
        <v>32</v>
      </c>
    </row>
    <row r="613" spans="1:20" s="1" customFormat="1" x14ac:dyDescent="0.25">
      <c r="A613" s="24" t="s">
        <v>1194</v>
      </c>
      <c r="B613" s="24" t="s">
        <v>300</v>
      </c>
      <c r="C613" s="24" t="s">
        <v>31</v>
      </c>
      <c r="D613" s="7">
        <v>0</v>
      </c>
      <c r="E613" s="7">
        <f t="shared" ref="E613:R613" si="240">E614+E615</f>
        <v>0</v>
      </c>
      <c r="F613" s="7">
        <f t="shared" si="240"/>
        <v>0</v>
      </c>
      <c r="G613" s="7">
        <f t="shared" si="240"/>
        <v>0</v>
      </c>
      <c r="H613" s="7">
        <f t="shared" si="240"/>
        <v>0</v>
      </c>
      <c r="I613" s="7">
        <f t="shared" si="240"/>
        <v>0</v>
      </c>
      <c r="J613" s="7">
        <f t="shared" si="240"/>
        <v>0</v>
      </c>
      <c r="K613" s="7">
        <f t="shared" si="240"/>
        <v>0</v>
      </c>
      <c r="L613" s="7">
        <f t="shared" si="240"/>
        <v>0</v>
      </c>
      <c r="M613" s="7">
        <f t="shared" si="240"/>
        <v>0</v>
      </c>
      <c r="N613" s="7">
        <f t="shared" si="240"/>
        <v>0</v>
      </c>
      <c r="O613" s="7">
        <f t="shared" si="240"/>
        <v>0</v>
      </c>
      <c r="P613" s="7">
        <f t="shared" si="240"/>
        <v>0</v>
      </c>
      <c r="Q613" s="7">
        <f t="shared" si="240"/>
        <v>0</v>
      </c>
      <c r="R613" s="7">
        <f t="shared" si="240"/>
        <v>0</v>
      </c>
      <c r="S613" s="21">
        <v>0</v>
      </c>
      <c r="T613" s="7" t="s">
        <v>32</v>
      </c>
    </row>
    <row r="614" spans="1:20" s="1" customFormat="1" ht="47.25" x14ac:dyDescent="0.25">
      <c r="A614" s="24" t="s">
        <v>1195</v>
      </c>
      <c r="B614" s="24" t="s">
        <v>294</v>
      </c>
      <c r="C614" s="24" t="s">
        <v>31</v>
      </c>
      <c r="D614" s="7">
        <v>0</v>
      </c>
      <c r="E614" s="7">
        <v>0</v>
      </c>
      <c r="F614" s="7">
        <v>0</v>
      </c>
      <c r="G614" s="7">
        <v>0</v>
      </c>
      <c r="H614" s="7">
        <v>0</v>
      </c>
      <c r="I614" s="7">
        <v>0</v>
      </c>
      <c r="J614" s="7">
        <v>0</v>
      </c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21">
        <v>0</v>
      </c>
      <c r="T614" s="7" t="s">
        <v>32</v>
      </c>
    </row>
    <row r="615" spans="1:20" s="1" customFormat="1" ht="47.25" x14ac:dyDescent="0.25">
      <c r="A615" s="24" t="s">
        <v>1196</v>
      </c>
      <c r="B615" s="24" t="s">
        <v>296</v>
      </c>
      <c r="C615" s="24" t="s">
        <v>31</v>
      </c>
      <c r="D615" s="7">
        <v>0</v>
      </c>
      <c r="E615" s="7">
        <v>0</v>
      </c>
      <c r="F615" s="7">
        <v>0</v>
      </c>
      <c r="G615" s="7">
        <v>0</v>
      </c>
      <c r="H615" s="7">
        <v>0</v>
      </c>
      <c r="I615" s="7">
        <v>0</v>
      </c>
      <c r="J615" s="7">
        <v>0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21">
        <v>0</v>
      </c>
      <c r="T615" s="7" t="s">
        <v>32</v>
      </c>
    </row>
    <row r="616" spans="1:20" s="1" customFormat="1" x14ac:dyDescent="0.25">
      <c r="A616" s="24" t="s">
        <v>1197</v>
      </c>
      <c r="B616" s="24" t="s">
        <v>300</v>
      </c>
      <c r="C616" s="24" t="s">
        <v>31</v>
      </c>
      <c r="D616" s="7">
        <v>0</v>
      </c>
      <c r="E616" s="7">
        <v>0</v>
      </c>
      <c r="F616" s="7">
        <v>0</v>
      </c>
      <c r="G616" s="7">
        <v>0</v>
      </c>
      <c r="H616" s="7">
        <v>0</v>
      </c>
      <c r="I616" s="7">
        <v>0</v>
      </c>
      <c r="J616" s="7"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21">
        <v>0</v>
      </c>
      <c r="T616" s="7" t="s">
        <v>32</v>
      </c>
    </row>
    <row r="617" spans="1:20" s="1" customFormat="1" ht="47.25" x14ac:dyDescent="0.25">
      <c r="A617" s="24" t="s">
        <v>1198</v>
      </c>
      <c r="B617" s="24" t="s">
        <v>294</v>
      </c>
      <c r="C617" s="24" t="s">
        <v>31</v>
      </c>
      <c r="D617" s="7">
        <v>0</v>
      </c>
      <c r="E617" s="7">
        <v>0</v>
      </c>
      <c r="F617" s="7">
        <v>0</v>
      </c>
      <c r="G617" s="7">
        <v>0</v>
      </c>
      <c r="H617" s="7">
        <v>0</v>
      </c>
      <c r="I617" s="7">
        <v>0</v>
      </c>
      <c r="J617" s="7">
        <v>0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21">
        <v>0</v>
      </c>
      <c r="T617" s="7" t="s">
        <v>32</v>
      </c>
    </row>
    <row r="618" spans="1:20" s="1" customFormat="1" ht="47.25" x14ac:dyDescent="0.25">
      <c r="A618" s="24" t="s">
        <v>1199</v>
      </c>
      <c r="B618" s="24" t="s">
        <v>296</v>
      </c>
      <c r="C618" s="24" t="s">
        <v>31</v>
      </c>
      <c r="D618" s="7">
        <v>0</v>
      </c>
      <c r="E618" s="7">
        <v>0</v>
      </c>
      <c r="F618" s="7">
        <v>0</v>
      </c>
      <c r="G618" s="7">
        <v>0</v>
      </c>
      <c r="H618" s="7">
        <v>0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21">
        <v>0</v>
      </c>
      <c r="T618" s="7" t="s">
        <v>32</v>
      </c>
    </row>
    <row r="619" spans="1:20" s="1" customFormat="1" x14ac:dyDescent="0.25">
      <c r="A619" s="24" t="s">
        <v>1200</v>
      </c>
      <c r="B619" s="24" t="s">
        <v>304</v>
      </c>
      <c r="C619" s="24" t="s">
        <v>31</v>
      </c>
      <c r="D619" s="7">
        <f t="shared" ref="D619:R619" si="241">SUM(D620,D621,D622,D623)</f>
        <v>0</v>
      </c>
      <c r="E619" s="7">
        <f t="shared" si="241"/>
        <v>0</v>
      </c>
      <c r="F619" s="7">
        <f t="shared" si="241"/>
        <v>0</v>
      </c>
      <c r="G619" s="7">
        <f t="shared" si="241"/>
        <v>0</v>
      </c>
      <c r="H619" s="7">
        <f t="shared" si="241"/>
        <v>0</v>
      </c>
      <c r="I619" s="7">
        <f t="shared" si="241"/>
        <v>0</v>
      </c>
      <c r="J619" s="7">
        <f t="shared" si="241"/>
        <v>0</v>
      </c>
      <c r="K619" s="7">
        <f t="shared" si="241"/>
        <v>0</v>
      </c>
      <c r="L619" s="7">
        <f t="shared" si="241"/>
        <v>0</v>
      </c>
      <c r="M619" s="7">
        <f t="shared" si="241"/>
        <v>0</v>
      </c>
      <c r="N619" s="7">
        <f t="shared" si="241"/>
        <v>0</v>
      </c>
      <c r="O619" s="7">
        <f t="shared" si="241"/>
        <v>0</v>
      </c>
      <c r="P619" s="7">
        <f t="shared" si="241"/>
        <v>0</v>
      </c>
      <c r="Q619" s="7">
        <f t="shared" si="241"/>
        <v>0</v>
      </c>
      <c r="R619" s="7">
        <f t="shared" si="241"/>
        <v>0</v>
      </c>
      <c r="S619" s="21">
        <v>0</v>
      </c>
      <c r="T619" s="7" t="s">
        <v>32</v>
      </c>
    </row>
    <row r="620" spans="1:20" s="1" customFormat="1" ht="31.5" x14ac:dyDescent="0.25">
      <c r="A620" s="24" t="s">
        <v>1201</v>
      </c>
      <c r="B620" s="24" t="s">
        <v>306</v>
      </c>
      <c r="C620" s="24" t="s">
        <v>31</v>
      </c>
      <c r="D620" s="7">
        <v>0</v>
      </c>
      <c r="E620" s="7">
        <v>0</v>
      </c>
      <c r="F620" s="7">
        <v>0</v>
      </c>
      <c r="G620" s="7">
        <v>0</v>
      </c>
      <c r="H620" s="7">
        <v>0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21">
        <v>0</v>
      </c>
      <c r="T620" s="7" t="s">
        <v>32</v>
      </c>
    </row>
    <row r="621" spans="1:20" s="1" customFormat="1" x14ac:dyDescent="0.25">
      <c r="A621" s="24" t="s">
        <v>1202</v>
      </c>
      <c r="B621" s="24" t="s">
        <v>308</v>
      </c>
      <c r="C621" s="24" t="s">
        <v>31</v>
      </c>
      <c r="D621" s="7">
        <v>0</v>
      </c>
      <c r="E621" s="7">
        <v>0</v>
      </c>
      <c r="F621" s="7">
        <v>0</v>
      </c>
      <c r="G621" s="7">
        <v>0</v>
      </c>
      <c r="H621" s="7">
        <v>0</v>
      </c>
      <c r="I621" s="7">
        <v>0</v>
      </c>
      <c r="J621" s="7"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21">
        <v>0</v>
      </c>
      <c r="T621" s="7" t="s">
        <v>32</v>
      </c>
    </row>
    <row r="622" spans="1:20" s="1" customFormat="1" x14ac:dyDescent="0.25">
      <c r="A622" s="24" t="s">
        <v>1203</v>
      </c>
      <c r="B622" s="24" t="s">
        <v>313</v>
      </c>
      <c r="C622" s="24" t="s">
        <v>31</v>
      </c>
      <c r="D622" s="7">
        <v>0</v>
      </c>
      <c r="E622" s="7">
        <v>0</v>
      </c>
      <c r="F622" s="7">
        <v>0</v>
      </c>
      <c r="G622" s="7">
        <v>0</v>
      </c>
      <c r="H622" s="7">
        <v>0</v>
      </c>
      <c r="I622" s="7">
        <v>0</v>
      </c>
      <c r="J622" s="7"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21">
        <v>0</v>
      </c>
      <c r="T622" s="7" t="s">
        <v>32</v>
      </c>
    </row>
    <row r="623" spans="1:20" s="1" customFormat="1" x14ac:dyDescent="0.25">
      <c r="A623" s="24" t="s">
        <v>1204</v>
      </c>
      <c r="B623" s="24" t="s">
        <v>321</v>
      </c>
      <c r="C623" s="24" t="s">
        <v>31</v>
      </c>
      <c r="D623" s="7">
        <v>0</v>
      </c>
      <c r="E623" s="7">
        <v>0</v>
      </c>
      <c r="F623" s="7">
        <v>0</v>
      </c>
      <c r="G623" s="7">
        <v>0</v>
      </c>
      <c r="H623" s="7">
        <v>0</v>
      </c>
      <c r="I623" s="7">
        <v>0</v>
      </c>
      <c r="J623" s="7"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21">
        <v>0</v>
      </c>
      <c r="T623" s="7" t="s">
        <v>32</v>
      </c>
    </row>
    <row r="624" spans="1:20" s="1" customFormat="1" ht="31.5" x14ac:dyDescent="0.25">
      <c r="A624" s="24" t="s">
        <v>1205</v>
      </c>
      <c r="B624" s="24" t="s">
        <v>339</v>
      </c>
      <c r="C624" s="24" t="s">
        <v>31</v>
      </c>
      <c r="D624" s="7">
        <v>0</v>
      </c>
      <c r="E624" s="7">
        <v>0</v>
      </c>
      <c r="F624" s="7">
        <v>0</v>
      </c>
      <c r="G624" s="7">
        <v>0</v>
      </c>
      <c r="H624" s="7">
        <v>0</v>
      </c>
      <c r="I624" s="7">
        <v>0</v>
      </c>
      <c r="J624" s="7">
        <v>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21">
        <v>0</v>
      </c>
      <c r="T624" s="7" t="s">
        <v>32</v>
      </c>
    </row>
    <row r="625" spans="1:20" s="1" customFormat="1" ht="25.5" customHeight="1" x14ac:dyDescent="0.25">
      <c r="A625" s="24" t="s">
        <v>1206</v>
      </c>
      <c r="B625" s="24" t="s">
        <v>341</v>
      </c>
      <c r="C625" s="24" t="s">
        <v>31</v>
      </c>
      <c r="D625" s="7">
        <f t="shared" ref="D625:R625" si="242">SUM(D626:D628,)</f>
        <v>7.2815999999999992</v>
      </c>
      <c r="E625" s="7">
        <f t="shared" si="242"/>
        <v>0</v>
      </c>
      <c r="F625" s="7">
        <f t="shared" si="242"/>
        <v>7.2815999999999992</v>
      </c>
      <c r="G625" s="7">
        <f t="shared" si="242"/>
        <v>7.2815999999999992</v>
      </c>
      <c r="H625" s="7">
        <f t="shared" si="242"/>
        <v>6.2377015599999996</v>
      </c>
      <c r="I625" s="7">
        <f t="shared" si="242"/>
        <v>0</v>
      </c>
      <c r="J625" s="7">
        <f t="shared" si="242"/>
        <v>0</v>
      </c>
      <c r="K625" s="7">
        <f t="shared" si="242"/>
        <v>0</v>
      </c>
      <c r="L625" s="7">
        <f t="shared" si="242"/>
        <v>3.0555571599999998</v>
      </c>
      <c r="M625" s="7">
        <f t="shared" si="242"/>
        <v>0</v>
      </c>
      <c r="N625" s="7">
        <f t="shared" si="242"/>
        <v>3.1821443999999999</v>
      </c>
      <c r="O625" s="7">
        <f t="shared" si="242"/>
        <v>7.2815999999999992</v>
      </c>
      <c r="P625" s="7">
        <f t="shared" si="242"/>
        <v>0</v>
      </c>
      <c r="Q625" s="7">
        <f t="shared" si="242"/>
        <v>1.04389844</v>
      </c>
      <c r="R625" s="7">
        <f t="shared" si="242"/>
        <v>-1.04389844</v>
      </c>
      <c r="S625" s="21">
        <f>R625/(I625+K625+M625+O625)</f>
        <v>-0.14336113491540323</v>
      </c>
      <c r="T625" s="7" t="s">
        <v>32</v>
      </c>
    </row>
    <row r="626" spans="1:20" s="1" customFormat="1" ht="37.5" customHeight="1" x14ac:dyDescent="0.25">
      <c r="A626" s="30" t="s">
        <v>1206</v>
      </c>
      <c r="B626" s="34" t="s">
        <v>1207</v>
      </c>
      <c r="C626" s="30" t="s">
        <v>1208</v>
      </c>
      <c r="D626" s="29">
        <v>3.4415999999999998</v>
      </c>
      <c r="E626" s="29">
        <v>0</v>
      </c>
      <c r="F626" s="29">
        <f>D626-E626</f>
        <v>3.4415999999999998</v>
      </c>
      <c r="G626" s="30">
        <v>3.4415999999999998</v>
      </c>
      <c r="H626" s="29">
        <f>J626+L626+N626+P626</f>
        <v>3.0555571599999998</v>
      </c>
      <c r="I626" s="29">
        <v>0</v>
      </c>
      <c r="J626" s="29">
        <v>0</v>
      </c>
      <c r="K626" s="29">
        <v>0</v>
      </c>
      <c r="L626" s="29">
        <v>3.0555571599999998</v>
      </c>
      <c r="M626" s="29">
        <v>0</v>
      </c>
      <c r="N626" s="29">
        <v>0</v>
      </c>
      <c r="O626" s="29">
        <v>3.4415999999999998</v>
      </c>
      <c r="P626" s="29">
        <v>0</v>
      </c>
      <c r="Q626" s="29">
        <f>F626-H626</f>
        <v>0.38604284</v>
      </c>
      <c r="R626" s="29">
        <f t="shared" ref="R626:R628" si="243">H626-(I626+K626+M626+O626)</f>
        <v>-0.38604284</v>
      </c>
      <c r="S626" s="31">
        <f t="shared" ref="S626:S628" si="244">R626/(I626+K626+M626+O626)</f>
        <v>-0.1121695839144584</v>
      </c>
      <c r="T626" s="30" t="s">
        <v>414</v>
      </c>
    </row>
    <row r="627" spans="1:20" s="1" customFormat="1" x14ac:dyDescent="0.25">
      <c r="A627" s="30" t="s">
        <v>1206</v>
      </c>
      <c r="B627" s="34" t="s">
        <v>1209</v>
      </c>
      <c r="C627" s="30" t="s">
        <v>1210</v>
      </c>
      <c r="D627" s="29">
        <v>2.4</v>
      </c>
      <c r="E627" s="29">
        <v>0</v>
      </c>
      <c r="F627" s="29">
        <f>D627-E627</f>
        <v>2.4</v>
      </c>
      <c r="G627" s="30">
        <v>2.4</v>
      </c>
      <c r="H627" s="29">
        <f>J627+L627+N627+P627</f>
        <v>2.9484119999999998</v>
      </c>
      <c r="I627" s="29">
        <v>0</v>
      </c>
      <c r="J627" s="29">
        <v>0</v>
      </c>
      <c r="K627" s="29">
        <v>0</v>
      </c>
      <c r="L627" s="29">
        <v>0</v>
      </c>
      <c r="M627" s="29">
        <v>0</v>
      </c>
      <c r="N627" s="29">
        <v>2.9484119999999998</v>
      </c>
      <c r="O627" s="29">
        <v>2.4</v>
      </c>
      <c r="P627" s="29">
        <v>0</v>
      </c>
      <c r="Q627" s="29">
        <f>F627-H627</f>
        <v>-0.5484119999999999</v>
      </c>
      <c r="R627" s="29">
        <f t="shared" si="243"/>
        <v>0.5484119999999999</v>
      </c>
      <c r="S627" s="31">
        <f t="shared" si="244"/>
        <v>0.22850499999999996</v>
      </c>
      <c r="T627" s="29" t="s">
        <v>363</v>
      </c>
    </row>
    <row r="628" spans="1:20" s="1" customFormat="1" ht="31.5" x14ac:dyDescent="0.25">
      <c r="A628" s="30" t="s">
        <v>1206</v>
      </c>
      <c r="B628" s="34" t="s">
        <v>1211</v>
      </c>
      <c r="C628" s="30" t="s">
        <v>1212</v>
      </c>
      <c r="D628" s="29">
        <v>1.44</v>
      </c>
      <c r="E628" s="29">
        <v>0</v>
      </c>
      <c r="F628" s="29">
        <f>D628-E628</f>
        <v>1.44</v>
      </c>
      <c r="G628" s="30">
        <v>1.44</v>
      </c>
      <c r="H628" s="29">
        <f>J628+L628+N628+P628</f>
        <v>0.23373240000000001</v>
      </c>
      <c r="I628" s="29">
        <v>0</v>
      </c>
      <c r="J628" s="29">
        <v>0</v>
      </c>
      <c r="K628" s="29">
        <v>0</v>
      </c>
      <c r="L628" s="29">
        <v>0</v>
      </c>
      <c r="M628" s="29">
        <v>0</v>
      </c>
      <c r="N628" s="29">
        <v>0.23373240000000001</v>
      </c>
      <c r="O628" s="29">
        <v>1.44</v>
      </c>
      <c r="P628" s="29">
        <v>0</v>
      </c>
      <c r="Q628" s="29">
        <f>F628-H628</f>
        <v>1.2062675999999999</v>
      </c>
      <c r="R628" s="29">
        <f t="shared" si="243"/>
        <v>-1.2062675999999999</v>
      </c>
      <c r="S628" s="31">
        <f t="shared" si="244"/>
        <v>-0.83768583333333324</v>
      </c>
      <c r="T628" s="30" t="s">
        <v>414</v>
      </c>
    </row>
  </sheetData>
  <mergeCells count="25"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A12:T12"/>
    <mergeCell ref="A4:T4"/>
    <mergeCell ref="A5:T5"/>
    <mergeCell ref="A7:T7"/>
    <mergeCell ref="A8:T8"/>
    <mergeCell ref="A10:T10"/>
  </mergeCells>
  <conditionalFormatting sqref="A305:B305 A379:B379 A420:B421 A416:B417 E147 T150:T151 D146:E146 A150:F152 D51:G53 D73:G74 E69:E72 D133:G136 A153:A154 C153:F154 A266:C268 N379 T402 A413:C415 T428 A494:C501 T536:T538 A537:C538 T611:T625 G600:G602 A40:C40 E40:F40 A44:C50 A62:C62 E62:F62 A548:H559 A83:E84 J295:J299 J402 J379 J311 J131:J136 J141:J146 J413:J421 J69:J85 L334:L340 L347 L356 L364 J373:J377 L399 L384:L393 L311 L413:L417 L376:L377 L325:L327 L420:L421 L295:L299 N295:N299 N311 N373:N377 A521:C525 A520 L520 J520 N266:N272 F596:G599 A295:H299 D402:E402 D379:E379 A141:H143 A303:H304 A87:E87 D85:E86 A118:E122 D117:E117 A126:E126 J266:J272 L266:L272 A512:C519 T65:T67 A65:F66 A90:C98 A100:C104 D332:N332 J356 D67:E67 D75:E82 F67:F72 F75:G75 F137 F146:F147 A161:E177 F157:F177 D266:H270 D325:H327 D356:F356 D413:H417 D492:I505 F520 D522:H522 D534:E538 A546:E547 F534:F547 F626:F628 D226:F226 D229:F229 N529:N532 E44:F48 E54:F54 D61:H61 D57 F59:F60 F76:F77 F79 D88:H88 F81:F87 D107:J107 D90:F106 I108:J108 D144:F144 D145:H145 D149:F149 D231:F234 I231:M234 D236:F238 I236:M238 D245:N247 D248:F255 D272:H272 D271:F271 D274:F289 D328:F328 D339:H340 D406:H409 D420:H421 D418:F419 D506:F508 I506:I508 I513:I515 D513:F515 D531:H532 D529:F530 D560:F560 D612:H625 E55:H56 F64:H64 G69:H69 H73:H75 F78:H78 F80:H80 A131:H132 H133:H137 G157:H157 D235:M235 G348:H349 G354:H354 G402:H402 D509:I512 D561:H561 D89:N89 D239:N240 L274:L289 J274:J289 D273:N273 J529:J532 L529:L532 L534:L538 J534:J538 D533:N533 J522 L522 N522 P522:Q522 T21:T38 T40:T41 T73:T79 S79 T83:T89 T148 T145 T141:T143 T290:T292 T303:T304 T266:T273 T295:T300 T373:T376 T413:T417 T492:T505 T420:T421 T509:T511 T527:T533 S601:S603 E49:G50 H49:H53 L69:L85 I90:L106 L131:L136 L141:L146 N141:N146 I40:N40 P40 N402 J611:J625 K509:L518 T513 T521 T523:T525 T378 T51:T56 T61 T601:T602 F301:F302 H581:H602 D581:G595 A581:B597 C581:C594 T196:T199 A201:C202 A300:N300 A41:N43 S76:S77 N131:N136 T161:T177 A178:G178 I161:N178 S43:S48 S59:S63 S513:S515 A248:C258 T245:T256 T239:T243 A241:F244 D609:F611 D604:H608 A598:D600 A601:C625 E600:F600 D601:F603 K581:N625 J581:J609 I581:I625 J546:J561 L546:L561 T547:T561 G404:H404 G379:H379 A358:H377 I358:J372 G351:H351 S350:S353 T346:T358 A333:F338 I333:J341 M333:N341 A328:C329 T325:T333 I325:J328 D329:L331 A310:E311 I310:N310 B307:E309 M307:N309 I307:J309 T308:T311 A306:E306 T306 F306:F322 D305:H305 D562 T188:T193 T360 D59:D60 G58:H58 I65:N67 P66:P67 O66:O68 N73:N85 A108:F108 I241:N244 I248:N255 D256:N262 P307:P311 O307:O312 M325:N331 P373:P377 N413:N421 D516:I518 N546:N561 P546 N87:N88 L87:L88 J87:J88 K107:L108 M90:N108 R109:R110 A111:E116 F57:H57 E57:E60 A54:C60 I44:N62 Q324 F324 A20:N38 C123:E125 T107:T124 F111:H130 T180:T186 A179:N200 A210:C222 D201:N225 T201:T231 T339:T343 A341:E343 I342:N343 G341:H346 I424:I427 K426:K427 M424:M427 I346:J354 A346:E354 F341:F354 G380:J401 M380:N401 A380:E401 A404:E404 I404:N409 F379:F404 A405:H405 T404:T409 L492:L507 I429:I491 F422:H491 N424:N518 A424:E491 M429:M518 J424:J518 K461:K507 A565:N580 D127:E127 E562:T563 O424:P491 O404:P405 M346:P354 D523:R528 I111:P127 O21:R38 O58:P60 O107:R108 O87:P87 N534:P538 O506:P508 O418:P419 M358:P372 I149:P154 O75:P85 O306:P306 O609:R625 O259:T262 O596:T599 O178:T179 O41:S41 D378:R378 O512:P518 O42:P42 O44:P50 O595:P595 O161:P177 O146:P146 O131:P132 O90:P106 O62:P62 A155:R156 O305:T305 D521:R521 I229:P229 I226:P226 O529:P530 O531:R533 N520:P520 D230:R230 D227:R228 O61:R61 O51:R53 D148:R148 D357:R357 D355:R355 O325:R340 N231:P238 O65:P65 O54:P56 O20:T20 A290:R292 O272:R273 O547:P547 O341:P343 O271:P271 N274:P289 O548:R559 O88:R89 N356:P356 O561:R561 O560:P560 O145:R145 O509:R511 O73:R74 O141:R143 O303:R304 O406:R409 O413:R417 O492:R505 O144:P144 O266:R270 O420:R421 O295:R300 O601:R602 O379:P402 C19:T19 A15:T18 Q111:R132 O180:R225 O239:R258 Q306:S322 R323:R324 Q341:R354 Q358:R377 Q379:R405 Q422:R491 S158:S177 S257:T258 T515:T519 I303:N306 S21:S40 O43:R43 T43 S51:S54 O57:T57 A63:R63 T63 S65:S74 S81:S132 O133:T136 T153:T156 S138:S156 S180:S234 S236:S256 S263:S304 S324:S347 S355:S511 D519:S519 S520:S541 S544:S561 O565:T594 O604:T608 S609:S628">
    <cfRule type="containsBlanks" dxfId="1805" priority="1802">
      <formula>LEN(TRIM(A15))=0</formula>
    </cfRule>
  </conditionalFormatting>
  <conditionalFormatting sqref="D503:D504 D597 D239 D259 D52:D53 D57 D75:D80 D105:D106 D147 D508 D527:D533 D536 D561:D562 D135:D136 D271 D512:D513 D203:D204 D59:D60 E562:N563 O562:T562 O563:R563 E533:R533 E528:R528">
    <cfRule type="containsBlanks" dxfId="1804" priority="1788">
      <formula>LEN(TRIM(D52))=0</formula>
    </cfRule>
  </conditionalFormatting>
  <conditionalFormatting sqref="F503:F504 F597 F239 F259 F52:F53 F527 F561 F135:F136 F105:F106 F271 F512:F513 F529:F532 F59:F60">
    <cfRule type="containsBlanks" dxfId="1803" priority="1787">
      <formula>LEN(TRIM(F52))=0</formula>
    </cfRule>
  </conditionalFormatting>
  <conditionalFormatting sqref="G503:G504 G597 G239 G259 G52:G53 G527 G561 G135:G136 G512 G57:G58 G531:G532">
    <cfRule type="containsBlanks" dxfId="1802" priority="1786">
      <formula>LEN(TRIM(G52))=0</formula>
    </cfRule>
  </conditionalFormatting>
  <conditionalFormatting sqref="T232:T238 E232:E238">
    <cfRule type="containsBlanks" dxfId="1801" priority="1680">
      <formula>LEN(TRIM(E232))=0</formula>
    </cfRule>
  </conditionalFormatting>
  <conditionalFormatting sqref="O597:R597 O239:R239 O503:R504 O259:R259 O52:R53 O106:P106 O147 O508:P508 O527:R527 O536:P536 O561:R561 O581:R594 O135:R136 O512:P513 O65:P65 O595:P595 O203:P204 O155:R155 O57:R57 O271:P271 O141:R143 O58:P60 O531:R532 O529:P530 O66:O68 O75:P80 P105 O150:P154">
    <cfRule type="containsBlanks" dxfId="1800" priority="1783">
      <formula>LEN(TRIM(O52))=0</formula>
    </cfRule>
  </conditionalFormatting>
  <conditionalFormatting sqref="T328">
    <cfRule type="containsBlanks" dxfId="1799" priority="1801">
      <formula>LEN(TRIM(T328))=0</formula>
    </cfRule>
  </conditionalFormatting>
  <conditionalFormatting sqref="T329">
    <cfRule type="containsBlanks" dxfId="1798" priority="1800">
      <formula>LEN(TRIM(T329))=0</formula>
    </cfRule>
  </conditionalFormatting>
  <conditionalFormatting sqref="T152">
    <cfRule type="containsBlanks" dxfId="1797" priority="1792">
      <formula>LEN(TRIM(T152))=0</formula>
    </cfRule>
  </conditionalFormatting>
  <conditionalFormatting sqref="J75:J80">
    <cfRule type="containsBlanks" dxfId="1796" priority="1775">
      <formula>LEN(TRIM(J75))=0</formula>
    </cfRule>
  </conditionalFormatting>
  <conditionalFormatting sqref="J42">
    <cfRule type="containsBlanks" dxfId="1795" priority="1782">
      <formula>LEN(TRIM(J42))=0</formula>
    </cfRule>
  </conditionalFormatting>
  <conditionalFormatting sqref="T54">
    <cfRule type="containsBlanks" dxfId="1794" priority="1798">
      <formula>LEN(TRIM(T54))=0</formula>
    </cfRule>
  </conditionalFormatting>
  <conditionalFormatting sqref="J150:J154">
    <cfRule type="containsBlanks" dxfId="1793" priority="1769">
      <formula>LEN(TRIM(J150))=0</formula>
    </cfRule>
  </conditionalFormatting>
  <conditionalFormatting sqref="J203:J204">
    <cfRule type="containsBlanks" dxfId="1792" priority="1767">
      <formula>LEN(TRIM(J203))=0</formula>
    </cfRule>
  </conditionalFormatting>
  <conditionalFormatting sqref="E417 H417 J417 L417 T417 T420:T421 L420:L421 J420:J421 H420:H421 E420:E421">
    <cfRule type="containsBlanks" dxfId="1791" priority="1799">
      <formula>LEN(TRIM(E417))=0</formula>
    </cfRule>
  </conditionalFormatting>
  <conditionalFormatting sqref="T80">
    <cfRule type="containsBlanks" dxfId="1790" priority="1796">
      <formula>LEN(TRIM(T80))=0</formula>
    </cfRule>
  </conditionalFormatting>
  <conditionalFormatting sqref="T83">
    <cfRule type="containsBlanks" dxfId="1789" priority="1795">
      <formula>LEN(TRIM(T83))=0</formula>
    </cfRule>
  </conditionalFormatting>
  <conditionalFormatting sqref="T63">
    <cfRule type="containsBlanks" dxfId="1788" priority="1797">
      <formula>LEN(TRIM(T63))=0</formula>
    </cfRule>
  </conditionalFormatting>
  <conditionalFormatting sqref="T135">
    <cfRule type="containsBlanks" dxfId="1787" priority="1794">
      <formula>LEN(TRIM(T135))=0</formula>
    </cfRule>
  </conditionalFormatting>
  <conditionalFormatting sqref="T136">
    <cfRule type="containsBlanks" dxfId="1786" priority="1793">
      <formula>LEN(TRIM(T136))=0</formula>
    </cfRule>
  </conditionalFormatting>
  <conditionalFormatting sqref="J591">
    <cfRule type="containsBlanks" dxfId="1785" priority="1758">
      <formula>LEN(TRIM(J591))=0</formula>
    </cfRule>
  </conditionalFormatting>
  <conditionalFormatting sqref="O597:R597 O239:R239 O259:R259 O420:R421 O503:R504 O305:R305 O52:R53 O106:P106 O147 O508:P508 O527:R527 O536:P536 O561:R561 O581:R594 O135:R136 O512:P513 O65:P65 O595:P595 O203:P204 O155:R155 O57:R57 O271:P271 O141:R143 O58:P60 O531:R532 O529:P530 O66:O68 O75:P80 P105 O150:P154">
    <cfRule type="containsBlanks" dxfId="1784" priority="1785">
      <formula>LEN(TRIM(O52))=0</formula>
    </cfRule>
  </conditionalFormatting>
  <conditionalFormatting sqref="T503">
    <cfRule type="containsBlanks" dxfId="1783" priority="1791">
      <formula>LEN(TRIM(T503))=0</formula>
    </cfRule>
  </conditionalFormatting>
  <conditionalFormatting sqref="J20:J30 L20:L30 J52:J53 J57 J63 J135:J136 J239 J259 J266:J268 J416:J417 J522 J559 J582:J590 J592:J593 L52:L53 L503:L504 T503:T504 E503:E504 J503:J504 L57 L63 L135:L136 L239 L259 L266:L268 L416:L417 L522 L559 L582:L590 L592:L593 H503:H504 H597 H52:H53 H239 E239 E259 S259:T259 L305 J305 L420:L421 J420:J421 T52:T53 E52:E53 E75:E80 T75:T80 E105:E106 E147 E508 J527 L527 H527 E527 T536 E536 L536 E561 E135:E136 S135:T136 E271 E512:E513 E203:E204 H57:H58 T150:T155 J155 J561 T141:T143 T239 S19:T19 L561 L155 T271 T527:T533 H531:H532 H64 H69 H75 H78 H80 H131:H132 H137 H157 H235 H348:H349 H354 H402 H512 H561 H600 E529:E532 L529:L532 J529:J532 L524 J524 H516:H518 S260:S262 S20:S38 S43">
    <cfRule type="containsBlanks" dxfId="1782" priority="1790">
      <formula>LEN(TRIM(E19))=0</formula>
    </cfRule>
  </conditionalFormatting>
  <conditionalFormatting sqref="A52:B53 A503:B504 A239:B239 A259:B259 A75:B75 A105:B106 A147:B147 A508:B508 A527:B533 A536:B536 A561:B562 A135:B136 A271:B271 A203:B204 A19 A77:B80">
    <cfRule type="containsBlanks" dxfId="1781" priority="1789">
      <formula>LEN(TRIM(A19))=0</formula>
    </cfRule>
  </conditionalFormatting>
  <conditionalFormatting sqref="L271">
    <cfRule type="containsBlanks" dxfId="1780" priority="1739">
      <formula>LEN(TRIM(L271))=0</formula>
    </cfRule>
  </conditionalFormatting>
  <conditionalFormatting sqref="J65">
    <cfRule type="containsBlanks" dxfId="1779" priority="1778">
      <formula>LEN(TRIM(J65))=0</formula>
    </cfRule>
  </conditionalFormatting>
  <conditionalFormatting sqref="O417:R417 O420:R421">
    <cfRule type="containsBlanks" dxfId="1778" priority="1784">
      <formula>LEN(TRIM(O417))=0</formula>
    </cfRule>
  </conditionalFormatting>
  <conditionalFormatting sqref="J591">
    <cfRule type="containsBlanks" dxfId="1777" priority="1757">
      <formula>LEN(TRIM(J591))=0</formula>
    </cfRule>
  </conditionalFormatting>
  <conditionalFormatting sqref="J42">
    <cfRule type="containsBlanks" dxfId="1776" priority="1781">
      <formula>LEN(TRIM(J42))=0</formula>
    </cfRule>
  </conditionalFormatting>
  <conditionalFormatting sqref="J75:J80">
    <cfRule type="containsBlanks" dxfId="1775" priority="1776">
      <formula>LEN(TRIM(J75))=0</formula>
    </cfRule>
  </conditionalFormatting>
  <conditionalFormatting sqref="J379">
    <cfRule type="containsBlanks" dxfId="1774" priority="1763">
      <formula>LEN(TRIM(J379))=0</formula>
    </cfRule>
  </conditionalFormatting>
  <conditionalFormatting sqref="J536">
    <cfRule type="containsBlanks" dxfId="1773" priority="1760">
      <formula>LEN(TRIM(J536))=0</formula>
    </cfRule>
  </conditionalFormatting>
  <conditionalFormatting sqref="J536">
    <cfRule type="containsBlanks" dxfId="1772" priority="1759">
      <formula>LEN(TRIM(J536))=0</formula>
    </cfRule>
  </conditionalFormatting>
  <conditionalFormatting sqref="J508 J512:J513 J520">
    <cfRule type="containsBlanks" dxfId="1771" priority="1762">
      <formula>LEN(TRIM(J508))=0</formula>
    </cfRule>
  </conditionalFormatting>
  <conditionalFormatting sqref="J508 J512:J513 J520">
    <cfRule type="containsBlanks" dxfId="1770" priority="1761">
      <formula>LEN(TRIM(J508))=0</formula>
    </cfRule>
  </conditionalFormatting>
  <conditionalFormatting sqref="J594:J595 J597">
    <cfRule type="containsBlanks" dxfId="1769" priority="1756">
      <formula>LEN(TRIM(J594))=0</formula>
    </cfRule>
  </conditionalFormatting>
  <conditionalFormatting sqref="J594:J595 J597">
    <cfRule type="containsBlanks" dxfId="1768" priority="1755">
      <formula>LEN(TRIM(J594))=0</formula>
    </cfRule>
  </conditionalFormatting>
  <conditionalFormatting sqref="L512:L513 L520">
    <cfRule type="containsBlanks" dxfId="1767" priority="1738">
      <formula>LEN(TRIM(L512))=0</formula>
    </cfRule>
  </conditionalFormatting>
  <conditionalFormatting sqref="L512:L513 L520">
    <cfRule type="containsBlanks" dxfId="1766" priority="1737">
      <formula>LEN(TRIM(L512))=0</formula>
    </cfRule>
  </conditionalFormatting>
  <conditionalFormatting sqref="N503:N504 N597 N239 N259 N52:N53 N75:N80 N105:N106 N508 N527 N536 N561 N135:N136 N271 N512:N513 N203:N204 N529:N532">
    <cfRule type="containsBlanks" dxfId="1765" priority="1731">
      <formula>LEN(TRIM(N52))=0</formula>
    </cfRule>
  </conditionalFormatting>
  <conditionalFormatting sqref="L597 L594:L595">
    <cfRule type="containsBlanks" dxfId="1764" priority="1734">
      <formula>LEN(TRIM(L594))=0</formula>
    </cfRule>
  </conditionalFormatting>
  <conditionalFormatting sqref="L597 L594:L595">
    <cfRule type="containsBlanks" dxfId="1763" priority="1733">
      <formula>LEN(TRIM(L594))=0</formula>
    </cfRule>
  </conditionalFormatting>
  <conditionalFormatting sqref="L591">
    <cfRule type="containsBlanks" dxfId="1762" priority="1736">
      <formula>LEN(TRIM(L591))=0</formula>
    </cfRule>
  </conditionalFormatting>
  <conditionalFormatting sqref="L591">
    <cfRule type="containsBlanks" dxfId="1761" priority="1735">
      <formula>LEN(TRIM(L591))=0</formula>
    </cfRule>
  </conditionalFormatting>
  <conditionalFormatting sqref="O274:P289">
    <cfRule type="containsBlanks" dxfId="1760" priority="1645">
      <formula>LEN(TRIM(O274))=0</formula>
    </cfRule>
  </conditionalFormatting>
  <conditionalFormatting sqref="O274:P289">
    <cfRule type="containsBlanks" dxfId="1759" priority="1644">
      <formula>LEN(TRIM(O274))=0</formula>
    </cfRule>
  </conditionalFormatting>
  <conditionalFormatting sqref="H512">
    <cfRule type="containsBlanks" dxfId="1758" priority="1682">
      <formula>LEN(TRIM(H512))=0</formula>
    </cfRule>
  </conditionalFormatting>
  <conditionalFormatting sqref="J58:J60">
    <cfRule type="containsBlanks" dxfId="1757" priority="1780">
      <formula>LEN(TRIM(J58))=0</formula>
    </cfRule>
  </conditionalFormatting>
  <conditionalFormatting sqref="J58:J60">
    <cfRule type="containsBlanks" dxfId="1756" priority="1779">
      <formula>LEN(TRIM(J58))=0</formula>
    </cfRule>
  </conditionalFormatting>
  <conditionalFormatting sqref="L42">
    <cfRule type="containsBlanks" dxfId="1755" priority="1754">
      <formula>LEN(TRIM(L42))=0</formula>
    </cfRule>
  </conditionalFormatting>
  <conditionalFormatting sqref="L42">
    <cfRule type="containsBlanks" dxfId="1754" priority="1753">
      <formula>LEN(TRIM(L42))=0</formula>
    </cfRule>
  </conditionalFormatting>
  <conditionalFormatting sqref="J150:J154">
    <cfRule type="containsBlanks" dxfId="1753" priority="1770">
      <formula>LEN(TRIM(J150))=0</formula>
    </cfRule>
  </conditionalFormatting>
  <conditionalFormatting sqref="J65">
    <cfRule type="containsBlanks" dxfId="1752" priority="1777">
      <formula>LEN(TRIM(J65))=0</formula>
    </cfRule>
  </conditionalFormatting>
  <conditionalFormatting sqref="J105:J106">
    <cfRule type="containsBlanks" dxfId="1751" priority="1774">
      <formula>LEN(TRIM(J105))=0</formula>
    </cfRule>
  </conditionalFormatting>
  <conditionalFormatting sqref="J105:J106">
    <cfRule type="containsBlanks" dxfId="1750" priority="1773">
      <formula>LEN(TRIM(J105))=0</formula>
    </cfRule>
  </conditionalFormatting>
  <conditionalFormatting sqref="J147">
    <cfRule type="containsBlanks" dxfId="1749" priority="1772">
      <formula>LEN(TRIM(J147))=0</formula>
    </cfRule>
  </conditionalFormatting>
  <conditionalFormatting sqref="J147">
    <cfRule type="containsBlanks" dxfId="1748" priority="1771">
      <formula>LEN(TRIM(J147))=0</formula>
    </cfRule>
  </conditionalFormatting>
  <conditionalFormatting sqref="L75:L80">
    <cfRule type="containsBlanks" dxfId="1747" priority="1747">
      <formula>LEN(TRIM(L75))=0</formula>
    </cfRule>
  </conditionalFormatting>
  <conditionalFormatting sqref="J203:J204">
    <cfRule type="containsBlanks" dxfId="1746" priority="1768">
      <formula>LEN(TRIM(J203))=0</formula>
    </cfRule>
  </conditionalFormatting>
  <conditionalFormatting sqref="L105:L106">
    <cfRule type="containsBlanks" dxfId="1745" priority="1746">
      <formula>LEN(TRIM(L105))=0</formula>
    </cfRule>
  </conditionalFormatting>
  <conditionalFormatting sqref="L58:L60">
    <cfRule type="containsBlanks" dxfId="1744" priority="1752">
      <formula>LEN(TRIM(L58))=0</formula>
    </cfRule>
  </conditionalFormatting>
  <conditionalFormatting sqref="J271">
    <cfRule type="containsBlanks" dxfId="1743" priority="1766">
      <formula>LEN(TRIM(J271))=0</formula>
    </cfRule>
  </conditionalFormatting>
  <conditionalFormatting sqref="J271">
    <cfRule type="containsBlanks" dxfId="1742" priority="1765">
      <formula>LEN(TRIM(J271))=0</formula>
    </cfRule>
  </conditionalFormatting>
  <conditionalFormatting sqref="J379">
    <cfRule type="containsBlanks" dxfId="1741" priority="1764">
      <formula>LEN(TRIM(J379))=0</formula>
    </cfRule>
  </conditionalFormatting>
  <conditionalFormatting sqref="L65">
    <cfRule type="containsBlanks" dxfId="1740" priority="1750">
      <formula>LEN(TRIM(L65))=0</formula>
    </cfRule>
  </conditionalFormatting>
  <conditionalFormatting sqref="L65">
    <cfRule type="containsBlanks" dxfId="1739" priority="1749">
      <formula>LEN(TRIM(L65))=0</formula>
    </cfRule>
  </conditionalFormatting>
  <conditionalFormatting sqref="L271">
    <cfRule type="containsBlanks" dxfId="1738" priority="1740">
      <formula>LEN(TRIM(L271))=0</formula>
    </cfRule>
  </conditionalFormatting>
  <conditionalFormatting sqref="L75:L80">
    <cfRule type="containsBlanks" dxfId="1737" priority="1748">
      <formula>LEN(TRIM(L75))=0</formula>
    </cfRule>
  </conditionalFormatting>
  <conditionalFormatting sqref="L105:L106">
    <cfRule type="containsBlanks" dxfId="1736" priority="1745">
      <formula>LEN(TRIM(L105))=0</formula>
    </cfRule>
  </conditionalFormatting>
  <conditionalFormatting sqref="L58:L60">
    <cfRule type="containsBlanks" dxfId="1735" priority="1751">
      <formula>LEN(TRIM(L58))=0</formula>
    </cfRule>
  </conditionalFormatting>
  <conditionalFormatting sqref="L203:L204">
    <cfRule type="containsBlanks" dxfId="1734" priority="1741">
      <formula>LEN(TRIM(L203))=0</formula>
    </cfRule>
  </conditionalFormatting>
  <conditionalFormatting sqref="L203:L204">
    <cfRule type="containsBlanks" dxfId="1733" priority="1742">
      <formula>LEN(TRIM(L203))=0</formula>
    </cfRule>
  </conditionalFormatting>
  <conditionalFormatting sqref="L150:L154">
    <cfRule type="containsBlanks" dxfId="1732" priority="1744">
      <formula>LEN(TRIM(L150))=0</formula>
    </cfRule>
  </conditionalFormatting>
  <conditionalFormatting sqref="L150:L154">
    <cfRule type="containsBlanks" dxfId="1731" priority="1743">
      <formula>LEN(TRIM(L150))=0</formula>
    </cfRule>
  </conditionalFormatting>
  <conditionalFormatting sqref="O596:R596">
    <cfRule type="containsBlanks" dxfId="1730" priority="1721">
      <formula>LEN(TRIM(O596))=0</formula>
    </cfRule>
  </conditionalFormatting>
  <conditionalFormatting sqref="J596">
    <cfRule type="containsBlanks" dxfId="1729" priority="1720">
      <formula>LEN(TRIM(J596))=0</formula>
    </cfRule>
  </conditionalFormatting>
  <conditionalFormatting sqref="E155">
    <cfRule type="containsBlanks" dxfId="1728" priority="1699">
      <formula>LEN(TRIM(E155))=0</formula>
    </cfRule>
  </conditionalFormatting>
  <conditionalFormatting sqref="A222:B222">
    <cfRule type="containsBlanks" dxfId="1727" priority="1730">
      <formula>LEN(TRIM(A222))=0</formula>
    </cfRule>
  </conditionalFormatting>
  <conditionalFormatting sqref="D222:F222">
    <cfRule type="containsBlanks" dxfId="1726" priority="1729">
      <formula>LEN(TRIM(D222))=0</formula>
    </cfRule>
  </conditionalFormatting>
  <conditionalFormatting sqref="T222">
    <cfRule type="containsBlanks" dxfId="1725" priority="1728">
      <formula>LEN(TRIM(T222))=0</formula>
    </cfRule>
  </conditionalFormatting>
  <conditionalFormatting sqref="J596">
    <cfRule type="containsBlanks" dxfId="1724" priority="1719">
      <formula>LEN(TRIM(J596))=0</formula>
    </cfRule>
  </conditionalFormatting>
  <conditionalFormatting sqref="L596">
    <cfRule type="containsBlanks" dxfId="1723" priority="1718">
      <formula>LEN(TRIM(L596))=0</formula>
    </cfRule>
  </conditionalFormatting>
  <conditionalFormatting sqref="J274:J289">
    <cfRule type="containsBlanks" dxfId="1722" priority="1643">
      <formula>LEN(TRIM(J274))=0</formula>
    </cfRule>
  </conditionalFormatting>
  <conditionalFormatting sqref="J274:J289">
    <cfRule type="containsBlanks" dxfId="1721" priority="1642">
      <formula>LEN(TRIM(J274))=0</formula>
    </cfRule>
  </conditionalFormatting>
  <conditionalFormatting sqref="A222:B222 T222 D222:F222">
    <cfRule type="containsBlanks" dxfId="1720" priority="1727">
      <formula>LEN(TRIM(A222))=0</formula>
    </cfRule>
  </conditionalFormatting>
  <conditionalFormatting sqref="N259 N420:N421 N503:N504 N597 N239 N305 N52:N53 N75:N80 N105:N106 N508 N527 N536 N561 N135:N136 N271 N512:N513 N203:N204 N529:N532">
    <cfRule type="containsBlanks" dxfId="1719" priority="1732">
      <formula>LEN(TRIM(N52))=0</formula>
    </cfRule>
  </conditionalFormatting>
  <conditionalFormatting sqref="N417 N420:N421">
    <cfRule type="containsBlanks" dxfId="1718" priority="1803">
      <formula>LEN(TRIM(N417))=0</formula>
    </cfRule>
  </conditionalFormatting>
  <conditionalFormatting sqref="H596 S596:S599">
    <cfRule type="containsBlanks" dxfId="1717" priority="1725">
      <formula>LEN(TRIM(H596))=0</formula>
    </cfRule>
  </conditionalFormatting>
  <conditionalFormatting sqref="D596">
    <cfRule type="containsBlanks" dxfId="1716" priority="1724">
      <formula>LEN(TRIM(D596))=0</formula>
    </cfRule>
  </conditionalFormatting>
  <conditionalFormatting sqref="F596">
    <cfRule type="containsBlanks" dxfId="1715" priority="1723">
      <formula>LEN(TRIM(F596))=0</formula>
    </cfRule>
  </conditionalFormatting>
  <conditionalFormatting sqref="O596:R596">
    <cfRule type="containsBlanks" dxfId="1714" priority="1804">
      <formula>LEN(TRIM(O596))=0</formula>
    </cfRule>
  </conditionalFormatting>
  <conditionalFormatting sqref="A69:B69 O69">
    <cfRule type="containsBlanks" dxfId="1713" priority="1587">
      <formula>LEN(TRIM(A69))=0</formula>
    </cfRule>
  </conditionalFormatting>
  <conditionalFormatting sqref="G596">
    <cfRule type="containsBlanks" dxfId="1712" priority="1722">
      <formula>LEN(TRIM(G596))=0</formula>
    </cfRule>
  </conditionalFormatting>
  <conditionalFormatting sqref="H596 S596:S599">
    <cfRule type="containsBlanks" dxfId="1711" priority="1726">
      <formula>LEN(TRIM(H596))=0</formula>
    </cfRule>
  </conditionalFormatting>
  <conditionalFormatting sqref="L596">
    <cfRule type="containsBlanks" dxfId="1710" priority="1717">
      <formula>LEN(TRIM(L596))=0</formula>
    </cfRule>
  </conditionalFormatting>
  <conditionalFormatting sqref="N596">
    <cfRule type="containsBlanks" dxfId="1709" priority="1715">
      <formula>LEN(TRIM(N596))=0</formula>
    </cfRule>
  </conditionalFormatting>
  <conditionalFormatting sqref="N596">
    <cfRule type="containsBlanks" dxfId="1708" priority="1716">
      <formula>LEN(TRIM(N596))=0</formula>
    </cfRule>
  </conditionalFormatting>
  <conditionalFormatting sqref="D596:D597 A239:B239 A259:B259 A305:B305 A379:B379 A420:B421 A416:B417 A75:B75 A105:B106 A147:B147 D147:E147 A508:B508 A527:B533 A536:B536 A561:B562 A52:B53 A135:B136 A271:B271 A503:B504 T75:T80 T150:T154 T536 A203:B204 L69:L72 H137 J147 A19 O147 A77:B80">
    <cfRule type="containsBlanks" dxfId="1707" priority="1714">
      <formula>LEN(TRIM(A19))=0</formula>
    </cfRule>
  </conditionalFormatting>
  <conditionalFormatting sqref="C597 C239 C259 C305 C379 C420:C421 C416:C417 C75 C105:C106 C147 C508 C527:C533 C536 C561:C562 C52:C53 C135:C136 C271 C503:C504 C203:C204 C77:C80">
    <cfRule type="containsBlanks" dxfId="1706" priority="1713">
      <formula>LEN(TRIM(C52))=0</formula>
    </cfRule>
  </conditionalFormatting>
  <conditionalFormatting sqref="C80 C105:C106 C147 C135:C136">
    <cfRule type="containsBlanks" dxfId="1705" priority="1712">
      <formula>LEN(TRIM(C80))=0</formula>
    </cfRule>
  </conditionalFormatting>
  <conditionalFormatting sqref="C595:C596">
    <cfRule type="containsBlanks" dxfId="1704" priority="1711">
      <formula>LEN(TRIM(C595))=0</formula>
    </cfRule>
  </conditionalFormatting>
  <conditionalFormatting sqref="H598:H599 H601:H602 H604:H608">
    <cfRule type="containsBlanks" dxfId="1703" priority="1709">
      <formula>LEN(TRIM(H598))=0</formula>
    </cfRule>
  </conditionalFormatting>
  <conditionalFormatting sqref="E522 E524">
    <cfRule type="containsBlanks" dxfId="1702" priority="1694">
      <formula>LEN(TRIM(E522))=0</formula>
    </cfRule>
  </conditionalFormatting>
  <conditionalFormatting sqref="E527 E529:E530">
    <cfRule type="containsBlanks" dxfId="1701" priority="1693">
      <formula>LEN(TRIM(E527))=0</formula>
    </cfRule>
  </conditionalFormatting>
  <conditionalFormatting sqref="H598:H599 H601:H602 H604:H608">
    <cfRule type="containsBlanks" dxfId="1700" priority="1710">
      <formula>LEN(TRIM(H598))=0</formula>
    </cfRule>
  </conditionalFormatting>
  <conditionalFormatting sqref="F598:F599 F601:F602 F604:F608">
    <cfRule type="containsBlanks" dxfId="1699" priority="1708">
      <formula>LEN(TRIM(F598))=0</formula>
    </cfRule>
  </conditionalFormatting>
  <conditionalFormatting sqref="E596:E597">
    <cfRule type="containsBlanks" dxfId="1698" priority="1687">
      <formula>LEN(TRIM(E596))=0</formula>
    </cfRule>
  </conditionalFormatting>
  <conditionalFormatting sqref="O598:R599 O601:R602 O600 O604:R608 O603">
    <cfRule type="containsBlanks" dxfId="1697" priority="1706">
      <formula>LEN(TRIM(O598))=0</formula>
    </cfRule>
  </conditionalFormatting>
  <conditionalFormatting sqref="O598:R599 O601:R602 O600 O604:R608 O603">
    <cfRule type="containsBlanks" dxfId="1696" priority="1707">
      <formula>LEN(TRIM(O598))=0</formula>
    </cfRule>
  </conditionalFormatting>
  <conditionalFormatting sqref="D598:D599 D600:E600 J600 J603 G600 D603:E603 L603 L600 J611 N603:O603 N600:O600">
    <cfRule type="containsBlanks" dxfId="1695" priority="1705">
      <formula>LEN(TRIM(D598))=0</formula>
    </cfRule>
  </conditionalFormatting>
  <conditionalFormatting sqref="E19:E30">
    <cfRule type="containsBlanks" dxfId="1694" priority="1704">
      <formula>LEN(TRIM(E19))=0</formula>
    </cfRule>
  </conditionalFormatting>
  <conditionalFormatting sqref="E52:E53">
    <cfRule type="containsBlanks" dxfId="1693" priority="1703">
      <formula>LEN(TRIM(E52))=0</formula>
    </cfRule>
  </conditionalFormatting>
  <conditionalFormatting sqref="E57">
    <cfRule type="containsBlanks" dxfId="1692" priority="1702">
      <formula>LEN(TRIM(E57))=0</formula>
    </cfRule>
  </conditionalFormatting>
  <conditionalFormatting sqref="E63">
    <cfRule type="containsBlanks" dxfId="1691" priority="1701">
      <formula>LEN(TRIM(E63))=0</formula>
    </cfRule>
  </conditionalFormatting>
  <conditionalFormatting sqref="E135:E136">
    <cfRule type="containsBlanks" dxfId="1690" priority="1700">
      <formula>LEN(TRIM(E135))=0</formula>
    </cfRule>
  </conditionalFormatting>
  <conditionalFormatting sqref="L347">
    <cfRule type="containsBlanks" dxfId="1689" priority="1632">
      <formula>LEN(TRIM(L347))=0</formula>
    </cfRule>
  </conditionalFormatting>
  <conditionalFormatting sqref="E239">
    <cfRule type="containsBlanks" dxfId="1688" priority="1698">
      <formula>LEN(TRIM(E239))=0</formula>
    </cfRule>
  </conditionalFormatting>
  <conditionalFormatting sqref="E259">
    <cfRule type="containsBlanks" dxfId="1687" priority="1697">
      <formula>LEN(TRIM(E259))=0</formula>
    </cfRule>
  </conditionalFormatting>
  <conditionalFormatting sqref="E266:E268">
    <cfRule type="containsBlanks" dxfId="1686" priority="1696">
      <formula>LEN(TRIM(E266))=0</formula>
    </cfRule>
  </conditionalFormatting>
  <conditionalFormatting sqref="E503:E504">
    <cfRule type="containsBlanks" dxfId="1685" priority="1695">
      <formula>LEN(TRIM(E503))=0</formula>
    </cfRule>
  </conditionalFormatting>
  <conditionalFormatting sqref="E561">
    <cfRule type="containsBlanks" dxfId="1684" priority="1691">
      <formula>LEN(TRIM(E561))=0</formula>
    </cfRule>
  </conditionalFormatting>
  <conditionalFormatting sqref="E601:E602">
    <cfRule type="containsBlanks" dxfId="1683" priority="1684">
      <formula>LEN(TRIM(E601))=0</formula>
    </cfRule>
  </conditionalFormatting>
  <conditionalFormatting sqref="E604:E608">
    <cfRule type="containsBlanks" dxfId="1682" priority="1683">
      <formula>LEN(TRIM(E604))=0</formula>
    </cfRule>
  </conditionalFormatting>
  <conditionalFormatting sqref="E531:E532">
    <cfRule type="containsBlanks" dxfId="1681" priority="1692">
      <formula>LEN(TRIM(E531))=0</formula>
    </cfRule>
  </conditionalFormatting>
  <conditionalFormatting sqref="E581:E594">
    <cfRule type="containsBlanks" dxfId="1680" priority="1690">
      <formula>LEN(TRIM(E581))=0</formula>
    </cfRule>
  </conditionalFormatting>
  <conditionalFormatting sqref="E597">
    <cfRule type="containsBlanks" dxfId="1679" priority="1689">
      <formula>LEN(TRIM(E597))=0</formula>
    </cfRule>
  </conditionalFormatting>
  <conditionalFormatting sqref="E596">
    <cfRule type="containsBlanks" dxfId="1678" priority="1688">
      <formula>LEN(TRIM(E596))=0</formula>
    </cfRule>
  </conditionalFormatting>
  <conditionalFormatting sqref="E598:E599">
    <cfRule type="containsBlanks" dxfId="1677" priority="1686">
      <formula>LEN(TRIM(E598))=0</formula>
    </cfRule>
  </conditionalFormatting>
  <conditionalFormatting sqref="E598:E599">
    <cfRule type="containsBlanks" dxfId="1676" priority="1685">
      <formula>LEN(TRIM(E598))=0</formula>
    </cfRule>
  </conditionalFormatting>
  <conditionalFormatting sqref="H235">
    <cfRule type="containsBlanks" dxfId="1675" priority="1662">
      <formula>LEN(TRIM(H235))=0</formula>
    </cfRule>
  </conditionalFormatting>
  <conditionalFormatting sqref="H595">
    <cfRule type="containsBlanks" dxfId="1674" priority="1681">
      <formula>LEN(TRIM(H595))=0</formula>
    </cfRule>
  </conditionalFormatting>
  <conditionalFormatting sqref="H235">
    <cfRule type="containsBlanks" dxfId="1673" priority="1663">
      <formula>LEN(TRIM(H235))=0</formula>
    </cfRule>
  </conditionalFormatting>
  <conditionalFormatting sqref="E248:E255">
    <cfRule type="containsBlanks" dxfId="1672" priority="1661">
      <formula>LEN(TRIM(E248))=0</formula>
    </cfRule>
  </conditionalFormatting>
  <conditionalFormatting sqref="N514">
    <cfRule type="containsBlanks" dxfId="1671" priority="1604">
      <formula>LEN(TRIM(N514))=0</formula>
    </cfRule>
  </conditionalFormatting>
  <conditionalFormatting sqref="N514">
    <cfRule type="containsBlanks" dxfId="1670" priority="1605">
      <formula>LEN(TRIM(N514))=0</formula>
    </cfRule>
  </conditionalFormatting>
  <conditionalFormatting sqref="O232:P238">
    <cfRule type="containsBlanks" dxfId="1669" priority="1675">
      <formula>LEN(TRIM(O232))=0</formula>
    </cfRule>
  </conditionalFormatting>
  <conditionalFormatting sqref="D232:D238">
    <cfRule type="containsBlanks" dxfId="1668" priority="1678">
      <formula>LEN(TRIM(D232))=0</formula>
    </cfRule>
  </conditionalFormatting>
  <conditionalFormatting sqref="T232:T238 E232:E238">
    <cfRule type="containsBlanks" dxfId="1667" priority="1805">
      <formula>LEN(TRIM(E232))=0</formula>
    </cfRule>
  </conditionalFormatting>
  <conditionalFormatting sqref="F232:F238">
    <cfRule type="containsBlanks" dxfId="1666" priority="1677">
      <formula>LEN(TRIM(F232))=0</formula>
    </cfRule>
  </conditionalFormatting>
  <conditionalFormatting sqref="G235">
    <cfRule type="containsBlanks" dxfId="1665" priority="1676">
      <formula>LEN(TRIM(G235))=0</formula>
    </cfRule>
  </conditionalFormatting>
  <conditionalFormatting sqref="H235">
    <cfRule type="containsBlanks" dxfId="1664" priority="1666">
      <formula>LEN(TRIM(H235))=0</formula>
    </cfRule>
  </conditionalFormatting>
  <conditionalFormatting sqref="O232:P238">
    <cfRule type="containsBlanks" dxfId="1663" priority="1674">
      <formula>LEN(TRIM(O232))=0</formula>
    </cfRule>
  </conditionalFormatting>
  <conditionalFormatting sqref="J232:J238">
    <cfRule type="containsBlanks" dxfId="1662" priority="1672">
      <formula>LEN(TRIM(J232))=0</formula>
    </cfRule>
  </conditionalFormatting>
  <conditionalFormatting sqref="A232:B238">
    <cfRule type="containsBlanks" dxfId="1661" priority="1679">
      <formula>LEN(TRIM(A232))=0</formula>
    </cfRule>
  </conditionalFormatting>
  <conditionalFormatting sqref="A232:B238 T232:T238">
    <cfRule type="containsBlanks" dxfId="1660" priority="1665">
      <formula>LEN(TRIM(A232))=0</formula>
    </cfRule>
  </conditionalFormatting>
  <conditionalFormatting sqref="J232:J238">
    <cfRule type="containsBlanks" dxfId="1659" priority="1673">
      <formula>LEN(TRIM(J232))=0</formula>
    </cfRule>
  </conditionalFormatting>
  <conditionalFormatting sqref="L232:L238">
    <cfRule type="containsBlanks" dxfId="1658" priority="1671">
      <formula>LEN(TRIM(L232))=0</formula>
    </cfRule>
  </conditionalFormatting>
  <conditionalFormatting sqref="L232:L238">
    <cfRule type="containsBlanks" dxfId="1657" priority="1670">
      <formula>LEN(TRIM(L232))=0</formula>
    </cfRule>
  </conditionalFormatting>
  <conditionalFormatting sqref="N232:N238">
    <cfRule type="containsBlanks" dxfId="1656" priority="1668">
      <formula>LEN(TRIM(N232))=0</formula>
    </cfRule>
  </conditionalFormatting>
  <conditionalFormatting sqref="N232:N238">
    <cfRule type="containsBlanks" dxfId="1655" priority="1669">
      <formula>LEN(TRIM(N232))=0</formula>
    </cfRule>
  </conditionalFormatting>
  <conditionalFormatting sqref="H235">
    <cfRule type="containsBlanks" dxfId="1654" priority="1667">
      <formula>LEN(TRIM(H235))=0</formula>
    </cfRule>
  </conditionalFormatting>
  <conditionalFormatting sqref="S133:T133 E133 J133 L133 H133 S134:S136 S138:S143 S145 S148 S155:S156">
    <cfRule type="containsBlanks" dxfId="1653" priority="1404">
      <formula>LEN(TRIM(E133))=0</formula>
    </cfRule>
  </conditionalFormatting>
  <conditionalFormatting sqref="C232:C238">
    <cfRule type="containsBlanks" dxfId="1652" priority="1664">
      <formula>LEN(TRIM(C232))=0</formula>
    </cfRule>
  </conditionalFormatting>
  <conditionalFormatting sqref="C107">
    <cfRule type="containsBlanks" dxfId="1651" priority="1406">
      <formula>LEN(TRIM(C107))=0</formula>
    </cfRule>
  </conditionalFormatting>
  <conditionalFormatting sqref="E107">
    <cfRule type="containsBlanks" dxfId="1650" priority="1405">
      <formula>LEN(TRIM(E107))=0</formula>
    </cfRule>
  </conditionalFormatting>
  <conditionalFormatting sqref="J248:J255">
    <cfRule type="containsBlanks" dxfId="1649" priority="1656">
      <formula>LEN(TRIM(J248))=0</formula>
    </cfRule>
  </conditionalFormatting>
  <conditionalFormatting sqref="D248:D255">
    <cfRule type="containsBlanks" dxfId="1648" priority="1660">
      <formula>LEN(TRIM(D248))=0</formula>
    </cfRule>
  </conditionalFormatting>
  <conditionalFormatting sqref="F248:F255">
    <cfRule type="containsBlanks" dxfId="1647" priority="1659">
      <formula>LEN(TRIM(F248))=0</formula>
    </cfRule>
  </conditionalFormatting>
  <conditionalFormatting sqref="C560">
    <cfRule type="containsBlanks" dxfId="1646" priority="1476">
      <formula>LEN(TRIM(C560))=0</formula>
    </cfRule>
  </conditionalFormatting>
  <conditionalFormatting sqref="O248:P255">
    <cfRule type="containsBlanks" dxfId="1645" priority="1657">
      <formula>LEN(TRIM(O248))=0</formula>
    </cfRule>
  </conditionalFormatting>
  <conditionalFormatting sqref="J248:J255">
    <cfRule type="containsBlanks" dxfId="1644" priority="1655">
      <formula>LEN(TRIM(J248))=0</formula>
    </cfRule>
  </conditionalFormatting>
  <conditionalFormatting sqref="E248:E255">
    <cfRule type="containsBlanks" dxfId="1643" priority="1806">
      <formula>LEN(TRIM(E248))=0</formula>
    </cfRule>
  </conditionalFormatting>
  <conditionalFormatting sqref="O248:P255">
    <cfRule type="containsBlanks" dxfId="1642" priority="1658">
      <formula>LEN(TRIM(O248))=0</formula>
    </cfRule>
  </conditionalFormatting>
  <conditionalFormatting sqref="L248:L255">
    <cfRule type="containsBlanks" dxfId="1641" priority="1654">
      <formula>LEN(TRIM(L248))=0</formula>
    </cfRule>
  </conditionalFormatting>
  <conditionalFormatting sqref="L248:L255">
    <cfRule type="containsBlanks" dxfId="1640" priority="1653">
      <formula>LEN(TRIM(L248))=0</formula>
    </cfRule>
  </conditionalFormatting>
  <conditionalFormatting sqref="N248:N255">
    <cfRule type="containsBlanks" dxfId="1639" priority="1651">
      <formula>LEN(TRIM(N248))=0</formula>
    </cfRule>
  </conditionalFormatting>
  <conditionalFormatting sqref="N248:N255">
    <cfRule type="containsBlanks" dxfId="1638" priority="1652">
      <formula>LEN(TRIM(N248))=0</formula>
    </cfRule>
  </conditionalFormatting>
  <conditionalFormatting sqref="T277:T279 E274:E289 T281 T285 T287:T288">
    <cfRule type="containsBlanks" dxfId="1637" priority="1650">
      <formula>LEN(TRIM(E274))=0</formula>
    </cfRule>
  </conditionalFormatting>
  <conditionalFormatting sqref="D274:D289">
    <cfRule type="containsBlanks" dxfId="1636" priority="1647">
      <formula>LEN(TRIM(D274))=0</formula>
    </cfRule>
  </conditionalFormatting>
  <conditionalFormatting sqref="F274:F289">
    <cfRule type="containsBlanks" dxfId="1635" priority="1646">
      <formula>LEN(TRIM(F274))=0</formula>
    </cfRule>
  </conditionalFormatting>
  <conditionalFormatting sqref="H69">
    <cfRule type="containsBlanks" dxfId="1634" priority="1588">
      <formula>LEN(TRIM(H69))=0</formula>
    </cfRule>
  </conditionalFormatting>
  <conditionalFormatting sqref="E274:E289 T277:T279 T281 T285 T287:T288">
    <cfRule type="containsBlanks" dxfId="1633" priority="1649">
      <formula>LEN(TRIM(E274))=0</formula>
    </cfRule>
  </conditionalFormatting>
  <conditionalFormatting sqref="A274:B289">
    <cfRule type="containsBlanks" dxfId="1632" priority="1648">
      <formula>LEN(TRIM(A274))=0</formula>
    </cfRule>
  </conditionalFormatting>
  <conditionalFormatting sqref="L274:L289">
    <cfRule type="containsBlanks" dxfId="1631" priority="1641">
      <formula>LEN(TRIM(L274))=0</formula>
    </cfRule>
  </conditionalFormatting>
  <conditionalFormatting sqref="L274:L289">
    <cfRule type="containsBlanks" dxfId="1630" priority="1640">
      <formula>LEN(TRIM(L274))=0</formula>
    </cfRule>
  </conditionalFormatting>
  <conditionalFormatting sqref="N274:N289">
    <cfRule type="containsBlanks" dxfId="1629" priority="1638">
      <formula>LEN(TRIM(N274))=0</formula>
    </cfRule>
  </conditionalFormatting>
  <conditionalFormatting sqref="N274:N289">
    <cfRule type="containsBlanks" dxfId="1628" priority="1639">
      <formula>LEN(TRIM(N274))=0</formula>
    </cfRule>
  </conditionalFormatting>
  <conditionalFormatting sqref="A274:B289 T277:T279 T281 T285 T287:T288">
    <cfRule type="containsBlanks" dxfId="1627" priority="1637">
      <formula>LEN(TRIM(A274))=0</formula>
    </cfRule>
  </conditionalFormatting>
  <conditionalFormatting sqref="C274:C289">
    <cfRule type="containsBlanks" dxfId="1626" priority="1636">
      <formula>LEN(TRIM(C274))=0</formula>
    </cfRule>
  </conditionalFormatting>
  <conditionalFormatting sqref="A61:B61">
    <cfRule type="containsBlanks" dxfId="1625" priority="1460">
      <formula>LEN(TRIM(A61))=0</formula>
    </cfRule>
  </conditionalFormatting>
  <conditionalFormatting sqref="L334:L338">
    <cfRule type="containsBlanks" dxfId="1624" priority="1634">
      <formula>LEN(TRIM(L334))=0</formula>
    </cfRule>
  </conditionalFormatting>
  <conditionalFormatting sqref="L334:L338">
    <cfRule type="containsBlanks" dxfId="1623" priority="1635">
      <formula>LEN(TRIM(L334))=0</formula>
    </cfRule>
  </conditionalFormatting>
  <conditionalFormatting sqref="T347:T354">
    <cfRule type="containsBlanks" dxfId="1622" priority="1633">
      <formula>LEN(TRIM(T347))=0</formula>
    </cfRule>
  </conditionalFormatting>
  <conditionalFormatting sqref="L347">
    <cfRule type="containsBlanks" dxfId="1621" priority="1631">
      <formula>LEN(TRIM(L347))=0</formula>
    </cfRule>
  </conditionalFormatting>
  <conditionalFormatting sqref="T347:T354">
    <cfRule type="containsBlanks" dxfId="1620" priority="1630">
      <formula>LEN(TRIM(T347))=0</formula>
    </cfRule>
  </conditionalFormatting>
  <conditionalFormatting sqref="T362:T364 T366:T371">
    <cfRule type="containsBlanks" dxfId="1619" priority="1629">
      <formula>LEN(TRIM(T362))=0</formula>
    </cfRule>
  </conditionalFormatting>
  <conditionalFormatting sqref="L364 L376:L377">
    <cfRule type="containsBlanks" dxfId="1618" priority="1628">
      <formula>LEN(TRIM(L364))=0</formula>
    </cfRule>
  </conditionalFormatting>
  <conditionalFormatting sqref="L364 L376:L377">
    <cfRule type="containsBlanks" dxfId="1617" priority="1627">
      <formula>LEN(TRIM(L364))=0</formula>
    </cfRule>
  </conditionalFormatting>
  <conditionalFormatting sqref="T362:T364 T366:T371">
    <cfRule type="containsBlanks" dxfId="1616" priority="1626">
      <formula>LEN(TRIM(T362))=0</formula>
    </cfRule>
  </conditionalFormatting>
  <conditionalFormatting sqref="T382:T383 T394:T396 T398">
    <cfRule type="containsBlanks" dxfId="1615" priority="1625">
      <formula>LEN(TRIM(T382))=0</formula>
    </cfRule>
  </conditionalFormatting>
  <conditionalFormatting sqref="L384:L393 L399">
    <cfRule type="containsBlanks" dxfId="1614" priority="1624">
      <formula>LEN(TRIM(L384))=0</formula>
    </cfRule>
  </conditionalFormatting>
  <conditionalFormatting sqref="L384:L393 L399">
    <cfRule type="containsBlanks" dxfId="1613" priority="1623">
      <formula>LEN(TRIM(L384))=0</formula>
    </cfRule>
  </conditionalFormatting>
  <conditionalFormatting sqref="T382:T383 T394:T396 T398">
    <cfRule type="containsBlanks" dxfId="1612" priority="1622">
      <formula>LEN(TRIM(T382))=0</formula>
    </cfRule>
  </conditionalFormatting>
  <conditionalFormatting sqref="A418:B419 T418">
    <cfRule type="containsBlanks" dxfId="1611" priority="1621">
      <formula>LEN(TRIM(A418))=0</formula>
    </cfRule>
  </conditionalFormatting>
  <conditionalFormatting sqref="A418:B419 T418">
    <cfRule type="containsBlanks" dxfId="1610" priority="1620">
      <formula>LEN(TRIM(A418))=0</formula>
    </cfRule>
  </conditionalFormatting>
  <conditionalFormatting sqref="C418:C419">
    <cfRule type="containsBlanks" dxfId="1609" priority="1619">
      <formula>LEN(TRIM(C418))=0</formula>
    </cfRule>
  </conditionalFormatting>
  <conditionalFormatting sqref="T431 T485 T487:T490 T438">
    <cfRule type="containsBlanks" dxfId="1608" priority="1617">
      <formula>LEN(TRIM(T431))=0</formula>
    </cfRule>
  </conditionalFormatting>
  <conditionalFormatting sqref="T431 T485 T487:T490 T438">
    <cfRule type="containsBlanks" dxfId="1607" priority="1618">
      <formula>LEN(TRIM(T431))=0</formula>
    </cfRule>
  </conditionalFormatting>
  <conditionalFormatting sqref="L413:L415 J413:J415">
    <cfRule type="containsBlanks" dxfId="1606" priority="1616">
      <formula>LEN(TRIM(J413))=0</formula>
    </cfRule>
  </conditionalFormatting>
  <conditionalFormatting sqref="N245:N247">
    <cfRule type="containsBlanks" dxfId="1605" priority="1299">
      <formula>LEN(TRIM(N245))=0</formula>
    </cfRule>
  </conditionalFormatting>
  <conditionalFormatting sqref="N260:N262">
    <cfRule type="containsBlanks" dxfId="1604" priority="1287">
      <formula>LEN(TRIM(N260))=0</formula>
    </cfRule>
  </conditionalFormatting>
  <conditionalFormatting sqref="O260:R262">
    <cfRule type="containsBlanks" dxfId="1603" priority="1288">
      <formula>LEN(TRIM(O260))=0</formula>
    </cfRule>
  </conditionalFormatting>
  <conditionalFormatting sqref="A260:B262">
    <cfRule type="containsBlanks" dxfId="1602" priority="1285">
      <formula>LEN(TRIM(A260))=0</formula>
    </cfRule>
  </conditionalFormatting>
  <conditionalFormatting sqref="G107">
    <cfRule type="containsBlanks" dxfId="1601" priority="1412">
      <formula>LEN(TRIM(G107))=0</formula>
    </cfRule>
  </conditionalFormatting>
  <conditionalFormatting sqref="C339:C340">
    <cfRule type="containsBlanks" dxfId="1600" priority="1205">
      <formula>LEN(TRIM(C339))=0</formula>
    </cfRule>
  </conditionalFormatting>
  <conditionalFormatting sqref="A133:B133">
    <cfRule type="containsBlanks" dxfId="1599" priority="1394">
      <formula>LEN(TRIM(A133))=0</formula>
    </cfRule>
  </conditionalFormatting>
  <conditionalFormatting sqref="E514">
    <cfRule type="containsBlanks" dxfId="1598" priority="1615">
      <formula>LEN(TRIM(E514))=0</formula>
    </cfRule>
  </conditionalFormatting>
  <conditionalFormatting sqref="D514">
    <cfRule type="containsBlanks" dxfId="1597" priority="1613">
      <formula>LEN(TRIM(D514))=0</formula>
    </cfRule>
  </conditionalFormatting>
  <conditionalFormatting sqref="F514">
    <cfRule type="containsBlanks" dxfId="1596" priority="1612">
      <formula>LEN(TRIM(F514))=0</formula>
    </cfRule>
  </conditionalFormatting>
  <conditionalFormatting sqref="O514:P514">
    <cfRule type="containsBlanks" dxfId="1595" priority="1610">
      <formula>LEN(TRIM(O514))=0</formula>
    </cfRule>
  </conditionalFormatting>
  <conditionalFormatting sqref="O492:R493">
    <cfRule type="containsBlanks" dxfId="1594" priority="1155">
      <formula>LEN(TRIM(O492))=0</formula>
    </cfRule>
  </conditionalFormatting>
  <conditionalFormatting sqref="T207:T209 H207:H209 E207:E209 L207:L209 J207:J209">
    <cfRule type="containsBlanks" dxfId="1593" priority="1339">
      <formula>LEN(TRIM(E207))=0</formula>
    </cfRule>
  </conditionalFormatting>
  <conditionalFormatting sqref="O514:P514">
    <cfRule type="containsBlanks" dxfId="1592" priority="1611">
      <formula>LEN(TRIM(O514))=0</formula>
    </cfRule>
  </conditionalFormatting>
  <conditionalFormatting sqref="E514">
    <cfRule type="containsBlanks" dxfId="1591" priority="1614">
      <formula>LEN(TRIM(E514))=0</formula>
    </cfRule>
  </conditionalFormatting>
  <conditionalFormatting sqref="J514">
    <cfRule type="containsBlanks" dxfId="1590" priority="1609">
      <formula>LEN(TRIM(J514))=0</formula>
    </cfRule>
  </conditionalFormatting>
  <conditionalFormatting sqref="J514">
    <cfRule type="containsBlanks" dxfId="1589" priority="1608">
      <formula>LEN(TRIM(J514))=0</formula>
    </cfRule>
  </conditionalFormatting>
  <conditionalFormatting sqref="L514">
    <cfRule type="containsBlanks" dxfId="1588" priority="1606">
      <formula>LEN(TRIM(L514))=0</formula>
    </cfRule>
  </conditionalFormatting>
  <conditionalFormatting sqref="L514">
    <cfRule type="containsBlanks" dxfId="1587" priority="1607">
      <formula>LEN(TRIM(L514))=0</formula>
    </cfRule>
  </conditionalFormatting>
  <conditionalFormatting sqref="F515">
    <cfRule type="containsBlanks" dxfId="1586" priority="1600">
      <formula>LEN(TRIM(F515))=0</formula>
    </cfRule>
  </conditionalFormatting>
  <conditionalFormatting sqref="D515">
    <cfRule type="containsBlanks" dxfId="1585" priority="1601">
      <formula>LEN(TRIM(D515))=0</formula>
    </cfRule>
  </conditionalFormatting>
  <conditionalFormatting sqref="E515">
    <cfRule type="containsBlanks" dxfId="1584" priority="1603">
      <formula>LEN(TRIM(E515))=0</formula>
    </cfRule>
  </conditionalFormatting>
  <conditionalFormatting sqref="O515:P515">
    <cfRule type="containsBlanks" dxfId="1583" priority="1598">
      <formula>LEN(TRIM(O515))=0</formula>
    </cfRule>
  </conditionalFormatting>
  <conditionalFormatting sqref="C509:C511">
    <cfRule type="containsBlanks" dxfId="1582" priority="1133">
      <formula>LEN(TRIM(C509))=0</formula>
    </cfRule>
  </conditionalFormatting>
  <conditionalFormatting sqref="O515:P515">
    <cfRule type="containsBlanks" dxfId="1581" priority="1599">
      <formula>LEN(TRIM(O515))=0</formula>
    </cfRule>
  </conditionalFormatting>
  <conditionalFormatting sqref="E515">
    <cfRule type="containsBlanks" dxfId="1580" priority="1602">
      <formula>LEN(TRIM(E515))=0</formula>
    </cfRule>
  </conditionalFormatting>
  <conditionalFormatting sqref="J515">
    <cfRule type="containsBlanks" dxfId="1579" priority="1597">
      <formula>LEN(TRIM(J515))=0</formula>
    </cfRule>
  </conditionalFormatting>
  <conditionalFormatting sqref="J515">
    <cfRule type="containsBlanks" dxfId="1578" priority="1596">
      <formula>LEN(TRIM(J515))=0</formula>
    </cfRule>
  </conditionalFormatting>
  <conditionalFormatting sqref="N515">
    <cfRule type="containsBlanks" dxfId="1577" priority="1592">
      <formula>LEN(TRIM(N515))=0</formula>
    </cfRule>
  </conditionalFormatting>
  <conditionalFormatting sqref="L515">
    <cfRule type="containsBlanks" dxfId="1576" priority="1594">
      <formula>LEN(TRIM(L515))=0</formula>
    </cfRule>
  </conditionalFormatting>
  <conditionalFormatting sqref="L515">
    <cfRule type="containsBlanks" dxfId="1575" priority="1595">
      <formula>LEN(TRIM(L515))=0</formula>
    </cfRule>
  </conditionalFormatting>
  <conditionalFormatting sqref="N515">
    <cfRule type="containsBlanks" dxfId="1574" priority="1593">
      <formula>LEN(TRIM(N515))=0</formula>
    </cfRule>
  </conditionalFormatting>
  <conditionalFormatting sqref="A69:B69 O69 J69 E69">
    <cfRule type="containsBlanks" dxfId="1573" priority="1590">
      <formula>LEN(TRIM(A69))=0</formula>
    </cfRule>
  </conditionalFormatting>
  <conditionalFormatting sqref="A69:B69 O69 J69 E69">
    <cfRule type="containsBlanks" dxfId="1572" priority="1591">
      <formula>LEN(TRIM(A69))=0</formula>
    </cfRule>
  </conditionalFormatting>
  <conditionalFormatting sqref="H69">
    <cfRule type="containsBlanks" dxfId="1571" priority="1589">
      <formula>LEN(TRIM(H69))=0</formula>
    </cfRule>
  </conditionalFormatting>
  <conditionalFormatting sqref="C69">
    <cfRule type="containsBlanks" dxfId="1570" priority="1586">
      <formula>LEN(TRIM(C69))=0</formula>
    </cfRule>
  </conditionalFormatting>
  <conditionalFormatting sqref="H69">
    <cfRule type="containsBlanks" dxfId="1569" priority="1584">
      <formula>LEN(TRIM(H69))=0</formula>
    </cfRule>
  </conditionalFormatting>
  <conditionalFormatting sqref="H69">
    <cfRule type="containsBlanks" dxfId="1568" priority="1585">
      <formula>LEN(TRIM(H69))=0</formula>
    </cfRule>
  </conditionalFormatting>
  <conditionalFormatting sqref="A70:B72 J70:J72 E70:E72 O70:O72">
    <cfRule type="containsBlanks" dxfId="1567" priority="1583">
      <formula>LEN(TRIM(A70))=0</formula>
    </cfRule>
  </conditionalFormatting>
  <conditionalFormatting sqref="A70:B72 J70:J72 E70:E72 O70:O72">
    <cfRule type="containsBlanks" dxfId="1566" priority="1582">
      <formula>LEN(TRIM(A70))=0</formula>
    </cfRule>
  </conditionalFormatting>
  <conditionalFormatting sqref="A70:B72 O70:O72">
    <cfRule type="containsBlanks" dxfId="1565" priority="1581">
      <formula>LEN(TRIM(A70))=0</formula>
    </cfRule>
  </conditionalFormatting>
  <conditionalFormatting sqref="C70:C72">
    <cfRule type="containsBlanks" dxfId="1564" priority="1580">
      <formula>LEN(TRIM(C70))=0</formula>
    </cfRule>
  </conditionalFormatting>
  <conditionalFormatting sqref="T81:T82">
    <cfRule type="containsBlanks" dxfId="1563" priority="1578">
      <formula>LEN(TRIM(T81))=0</formula>
    </cfRule>
  </conditionalFormatting>
  <conditionalFormatting sqref="A81:B82">
    <cfRule type="containsBlanks" dxfId="1562" priority="1576">
      <formula>LEN(TRIM(A81))=0</formula>
    </cfRule>
  </conditionalFormatting>
  <conditionalFormatting sqref="E81:E82 T81:T82">
    <cfRule type="containsBlanks" dxfId="1561" priority="1577">
      <formula>LEN(TRIM(E81))=0</formula>
    </cfRule>
  </conditionalFormatting>
  <conditionalFormatting sqref="E81:E82">
    <cfRule type="containsBlanks" dxfId="1560" priority="1579">
      <formula>LEN(TRIM(E81))=0</formula>
    </cfRule>
  </conditionalFormatting>
  <conditionalFormatting sqref="D81:D82">
    <cfRule type="containsBlanks" dxfId="1559" priority="1575">
      <formula>LEN(TRIM(D81))=0</formula>
    </cfRule>
  </conditionalFormatting>
  <conditionalFormatting sqref="O81:P82 O83">
    <cfRule type="containsBlanks" dxfId="1558" priority="1574">
      <formula>LEN(TRIM(O81))=0</formula>
    </cfRule>
  </conditionalFormatting>
  <conditionalFormatting sqref="N327">
    <cfRule type="containsBlanks" dxfId="1557" priority="1234">
      <formula>LEN(TRIM(N327))=0</formula>
    </cfRule>
  </conditionalFormatting>
  <conditionalFormatting sqref="O81:P82 O83">
    <cfRule type="containsBlanks" dxfId="1556" priority="1573">
      <formula>LEN(TRIM(O81))=0</formula>
    </cfRule>
  </conditionalFormatting>
  <conditionalFormatting sqref="J81:J82">
    <cfRule type="containsBlanks" dxfId="1555" priority="1572">
      <formula>LEN(TRIM(J81))=0</formula>
    </cfRule>
  </conditionalFormatting>
  <conditionalFormatting sqref="N81:N82">
    <cfRule type="containsBlanks" dxfId="1554" priority="1567">
      <formula>LEN(TRIM(N81))=0</formula>
    </cfRule>
  </conditionalFormatting>
  <conditionalFormatting sqref="J81:J82">
    <cfRule type="containsBlanks" dxfId="1553" priority="1571">
      <formula>LEN(TRIM(J81))=0</formula>
    </cfRule>
  </conditionalFormatting>
  <conditionalFormatting sqref="L81:L82">
    <cfRule type="containsBlanks" dxfId="1552" priority="1569">
      <formula>LEN(TRIM(L81))=0</formula>
    </cfRule>
  </conditionalFormatting>
  <conditionalFormatting sqref="L81:L82">
    <cfRule type="containsBlanks" dxfId="1551" priority="1570">
      <formula>LEN(TRIM(L81))=0</formula>
    </cfRule>
  </conditionalFormatting>
  <conditionalFormatting sqref="N81:N82">
    <cfRule type="containsBlanks" dxfId="1550" priority="1568">
      <formula>LEN(TRIM(N81))=0</formula>
    </cfRule>
  </conditionalFormatting>
  <conditionalFormatting sqref="A81:B82 T81:T82">
    <cfRule type="containsBlanks" dxfId="1549" priority="1566">
      <formula>LEN(TRIM(A81))=0</formula>
    </cfRule>
  </conditionalFormatting>
  <conditionalFormatting sqref="C81:C82">
    <cfRule type="containsBlanks" dxfId="1548" priority="1565">
      <formula>LEN(TRIM(C81))=0</formula>
    </cfRule>
  </conditionalFormatting>
  <conditionalFormatting sqref="C81:C82">
    <cfRule type="containsBlanks" dxfId="1547" priority="1564">
      <formula>LEN(TRIM(C81))=0</formula>
    </cfRule>
  </conditionalFormatting>
  <conditionalFormatting sqref="E330:E331">
    <cfRule type="containsBlanks" dxfId="1546" priority="1217">
      <formula>LEN(TRIM(E330))=0</formula>
    </cfRule>
  </conditionalFormatting>
  <conditionalFormatting sqref="E137">
    <cfRule type="containsBlanks" dxfId="1545" priority="1563">
      <formula>LEN(TRIM(E137))=0</formula>
    </cfRule>
  </conditionalFormatting>
  <conditionalFormatting sqref="D137">
    <cfRule type="containsBlanks" dxfId="1544" priority="1559">
      <formula>LEN(TRIM(D137))=0</formula>
    </cfRule>
  </conditionalFormatting>
  <conditionalFormatting sqref="F356">
    <cfRule type="containsBlanks" dxfId="1543" priority="1199">
      <formula>LEN(TRIM(F356))=0</formula>
    </cfRule>
  </conditionalFormatting>
  <conditionalFormatting sqref="O137">
    <cfRule type="containsBlanks" dxfId="1542" priority="1557">
      <formula>LEN(TRIM(O137))=0</formula>
    </cfRule>
  </conditionalFormatting>
  <conditionalFormatting sqref="T137">
    <cfRule type="containsBlanks" dxfId="1541" priority="1562">
      <formula>LEN(TRIM(T137))=0</formula>
    </cfRule>
  </conditionalFormatting>
  <conditionalFormatting sqref="O137">
    <cfRule type="containsBlanks" dxfId="1540" priority="1558">
      <formula>LEN(TRIM(O137))=0</formula>
    </cfRule>
  </conditionalFormatting>
  <conditionalFormatting sqref="E137 T137">
    <cfRule type="containsBlanks" dxfId="1539" priority="1561">
      <formula>LEN(TRIM(E137))=0</formula>
    </cfRule>
  </conditionalFormatting>
  <conditionalFormatting sqref="A137:B137">
    <cfRule type="containsBlanks" dxfId="1538" priority="1560">
      <formula>LEN(TRIM(A137))=0</formula>
    </cfRule>
  </conditionalFormatting>
  <conditionalFormatting sqref="J137">
    <cfRule type="containsBlanks" dxfId="1537" priority="1556">
      <formula>LEN(TRIM(J137))=0</formula>
    </cfRule>
  </conditionalFormatting>
  <conditionalFormatting sqref="J137">
    <cfRule type="containsBlanks" dxfId="1536" priority="1555">
      <formula>LEN(TRIM(J137))=0</formula>
    </cfRule>
  </conditionalFormatting>
  <conditionalFormatting sqref="D137:E137 A137:B137 T137 J137 O137">
    <cfRule type="containsBlanks" dxfId="1535" priority="1554">
      <formula>LEN(TRIM(A137))=0</formula>
    </cfRule>
  </conditionalFormatting>
  <conditionalFormatting sqref="C137">
    <cfRule type="containsBlanks" dxfId="1534" priority="1553">
      <formula>LEN(TRIM(C137))=0</formula>
    </cfRule>
  </conditionalFormatting>
  <conditionalFormatting sqref="C137">
    <cfRule type="containsBlanks" dxfId="1533" priority="1552">
      <formula>LEN(TRIM(C137))=0</formula>
    </cfRule>
  </conditionalFormatting>
  <conditionalFormatting sqref="E144">
    <cfRule type="containsBlanks" dxfId="1532" priority="1551">
      <formula>LEN(TRIM(E144))=0</formula>
    </cfRule>
  </conditionalFormatting>
  <conditionalFormatting sqref="D144">
    <cfRule type="containsBlanks" dxfId="1531" priority="1547">
      <formula>LEN(TRIM(D144))=0</formula>
    </cfRule>
  </conditionalFormatting>
  <conditionalFormatting sqref="F144">
    <cfRule type="containsBlanks" dxfId="1530" priority="1546">
      <formula>LEN(TRIM(F144))=0</formula>
    </cfRule>
  </conditionalFormatting>
  <conditionalFormatting sqref="O144:P144">
    <cfRule type="containsBlanks" dxfId="1529" priority="1544">
      <formula>LEN(TRIM(O144))=0</formula>
    </cfRule>
  </conditionalFormatting>
  <conditionalFormatting sqref="T144">
    <cfRule type="containsBlanks" dxfId="1528" priority="1550">
      <formula>LEN(TRIM(T144))=0</formula>
    </cfRule>
  </conditionalFormatting>
  <conditionalFormatting sqref="O144:P144">
    <cfRule type="containsBlanks" dxfId="1527" priority="1545">
      <formula>LEN(TRIM(O144))=0</formula>
    </cfRule>
  </conditionalFormatting>
  <conditionalFormatting sqref="E144 T144">
    <cfRule type="containsBlanks" dxfId="1526" priority="1549">
      <formula>LEN(TRIM(E144))=0</formula>
    </cfRule>
  </conditionalFormatting>
  <conditionalFormatting sqref="A144:B144">
    <cfRule type="containsBlanks" dxfId="1525" priority="1548">
      <formula>LEN(TRIM(A144))=0</formula>
    </cfRule>
  </conditionalFormatting>
  <conditionalFormatting sqref="N144">
    <cfRule type="containsBlanks" dxfId="1524" priority="1538">
      <formula>LEN(TRIM(N144))=0</formula>
    </cfRule>
  </conditionalFormatting>
  <conditionalFormatting sqref="J144">
    <cfRule type="containsBlanks" dxfId="1523" priority="1543">
      <formula>LEN(TRIM(J144))=0</formula>
    </cfRule>
  </conditionalFormatting>
  <conditionalFormatting sqref="J144">
    <cfRule type="containsBlanks" dxfId="1522" priority="1542">
      <formula>LEN(TRIM(J144))=0</formula>
    </cfRule>
  </conditionalFormatting>
  <conditionalFormatting sqref="L144">
    <cfRule type="containsBlanks" dxfId="1521" priority="1541">
      <formula>LEN(TRIM(L144))=0</formula>
    </cfRule>
  </conditionalFormatting>
  <conditionalFormatting sqref="L144">
    <cfRule type="containsBlanks" dxfId="1520" priority="1540">
      <formula>LEN(TRIM(L144))=0</formula>
    </cfRule>
  </conditionalFormatting>
  <conditionalFormatting sqref="N144">
    <cfRule type="containsBlanks" dxfId="1519" priority="1539">
      <formula>LEN(TRIM(N144))=0</formula>
    </cfRule>
  </conditionalFormatting>
  <conditionalFormatting sqref="A144:B144 T144">
    <cfRule type="containsBlanks" dxfId="1518" priority="1537">
      <formula>LEN(TRIM(A144))=0</formula>
    </cfRule>
  </conditionalFormatting>
  <conditionalFormatting sqref="C144">
    <cfRule type="containsBlanks" dxfId="1517" priority="1536">
      <formula>LEN(TRIM(C144))=0</formula>
    </cfRule>
  </conditionalFormatting>
  <conditionalFormatting sqref="C144">
    <cfRule type="containsBlanks" dxfId="1516" priority="1535">
      <formula>LEN(TRIM(C144))=0</formula>
    </cfRule>
  </conditionalFormatting>
  <conditionalFormatting sqref="E146">
    <cfRule type="containsBlanks" dxfId="1515" priority="1534">
      <formula>LEN(TRIM(E146))=0</formula>
    </cfRule>
  </conditionalFormatting>
  <conditionalFormatting sqref="D146">
    <cfRule type="containsBlanks" dxfId="1514" priority="1531">
      <formula>LEN(TRIM(D146))=0</formula>
    </cfRule>
  </conditionalFormatting>
  <conditionalFormatting sqref="O146:P146">
    <cfRule type="containsBlanks" dxfId="1513" priority="1530">
      <formula>LEN(TRIM(O146))=0</formula>
    </cfRule>
  </conditionalFormatting>
  <conditionalFormatting sqref="E406">
    <cfRule type="containsBlanks" dxfId="1512" priority="1173">
      <formula>LEN(TRIM(E406))=0</formula>
    </cfRule>
  </conditionalFormatting>
  <conditionalFormatting sqref="O146:P146">
    <cfRule type="containsBlanks" dxfId="1511" priority="1529">
      <formula>LEN(TRIM(O146))=0</formula>
    </cfRule>
  </conditionalFormatting>
  <conditionalFormatting sqref="E146">
    <cfRule type="containsBlanks" dxfId="1510" priority="1533">
      <formula>LEN(TRIM(E146))=0</formula>
    </cfRule>
  </conditionalFormatting>
  <conditionalFormatting sqref="A146:B146">
    <cfRule type="containsBlanks" dxfId="1509" priority="1532">
      <formula>LEN(TRIM(A146))=0</formula>
    </cfRule>
  </conditionalFormatting>
  <conditionalFormatting sqref="N146">
    <cfRule type="containsBlanks" dxfId="1508" priority="1523">
      <formula>LEN(TRIM(N146))=0</formula>
    </cfRule>
  </conditionalFormatting>
  <conditionalFormatting sqref="J146">
    <cfRule type="containsBlanks" dxfId="1507" priority="1528">
      <formula>LEN(TRIM(J146))=0</formula>
    </cfRule>
  </conditionalFormatting>
  <conditionalFormatting sqref="J146">
    <cfRule type="containsBlanks" dxfId="1506" priority="1527">
      <formula>LEN(TRIM(J146))=0</formula>
    </cfRule>
  </conditionalFormatting>
  <conditionalFormatting sqref="L146">
    <cfRule type="containsBlanks" dxfId="1505" priority="1526">
      <formula>LEN(TRIM(L146))=0</formula>
    </cfRule>
  </conditionalFormatting>
  <conditionalFormatting sqref="L146">
    <cfRule type="containsBlanks" dxfId="1504" priority="1525">
      <formula>LEN(TRIM(L146))=0</formula>
    </cfRule>
  </conditionalFormatting>
  <conditionalFormatting sqref="N146">
    <cfRule type="containsBlanks" dxfId="1503" priority="1524">
      <formula>LEN(TRIM(N146))=0</formula>
    </cfRule>
  </conditionalFormatting>
  <conditionalFormatting sqref="A146:B146">
    <cfRule type="containsBlanks" dxfId="1502" priority="1522">
      <formula>LEN(TRIM(A146))=0</formula>
    </cfRule>
  </conditionalFormatting>
  <conditionalFormatting sqref="C146">
    <cfRule type="containsBlanks" dxfId="1501" priority="1521">
      <formula>LEN(TRIM(C146))=0</formula>
    </cfRule>
  </conditionalFormatting>
  <conditionalFormatting sqref="C146">
    <cfRule type="containsBlanks" dxfId="1500" priority="1520">
      <formula>LEN(TRIM(C146))=0</formula>
    </cfRule>
  </conditionalFormatting>
  <conditionalFormatting sqref="E149">
    <cfRule type="containsBlanks" dxfId="1499" priority="1519">
      <formula>LEN(TRIM(E149))=0</formula>
    </cfRule>
  </conditionalFormatting>
  <conditionalFormatting sqref="D149">
    <cfRule type="containsBlanks" dxfId="1498" priority="1515">
      <formula>LEN(TRIM(D149))=0</formula>
    </cfRule>
  </conditionalFormatting>
  <conditionalFormatting sqref="F149">
    <cfRule type="containsBlanks" dxfId="1497" priority="1514">
      <formula>LEN(TRIM(F149))=0</formula>
    </cfRule>
  </conditionalFormatting>
  <conditionalFormatting sqref="O149:P149">
    <cfRule type="containsBlanks" dxfId="1496" priority="1512">
      <formula>LEN(TRIM(O149))=0</formula>
    </cfRule>
  </conditionalFormatting>
  <conditionalFormatting sqref="T149">
    <cfRule type="containsBlanks" dxfId="1495" priority="1518">
      <formula>LEN(TRIM(T149))=0</formula>
    </cfRule>
  </conditionalFormatting>
  <conditionalFormatting sqref="O149:P149">
    <cfRule type="containsBlanks" dxfId="1494" priority="1513">
      <formula>LEN(TRIM(O149))=0</formula>
    </cfRule>
  </conditionalFormatting>
  <conditionalFormatting sqref="E149 T149">
    <cfRule type="containsBlanks" dxfId="1493" priority="1517">
      <formula>LEN(TRIM(E149))=0</formula>
    </cfRule>
  </conditionalFormatting>
  <conditionalFormatting sqref="A149:B149">
    <cfRule type="containsBlanks" dxfId="1492" priority="1516">
      <formula>LEN(TRIM(A149))=0</formula>
    </cfRule>
  </conditionalFormatting>
  <conditionalFormatting sqref="N149">
    <cfRule type="containsBlanks" dxfId="1491" priority="1506">
      <formula>LEN(TRIM(N149))=0</formula>
    </cfRule>
  </conditionalFormatting>
  <conditionalFormatting sqref="J149">
    <cfRule type="containsBlanks" dxfId="1490" priority="1511">
      <formula>LEN(TRIM(J149))=0</formula>
    </cfRule>
  </conditionalFormatting>
  <conditionalFormatting sqref="J149">
    <cfRule type="containsBlanks" dxfId="1489" priority="1510">
      <formula>LEN(TRIM(J149))=0</formula>
    </cfRule>
  </conditionalFormatting>
  <conditionalFormatting sqref="L149">
    <cfRule type="containsBlanks" dxfId="1488" priority="1509">
      <formula>LEN(TRIM(L149))=0</formula>
    </cfRule>
  </conditionalFormatting>
  <conditionalFormatting sqref="L149">
    <cfRule type="containsBlanks" dxfId="1487" priority="1508">
      <formula>LEN(TRIM(L149))=0</formula>
    </cfRule>
  </conditionalFormatting>
  <conditionalFormatting sqref="N149">
    <cfRule type="containsBlanks" dxfId="1486" priority="1507">
      <formula>LEN(TRIM(N149))=0</formula>
    </cfRule>
  </conditionalFormatting>
  <conditionalFormatting sqref="A149:B149 T149">
    <cfRule type="containsBlanks" dxfId="1485" priority="1505">
      <formula>LEN(TRIM(A149))=0</formula>
    </cfRule>
  </conditionalFormatting>
  <conditionalFormatting sqref="C149">
    <cfRule type="containsBlanks" dxfId="1484" priority="1504">
      <formula>LEN(TRIM(C149))=0</formula>
    </cfRule>
  </conditionalFormatting>
  <conditionalFormatting sqref="C149">
    <cfRule type="containsBlanks" dxfId="1483" priority="1503">
      <formula>LEN(TRIM(C149))=0</formula>
    </cfRule>
  </conditionalFormatting>
  <conditionalFormatting sqref="A506:B506 T506">
    <cfRule type="containsBlanks" dxfId="1482" priority="1502">
      <formula>LEN(TRIM(A506))=0</formula>
    </cfRule>
  </conditionalFormatting>
  <conditionalFormatting sqref="A506:B506 T506">
    <cfRule type="containsBlanks" dxfId="1481" priority="1501">
      <formula>LEN(TRIM(A506))=0</formula>
    </cfRule>
  </conditionalFormatting>
  <conditionalFormatting sqref="C506">
    <cfRule type="containsBlanks" dxfId="1480" priority="1500">
      <formula>LEN(TRIM(C506))=0</formula>
    </cfRule>
  </conditionalFormatting>
  <conditionalFormatting sqref="A507:B507">
    <cfRule type="containsBlanks" dxfId="1479" priority="1498">
      <formula>LEN(TRIM(A507))=0</formula>
    </cfRule>
  </conditionalFormatting>
  <conditionalFormatting sqref="A507:B507">
    <cfRule type="containsBlanks" dxfId="1478" priority="1499">
      <formula>LEN(TRIM(A507))=0</formula>
    </cfRule>
  </conditionalFormatting>
  <conditionalFormatting sqref="C507">
    <cfRule type="containsBlanks" dxfId="1477" priority="1497">
      <formula>LEN(TRIM(C507))=0</formula>
    </cfRule>
  </conditionalFormatting>
  <conditionalFormatting sqref="A526:B526 T526">
    <cfRule type="containsBlanks" dxfId="1476" priority="1496">
      <formula>LEN(TRIM(A526))=0</formula>
    </cfRule>
  </conditionalFormatting>
  <conditionalFormatting sqref="A526:B526 T526">
    <cfRule type="containsBlanks" dxfId="1475" priority="1495">
      <formula>LEN(TRIM(A526))=0</formula>
    </cfRule>
  </conditionalFormatting>
  <conditionalFormatting sqref="C526">
    <cfRule type="containsBlanks" dxfId="1474" priority="1494">
      <formula>LEN(TRIM(C526))=0</formula>
    </cfRule>
  </conditionalFormatting>
  <conditionalFormatting sqref="A534:B535 T534">
    <cfRule type="containsBlanks" dxfId="1473" priority="1493">
      <formula>LEN(TRIM(A534))=0</formula>
    </cfRule>
  </conditionalFormatting>
  <conditionalFormatting sqref="A534:B535 T534">
    <cfRule type="containsBlanks" dxfId="1472" priority="1492">
      <formula>LEN(TRIM(A534))=0</formula>
    </cfRule>
  </conditionalFormatting>
  <conditionalFormatting sqref="C534:C535">
    <cfRule type="containsBlanks" dxfId="1471" priority="1491">
      <formula>LEN(TRIM(C534))=0</formula>
    </cfRule>
  </conditionalFormatting>
  <conditionalFormatting sqref="E560">
    <cfRule type="containsBlanks" dxfId="1470" priority="1490">
      <formula>LEN(TRIM(E560))=0</formula>
    </cfRule>
  </conditionalFormatting>
  <conditionalFormatting sqref="D560">
    <cfRule type="containsBlanks" dxfId="1469" priority="1487">
      <formula>LEN(TRIM(D560))=0</formula>
    </cfRule>
  </conditionalFormatting>
  <conditionalFormatting sqref="F560">
    <cfRule type="containsBlanks" dxfId="1468" priority="1486">
      <formula>LEN(TRIM(F560))=0</formula>
    </cfRule>
  </conditionalFormatting>
  <conditionalFormatting sqref="O560:P560">
    <cfRule type="containsBlanks" dxfId="1467" priority="1484">
      <formula>LEN(TRIM(O560))=0</formula>
    </cfRule>
  </conditionalFormatting>
  <conditionalFormatting sqref="O560:P560">
    <cfRule type="containsBlanks" dxfId="1466" priority="1485">
      <formula>LEN(TRIM(O560))=0</formula>
    </cfRule>
  </conditionalFormatting>
  <conditionalFormatting sqref="E560">
    <cfRule type="containsBlanks" dxfId="1465" priority="1489">
      <formula>LEN(TRIM(E560))=0</formula>
    </cfRule>
  </conditionalFormatting>
  <conditionalFormatting sqref="A560:B560">
    <cfRule type="containsBlanks" dxfId="1464" priority="1488">
      <formula>LEN(TRIM(A560))=0</formula>
    </cfRule>
  </conditionalFormatting>
  <conditionalFormatting sqref="J560">
    <cfRule type="containsBlanks" dxfId="1463" priority="1483">
      <formula>LEN(TRIM(J560))=0</formula>
    </cfRule>
  </conditionalFormatting>
  <conditionalFormatting sqref="J560">
    <cfRule type="containsBlanks" dxfId="1462" priority="1482">
      <formula>LEN(TRIM(J560))=0</formula>
    </cfRule>
  </conditionalFormatting>
  <conditionalFormatting sqref="L560">
    <cfRule type="containsBlanks" dxfId="1461" priority="1481">
      <formula>LEN(TRIM(L560))=0</formula>
    </cfRule>
  </conditionalFormatting>
  <conditionalFormatting sqref="L560">
    <cfRule type="containsBlanks" dxfId="1460" priority="1480">
      <formula>LEN(TRIM(L560))=0</formula>
    </cfRule>
  </conditionalFormatting>
  <conditionalFormatting sqref="N560">
    <cfRule type="containsBlanks" dxfId="1459" priority="1478">
      <formula>LEN(TRIM(N560))=0</formula>
    </cfRule>
  </conditionalFormatting>
  <conditionalFormatting sqref="N560">
    <cfRule type="containsBlanks" dxfId="1458" priority="1479">
      <formula>LEN(TRIM(N560))=0</formula>
    </cfRule>
  </conditionalFormatting>
  <conditionalFormatting sqref="A560:B560">
    <cfRule type="containsBlanks" dxfId="1457" priority="1477">
      <formula>LEN(TRIM(A560))=0</formula>
    </cfRule>
  </conditionalFormatting>
  <conditionalFormatting sqref="T51 E51 J51 L51 H51">
    <cfRule type="containsBlanks" dxfId="1456" priority="1475">
      <formula>LEN(TRIM(E51))=0</formula>
    </cfRule>
  </conditionalFormatting>
  <conditionalFormatting sqref="D51">
    <cfRule type="containsBlanks" dxfId="1455" priority="1472">
      <formula>LEN(TRIM(D51))=0</formula>
    </cfRule>
  </conditionalFormatting>
  <conditionalFormatting sqref="F51">
    <cfRule type="containsBlanks" dxfId="1454" priority="1471">
      <formula>LEN(TRIM(F51))=0</formula>
    </cfRule>
  </conditionalFormatting>
  <conditionalFormatting sqref="G51">
    <cfRule type="containsBlanks" dxfId="1453" priority="1470">
      <formula>LEN(TRIM(G51))=0</formula>
    </cfRule>
  </conditionalFormatting>
  <conditionalFormatting sqref="O51:R51">
    <cfRule type="containsBlanks" dxfId="1452" priority="1468">
      <formula>LEN(TRIM(O51))=0</formula>
    </cfRule>
  </conditionalFormatting>
  <conditionalFormatting sqref="O51:R51">
    <cfRule type="containsBlanks" dxfId="1451" priority="1469">
      <formula>LEN(TRIM(O51))=0</formula>
    </cfRule>
  </conditionalFormatting>
  <conditionalFormatting sqref="T51 E51 J51 L51 H51">
    <cfRule type="containsBlanks" dxfId="1450" priority="1474">
      <formula>LEN(TRIM(E51))=0</formula>
    </cfRule>
  </conditionalFormatting>
  <conditionalFormatting sqref="A51:B51">
    <cfRule type="containsBlanks" dxfId="1449" priority="1473">
      <formula>LEN(TRIM(A51))=0</formula>
    </cfRule>
  </conditionalFormatting>
  <conditionalFormatting sqref="N51">
    <cfRule type="containsBlanks" dxfId="1448" priority="1466">
      <formula>LEN(TRIM(N51))=0</formula>
    </cfRule>
  </conditionalFormatting>
  <conditionalFormatting sqref="N51">
    <cfRule type="containsBlanks" dxfId="1447" priority="1467">
      <formula>LEN(TRIM(N51))=0</formula>
    </cfRule>
  </conditionalFormatting>
  <conditionalFormatting sqref="A51:B51">
    <cfRule type="containsBlanks" dxfId="1446" priority="1465">
      <formula>LEN(TRIM(A51))=0</formula>
    </cfRule>
  </conditionalFormatting>
  <conditionalFormatting sqref="C51">
    <cfRule type="containsBlanks" dxfId="1445" priority="1464">
      <formula>LEN(TRIM(C51))=0</formula>
    </cfRule>
  </conditionalFormatting>
  <conditionalFormatting sqref="E51">
    <cfRule type="containsBlanks" dxfId="1444" priority="1463">
      <formula>LEN(TRIM(E51))=0</formula>
    </cfRule>
  </conditionalFormatting>
  <conditionalFormatting sqref="T61 E61 J61 L61 H61">
    <cfRule type="containsBlanks" dxfId="1443" priority="1462">
      <formula>LEN(TRIM(E61))=0</formula>
    </cfRule>
  </conditionalFormatting>
  <conditionalFormatting sqref="D61">
    <cfRule type="containsBlanks" dxfId="1442" priority="1459">
      <formula>LEN(TRIM(D61))=0</formula>
    </cfRule>
  </conditionalFormatting>
  <conditionalFormatting sqref="F61">
    <cfRule type="containsBlanks" dxfId="1441" priority="1458">
      <formula>LEN(TRIM(F61))=0</formula>
    </cfRule>
  </conditionalFormatting>
  <conditionalFormatting sqref="G61">
    <cfRule type="containsBlanks" dxfId="1440" priority="1457">
      <formula>LEN(TRIM(G61))=0</formula>
    </cfRule>
  </conditionalFormatting>
  <conditionalFormatting sqref="O61:R61">
    <cfRule type="containsBlanks" dxfId="1439" priority="1455">
      <formula>LEN(TRIM(O61))=0</formula>
    </cfRule>
  </conditionalFormatting>
  <conditionalFormatting sqref="O61:R61">
    <cfRule type="containsBlanks" dxfId="1438" priority="1456">
      <formula>LEN(TRIM(O61))=0</formula>
    </cfRule>
  </conditionalFormatting>
  <conditionalFormatting sqref="T61 E61 J61 L61 H61">
    <cfRule type="containsBlanks" dxfId="1437" priority="1461">
      <formula>LEN(TRIM(E61))=0</formula>
    </cfRule>
  </conditionalFormatting>
  <conditionalFormatting sqref="N61">
    <cfRule type="containsBlanks" dxfId="1436" priority="1453">
      <formula>LEN(TRIM(N61))=0</formula>
    </cfRule>
  </conditionalFormatting>
  <conditionalFormatting sqref="N61">
    <cfRule type="containsBlanks" dxfId="1435" priority="1454">
      <formula>LEN(TRIM(N61))=0</formula>
    </cfRule>
  </conditionalFormatting>
  <conditionalFormatting sqref="A61:B61">
    <cfRule type="containsBlanks" dxfId="1434" priority="1452">
      <formula>LEN(TRIM(A61))=0</formula>
    </cfRule>
  </conditionalFormatting>
  <conditionalFormatting sqref="C61">
    <cfRule type="containsBlanks" dxfId="1433" priority="1451">
      <formula>LEN(TRIM(C61))=0</formula>
    </cfRule>
  </conditionalFormatting>
  <conditionalFormatting sqref="E61">
    <cfRule type="containsBlanks" dxfId="1432" priority="1450">
      <formula>LEN(TRIM(E61))=0</formula>
    </cfRule>
  </conditionalFormatting>
  <conditionalFormatting sqref="T73:T74 E73:E74 J73:J74 L73:L74 H73:H74">
    <cfRule type="containsBlanks" dxfId="1431" priority="1449">
      <formula>LEN(TRIM(E73))=0</formula>
    </cfRule>
  </conditionalFormatting>
  <conditionalFormatting sqref="D73:D74 J74 L74 E74:H74 N74:R74">
    <cfRule type="containsBlanks" dxfId="1430" priority="1446">
      <formula>LEN(TRIM(D73))=0</formula>
    </cfRule>
  </conditionalFormatting>
  <conditionalFormatting sqref="F73:F74">
    <cfRule type="containsBlanks" dxfId="1429" priority="1445">
      <formula>LEN(TRIM(F73))=0</formula>
    </cfRule>
  </conditionalFormatting>
  <conditionalFormatting sqref="G73:G74">
    <cfRule type="containsBlanks" dxfId="1428" priority="1444">
      <formula>LEN(TRIM(G73))=0</formula>
    </cfRule>
  </conditionalFormatting>
  <conditionalFormatting sqref="O73:R74">
    <cfRule type="containsBlanks" dxfId="1427" priority="1442">
      <formula>LEN(TRIM(O73))=0</formula>
    </cfRule>
  </conditionalFormatting>
  <conditionalFormatting sqref="O73:R74">
    <cfRule type="containsBlanks" dxfId="1426" priority="1443">
      <formula>LEN(TRIM(O73))=0</formula>
    </cfRule>
  </conditionalFormatting>
  <conditionalFormatting sqref="T73:T74 E73:E74 J73:J74 L73:L74 H73:H74">
    <cfRule type="containsBlanks" dxfId="1425" priority="1448">
      <formula>LEN(TRIM(E73))=0</formula>
    </cfRule>
  </conditionalFormatting>
  <conditionalFormatting sqref="A73:B74">
    <cfRule type="containsBlanks" dxfId="1424" priority="1447">
      <formula>LEN(TRIM(A73))=0</formula>
    </cfRule>
  </conditionalFormatting>
  <conditionalFormatting sqref="N73:N74">
    <cfRule type="containsBlanks" dxfId="1423" priority="1440">
      <formula>LEN(TRIM(N73))=0</formula>
    </cfRule>
  </conditionalFormatting>
  <conditionalFormatting sqref="N73:N74">
    <cfRule type="containsBlanks" dxfId="1422" priority="1441">
      <formula>LEN(TRIM(N73))=0</formula>
    </cfRule>
  </conditionalFormatting>
  <conditionalFormatting sqref="A73:B74">
    <cfRule type="containsBlanks" dxfId="1421" priority="1439">
      <formula>LEN(TRIM(A73))=0</formula>
    </cfRule>
  </conditionalFormatting>
  <conditionalFormatting sqref="C73:C74">
    <cfRule type="containsBlanks" dxfId="1420" priority="1438">
      <formula>LEN(TRIM(C73))=0</formula>
    </cfRule>
  </conditionalFormatting>
  <conditionalFormatting sqref="E73:E74">
    <cfRule type="containsBlanks" dxfId="1419" priority="1437">
      <formula>LEN(TRIM(E73))=0</formula>
    </cfRule>
  </conditionalFormatting>
  <conditionalFormatting sqref="T88 E88 J88 L88 H88">
    <cfRule type="containsBlanks" dxfId="1418" priority="1436">
      <formula>LEN(TRIM(E88))=0</formula>
    </cfRule>
  </conditionalFormatting>
  <conditionalFormatting sqref="D88">
    <cfRule type="containsBlanks" dxfId="1417" priority="1433">
      <formula>LEN(TRIM(D88))=0</formula>
    </cfRule>
  </conditionalFormatting>
  <conditionalFormatting sqref="F88">
    <cfRule type="containsBlanks" dxfId="1416" priority="1432">
      <formula>LEN(TRIM(F88))=0</formula>
    </cfRule>
  </conditionalFormatting>
  <conditionalFormatting sqref="G88">
    <cfRule type="containsBlanks" dxfId="1415" priority="1431">
      <formula>LEN(TRIM(G88))=0</formula>
    </cfRule>
  </conditionalFormatting>
  <conditionalFormatting sqref="O88:R88">
    <cfRule type="containsBlanks" dxfId="1414" priority="1429">
      <formula>LEN(TRIM(O88))=0</formula>
    </cfRule>
  </conditionalFormatting>
  <conditionalFormatting sqref="O88:R88">
    <cfRule type="containsBlanks" dxfId="1413" priority="1430">
      <formula>LEN(TRIM(O88))=0</formula>
    </cfRule>
  </conditionalFormatting>
  <conditionalFormatting sqref="T88 E88 J88 L88 H88">
    <cfRule type="containsBlanks" dxfId="1412" priority="1435">
      <formula>LEN(TRIM(E88))=0</formula>
    </cfRule>
  </conditionalFormatting>
  <conditionalFormatting sqref="A88:B88">
    <cfRule type="containsBlanks" dxfId="1411" priority="1434">
      <formula>LEN(TRIM(A88))=0</formula>
    </cfRule>
  </conditionalFormatting>
  <conditionalFormatting sqref="N88">
    <cfRule type="containsBlanks" dxfId="1410" priority="1427">
      <formula>LEN(TRIM(N88))=0</formula>
    </cfRule>
  </conditionalFormatting>
  <conditionalFormatting sqref="N88">
    <cfRule type="containsBlanks" dxfId="1409" priority="1428">
      <formula>LEN(TRIM(N88))=0</formula>
    </cfRule>
  </conditionalFormatting>
  <conditionalFormatting sqref="A88:B88">
    <cfRule type="containsBlanks" dxfId="1408" priority="1426">
      <formula>LEN(TRIM(A88))=0</formula>
    </cfRule>
  </conditionalFormatting>
  <conditionalFormatting sqref="C88">
    <cfRule type="containsBlanks" dxfId="1407" priority="1425">
      <formula>LEN(TRIM(C88))=0</formula>
    </cfRule>
  </conditionalFormatting>
  <conditionalFormatting sqref="E88">
    <cfRule type="containsBlanks" dxfId="1406" priority="1424">
      <formula>LEN(TRIM(E88))=0</formula>
    </cfRule>
  </conditionalFormatting>
  <conditionalFormatting sqref="T89">
    <cfRule type="containsBlanks" dxfId="1405" priority="1423">
      <formula>LEN(TRIM(T89))=0</formula>
    </cfRule>
  </conditionalFormatting>
  <conditionalFormatting sqref="D89:R89">
    <cfRule type="containsBlanks" dxfId="1404" priority="1420">
      <formula>LEN(TRIM(D89))=0</formula>
    </cfRule>
  </conditionalFormatting>
  <conditionalFormatting sqref="C89">
    <cfRule type="containsBlanks" dxfId="1403" priority="1418">
      <formula>LEN(TRIM(C89))=0</formula>
    </cfRule>
  </conditionalFormatting>
  <conditionalFormatting sqref="A89:B89">
    <cfRule type="containsBlanks" dxfId="1402" priority="1419">
      <formula>LEN(TRIM(A89))=0</formula>
    </cfRule>
  </conditionalFormatting>
  <conditionalFormatting sqref="T89">
    <cfRule type="containsBlanks" dxfId="1401" priority="1422">
      <formula>LEN(TRIM(T89))=0</formula>
    </cfRule>
  </conditionalFormatting>
  <conditionalFormatting sqref="A89:B89">
    <cfRule type="containsBlanks" dxfId="1400" priority="1421">
      <formula>LEN(TRIM(A89))=0</formula>
    </cfRule>
  </conditionalFormatting>
  <conditionalFormatting sqref="T107 E107 J107 L107 H107">
    <cfRule type="containsBlanks" dxfId="1399" priority="1417">
      <formula>LEN(TRIM(E107))=0</formula>
    </cfRule>
  </conditionalFormatting>
  <conditionalFormatting sqref="D107">
    <cfRule type="containsBlanks" dxfId="1398" priority="1414">
      <formula>LEN(TRIM(D107))=0</formula>
    </cfRule>
  </conditionalFormatting>
  <conditionalFormatting sqref="F107">
    <cfRule type="containsBlanks" dxfId="1397" priority="1413">
      <formula>LEN(TRIM(F107))=0</formula>
    </cfRule>
  </conditionalFormatting>
  <conditionalFormatting sqref="O107:R107">
    <cfRule type="containsBlanks" dxfId="1396" priority="1410">
      <formula>LEN(TRIM(O107))=0</formula>
    </cfRule>
  </conditionalFormatting>
  <conditionalFormatting sqref="O107:R107">
    <cfRule type="containsBlanks" dxfId="1395" priority="1411">
      <formula>LEN(TRIM(O107))=0</formula>
    </cfRule>
  </conditionalFormatting>
  <conditionalFormatting sqref="T107 E107 J107 L107 H107">
    <cfRule type="containsBlanks" dxfId="1394" priority="1416">
      <formula>LEN(TRIM(E107))=0</formula>
    </cfRule>
  </conditionalFormatting>
  <conditionalFormatting sqref="A107:B107">
    <cfRule type="containsBlanks" dxfId="1393" priority="1415">
      <formula>LEN(TRIM(A107))=0</formula>
    </cfRule>
  </conditionalFormatting>
  <conditionalFormatting sqref="N107">
    <cfRule type="containsBlanks" dxfId="1392" priority="1408">
      <formula>LEN(TRIM(N107))=0</formula>
    </cfRule>
  </conditionalFormatting>
  <conditionalFormatting sqref="N107">
    <cfRule type="containsBlanks" dxfId="1391" priority="1409">
      <formula>LEN(TRIM(N107))=0</formula>
    </cfRule>
  </conditionalFormatting>
  <conditionalFormatting sqref="A107:B107">
    <cfRule type="containsBlanks" dxfId="1390" priority="1407">
      <formula>LEN(TRIM(A107))=0</formula>
    </cfRule>
  </conditionalFormatting>
  <conditionalFormatting sqref="D133">
    <cfRule type="containsBlanks" dxfId="1389" priority="1401">
      <formula>LEN(TRIM(D133))=0</formula>
    </cfRule>
  </conditionalFormatting>
  <conditionalFormatting sqref="F133">
    <cfRule type="containsBlanks" dxfId="1388" priority="1400">
      <formula>LEN(TRIM(F133))=0</formula>
    </cfRule>
  </conditionalFormatting>
  <conditionalFormatting sqref="G133">
    <cfRule type="containsBlanks" dxfId="1387" priority="1399">
      <formula>LEN(TRIM(G133))=0</formula>
    </cfRule>
  </conditionalFormatting>
  <conditionalFormatting sqref="O133:R133">
    <cfRule type="containsBlanks" dxfId="1386" priority="1397">
      <formula>LEN(TRIM(O133))=0</formula>
    </cfRule>
  </conditionalFormatting>
  <conditionalFormatting sqref="O133:R133">
    <cfRule type="containsBlanks" dxfId="1385" priority="1398">
      <formula>LEN(TRIM(O133))=0</formula>
    </cfRule>
  </conditionalFormatting>
  <conditionalFormatting sqref="S133:T133 E133 J133 L133 H133 S134:S136 S138:S143 S145 S148 S155:S156">
    <cfRule type="containsBlanks" dxfId="1384" priority="1403">
      <formula>LEN(TRIM(E133))=0</formula>
    </cfRule>
  </conditionalFormatting>
  <conditionalFormatting sqref="A133:B133">
    <cfRule type="containsBlanks" dxfId="1383" priority="1402">
      <formula>LEN(TRIM(A133))=0</formula>
    </cfRule>
  </conditionalFormatting>
  <conditionalFormatting sqref="N133">
    <cfRule type="containsBlanks" dxfId="1382" priority="1395">
      <formula>LEN(TRIM(N133))=0</formula>
    </cfRule>
  </conditionalFormatting>
  <conditionalFormatting sqref="N133">
    <cfRule type="containsBlanks" dxfId="1381" priority="1396">
      <formula>LEN(TRIM(N133))=0</formula>
    </cfRule>
  </conditionalFormatting>
  <conditionalFormatting sqref="C133">
    <cfRule type="containsBlanks" dxfId="1380" priority="1393">
      <formula>LEN(TRIM(C133))=0</formula>
    </cfRule>
  </conditionalFormatting>
  <conditionalFormatting sqref="E133">
    <cfRule type="containsBlanks" dxfId="1379" priority="1392">
      <formula>LEN(TRIM(E133))=0</formula>
    </cfRule>
  </conditionalFormatting>
  <conditionalFormatting sqref="S134:T134 E134 J134 L134 H134">
    <cfRule type="containsBlanks" dxfId="1378" priority="1391">
      <formula>LEN(TRIM(E134))=0</formula>
    </cfRule>
  </conditionalFormatting>
  <conditionalFormatting sqref="D134">
    <cfRule type="containsBlanks" dxfId="1377" priority="1388">
      <formula>LEN(TRIM(D134))=0</formula>
    </cfRule>
  </conditionalFormatting>
  <conditionalFormatting sqref="F134">
    <cfRule type="containsBlanks" dxfId="1376" priority="1387">
      <formula>LEN(TRIM(F134))=0</formula>
    </cfRule>
  </conditionalFormatting>
  <conditionalFormatting sqref="G134">
    <cfRule type="containsBlanks" dxfId="1375" priority="1386">
      <formula>LEN(TRIM(G134))=0</formula>
    </cfRule>
  </conditionalFormatting>
  <conditionalFormatting sqref="O134:R134">
    <cfRule type="containsBlanks" dxfId="1374" priority="1384">
      <formula>LEN(TRIM(O134))=0</formula>
    </cfRule>
  </conditionalFormatting>
  <conditionalFormatting sqref="O134:R134">
    <cfRule type="containsBlanks" dxfId="1373" priority="1385">
      <formula>LEN(TRIM(O134))=0</formula>
    </cfRule>
  </conditionalFormatting>
  <conditionalFormatting sqref="S134:T134 E134 J134 L134 H134">
    <cfRule type="containsBlanks" dxfId="1372" priority="1390">
      <formula>LEN(TRIM(E134))=0</formula>
    </cfRule>
  </conditionalFormatting>
  <conditionalFormatting sqref="A134:B134">
    <cfRule type="containsBlanks" dxfId="1371" priority="1389">
      <formula>LEN(TRIM(A134))=0</formula>
    </cfRule>
  </conditionalFormatting>
  <conditionalFormatting sqref="N134">
    <cfRule type="containsBlanks" dxfId="1370" priority="1382">
      <formula>LEN(TRIM(N134))=0</formula>
    </cfRule>
  </conditionalFormatting>
  <conditionalFormatting sqref="N134">
    <cfRule type="containsBlanks" dxfId="1369" priority="1383">
      <formula>LEN(TRIM(N134))=0</formula>
    </cfRule>
  </conditionalFormatting>
  <conditionalFormatting sqref="A134:B134">
    <cfRule type="containsBlanks" dxfId="1368" priority="1381">
      <formula>LEN(TRIM(A134))=0</formula>
    </cfRule>
  </conditionalFormatting>
  <conditionalFormatting sqref="C134">
    <cfRule type="containsBlanks" dxfId="1367" priority="1380">
      <formula>LEN(TRIM(C134))=0</formula>
    </cfRule>
  </conditionalFormatting>
  <conditionalFormatting sqref="E134">
    <cfRule type="containsBlanks" dxfId="1366" priority="1379">
      <formula>LEN(TRIM(E134))=0</formula>
    </cfRule>
  </conditionalFormatting>
  <conditionalFormatting sqref="T145 H145 E145 L145 J145">
    <cfRule type="containsBlanks" dxfId="1365" priority="1378">
      <formula>LEN(TRIM(E145))=0</formula>
    </cfRule>
  </conditionalFormatting>
  <conditionalFormatting sqref="F145">
    <cfRule type="containsBlanks" dxfId="1364" priority="1375">
      <formula>LEN(TRIM(F145))=0</formula>
    </cfRule>
  </conditionalFormatting>
  <conditionalFormatting sqref="G145">
    <cfRule type="containsBlanks" dxfId="1363" priority="1374">
      <formula>LEN(TRIM(G145))=0</formula>
    </cfRule>
  </conditionalFormatting>
  <conditionalFormatting sqref="O145:R145">
    <cfRule type="containsBlanks" dxfId="1362" priority="1372">
      <formula>LEN(TRIM(O145))=0</formula>
    </cfRule>
  </conditionalFormatting>
  <conditionalFormatting sqref="O145:R145">
    <cfRule type="containsBlanks" dxfId="1361" priority="1373">
      <formula>LEN(TRIM(O145))=0</formula>
    </cfRule>
  </conditionalFormatting>
  <conditionalFormatting sqref="H145 T145 E145 L145 J145">
    <cfRule type="containsBlanks" dxfId="1360" priority="1377">
      <formula>LEN(TRIM(E145))=0</formula>
    </cfRule>
  </conditionalFormatting>
  <conditionalFormatting sqref="A145:B145">
    <cfRule type="containsBlanks" dxfId="1359" priority="1376">
      <formula>LEN(TRIM(A145))=0</formula>
    </cfRule>
  </conditionalFormatting>
  <conditionalFormatting sqref="N145">
    <cfRule type="containsBlanks" dxfId="1358" priority="1370">
      <formula>LEN(TRIM(N145))=0</formula>
    </cfRule>
  </conditionalFormatting>
  <conditionalFormatting sqref="N145">
    <cfRule type="containsBlanks" dxfId="1357" priority="1371">
      <formula>LEN(TRIM(N145))=0</formula>
    </cfRule>
  </conditionalFormatting>
  <conditionalFormatting sqref="A145:B145">
    <cfRule type="containsBlanks" dxfId="1356" priority="1369">
      <formula>LEN(TRIM(A145))=0</formula>
    </cfRule>
  </conditionalFormatting>
  <conditionalFormatting sqref="C145">
    <cfRule type="containsBlanks" dxfId="1355" priority="1368">
      <formula>LEN(TRIM(C145))=0</formula>
    </cfRule>
  </conditionalFormatting>
  <conditionalFormatting sqref="C145">
    <cfRule type="containsBlanks" dxfId="1354" priority="1367">
      <formula>LEN(TRIM(C145))=0</formula>
    </cfRule>
  </conditionalFormatting>
  <conditionalFormatting sqref="E145">
    <cfRule type="containsBlanks" dxfId="1353" priority="1366">
      <formula>LEN(TRIM(E145))=0</formula>
    </cfRule>
  </conditionalFormatting>
  <conditionalFormatting sqref="T148 H148 E148 L148 J148">
    <cfRule type="containsBlanks" dxfId="1352" priority="1365">
      <formula>LEN(TRIM(E148))=0</formula>
    </cfRule>
  </conditionalFormatting>
  <conditionalFormatting sqref="F148">
    <cfRule type="containsBlanks" dxfId="1351" priority="1362">
      <formula>LEN(TRIM(F148))=0</formula>
    </cfRule>
  </conditionalFormatting>
  <conditionalFormatting sqref="G148">
    <cfRule type="containsBlanks" dxfId="1350" priority="1361">
      <formula>LEN(TRIM(G148))=0</formula>
    </cfRule>
  </conditionalFormatting>
  <conditionalFormatting sqref="O148:R148">
    <cfRule type="containsBlanks" dxfId="1349" priority="1359">
      <formula>LEN(TRIM(O148))=0</formula>
    </cfRule>
  </conditionalFormatting>
  <conditionalFormatting sqref="O148:R148">
    <cfRule type="containsBlanks" dxfId="1348" priority="1360">
      <formula>LEN(TRIM(O148))=0</formula>
    </cfRule>
  </conditionalFormatting>
  <conditionalFormatting sqref="H148 T148 E148 L148 J148">
    <cfRule type="containsBlanks" dxfId="1347" priority="1364">
      <formula>LEN(TRIM(E148))=0</formula>
    </cfRule>
  </conditionalFormatting>
  <conditionalFormatting sqref="A148:B148">
    <cfRule type="containsBlanks" dxfId="1346" priority="1363">
      <formula>LEN(TRIM(A148))=0</formula>
    </cfRule>
  </conditionalFormatting>
  <conditionalFormatting sqref="N148">
    <cfRule type="containsBlanks" dxfId="1345" priority="1357">
      <formula>LEN(TRIM(N148))=0</formula>
    </cfRule>
  </conditionalFormatting>
  <conditionalFormatting sqref="N148">
    <cfRule type="containsBlanks" dxfId="1344" priority="1358">
      <formula>LEN(TRIM(N148))=0</formula>
    </cfRule>
  </conditionalFormatting>
  <conditionalFormatting sqref="A148:B148">
    <cfRule type="containsBlanks" dxfId="1343" priority="1356">
      <formula>LEN(TRIM(A148))=0</formula>
    </cfRule>
  </conditionalFormatting>
  <conditionalFormatting sqref="C148">
    <cfRule type="containsBlanks" dxfId="1342" priority="1355">
      <formula>LEN(TRIM(C148))=0</formula>
    </cfRule>
  </conditionalFormatting>
  <conditionalFormatting sqref="C148">
    <cfRule type="containsBlanks" dxfId="1341" priority="1354">
      <formula>LEN(TRIM(C148))=0</formula>
    </cfRule>
  </conditionalFormatting>
  <conditionalFormatting sqref="E148">
    <cfRule type="containsBlanks" dxfId="1340" priority="1353">
      <formula>LEN(TRIM(E148))=0</formula>
    </cfRule>
  </conditionalFormatting>
  <conditionalFormatting sqref="T205:T206 H205:H206 E205:E206 L205:L206 J205:J206">
    <cfRule type="containsBlanks" dxfId="1339" priority="1352">
      <formula>LEN(TRIM(E205))=0</formula>
    </cfRule>
  </conditionalFormatting>
  <conditionalFormatting sqref="F205:F206">
    <cfRule type="containsBlanks" dxfId="1338" priority="1349">
      <formula>LEN(TRIM(F205))=0</formula>
    </cfRule>
  </conditionalFormatting>
  <conditionalFormatting sqref="G205:G206">
    <cfRule type="containsBlanks" dxfId="1337" priority="1348">
      <formula>LEN(TRIM(G205))=0</formula>
    </cfRule>
  </conditionalFormatting>
  <conditionalFormatting sqref="O205:R206">
    <cfRule type="containsBlanks" dxfId="1336" priority="1346">
      <formula>LEN(TRIM(O205))=0</formula>
    </cfRule>
  </conditionalFormatting>
  <conditionalFormatting sqref="O205:R206">
    <cfRule type="containsBlanks" dxfId="1335" priority="1347">
      <formula>LEN(TRIM(O205))=0</formula>
    </cfRule>
  </conditionalFormatting>
  <conditionalFormatting sqref="H205:H206 T205:T206 E205:E206 L205:L206 J205:J206">
    <cfRule type="containsBlanks" dxfId="1334" priority="1351">
      <formula>LEN(TRIM(E205))=0</formula>
    </cfRule>
  </conditionalFormatting>
  <conditionalFormatting sqref="A205:B206">
    <cfRule type="containsBlanks" dxfId="1333" priority="1350">
      <formula>LEN(TRIM(A205))=0</formula>
    </cfRule>
  </conditionalFormatting>
  <conditionalFormatting sqref="N205:N206">
    <cfRule type="containsBlanks" dxfId="1332" priority="1344">
      <formula>LEN(TRIM(N205))=0</formula>
    </cfRule>
  </conditionalFormatting>
  <conditionalFormatting sqref="N205:N206">
    <cfRule type="containsBlanks" dxfId="1331" priority="1345">
      <formula>LEN(TRIM(N205))=0</formula>
    </cfRule>
  </conditionalFormatting>
  <conditionalFormatting sqref="A205:B206">
    <cfRule type="containsBlanks" dxfId="1330" priority="1343">
      <formula>LEN(TRIM(A205))=0</formula>
    </cfRule>
  </conditionalFormatting>
  <conditionalFormatting sqref="C205:C206">
    <cfRule type="containsBlanks" dxfId="1329" priority="1342">
      <formula>LEN(TRIM(C205))=0</formula>
    </cfRule>
  </conditionalFormatting>
  <conditionalFormatting sqref="C205:C206">
    <cfRule type="containsBlanks" dxfId="1328" priority="1341">
      <formula>LEN(TRIM(C205))=0</formula>
    </cfRule>
  </conditionalFormatting>
  <conditionalFormatting sqref="E205:E206">
    <cfRule type="containsBlanks" dxfId="1327" priority="1340">
      <formula>LEN(TRIM(E205))=0</formula>
    </cfRule>
  </conditionalFormatting>
  <conditionalFormatting sqref="F207:F209">
    <cfRule type="containsBlanks" dxfId="1326" priority="1336">
      <formula>LEN(TRIM(F207))=0</formula>
    </cfRule>
  </conditionalFormatting>
  <conditionalFormatting sqref="G207:G209">
    <cfRule type="containsBlanks" dxfId="1325" priority="1335">
      <formula>LEN(TRIM(G207))=0</formula>
    </cfRule>
  </conditionalFormatting>
  <conditionalFormatting sqref="O207:R209">
    <cfRule type="containsBlanks" dxfId="1324" priority="1333">
      <formula>LEN(TRIM(O207))=0</formula>
    </cfRule>
  </conditionalFormatting>
  <conditionalFormatting sqref="O207:R209">
    <cfRule type="containsBlanks" dxfId="1323" priority="1334">
      <formula>LEN(TRIM(O207))=0</formula>
    </cfRule>
  </conditionalFormatting>
  <conditionalFormatting sqref="H207:H209 T207:T209 E207:E209 L207:L209 J207:J209">
    <cfRule type="containsBlanks" dxfId="1322" priority="1338">
      <formula>LEN(TRIM(E207))=0</formula>
    </cfRule>
  </conditionalFormatting>
  <conditionalFormatting sqref="A207:B209">
    <cfRule type="containsBlanks" dxfId="1321" priority="1337">
      <formula>LEN(TRIM(A207))=0</formula>
    </cfRule>
  </conditionalFormatting>
  <conditionalFormatting sqref="N207:N209">
    <cfRule type="containsBlanks" dxfId="1320" priority="1331">
      <formula>LEN(TRIM(N207))=0</formula>
    </cfRule>
  </conditionalFormatting>
  <conditionalFormatting sqref="N207:N209">
    <cfRule type="containsBlanks" dxfId="1319" priority="1332">
      <formula>LEN(TRIM(N207))=0</formula>
    </cfRule>
  </conditionalFormatting>
  <conditionalFormatting sqref="A207:B209">
    <cfRule type="containsBlanks" dxfId="1318" priority="1330">
      <formula>LEN(TRIM(A207))=0</formula>
    </cfRule>
  </conditionalFormatting>
  <conditionalFormatting sqref="C207:C209">
    <cfRule type="containsBlanks" dxfId="1317" priority="1329">
      <formula>LEN(TRIM(C207))=0</formula>
    </cfRule>
  </conditionalFormatting>
  <conditionalFormatting sqref="C207:C209">
    <cfRule type="containsBlanks" dxfId="1316" priority="1328">
      <formula>LEN(TRIM(C207))=0</formula>
    </cfRule>
  </conditionalFormatting>
  <conditionalFormatting sqref="E207:E209">
    <cfRule type="containsBlanks" dxfId="1315" priority="1327">
      <formula>LEN(TRIM(E207))=0</formula>
    </cfRule>
  </conditionalFormatting>
  <conditionalFormatting sqref="H223:H224 E223:E224 L223:L224 J223:J224 J226:J227 L226:L227 E226:E227 H227 E229 L229 J229 J231 L231 E231 T223:T231">
    <cfRule type="containsBlanks" dxfId="1314" priority="1326">
      <formula>LEN(TRIM(E223))=0</formula>
    </cfRule>
  </conditionalFormatting>
  <conditionalFormatting sqref="F223:F224 F226:F227 F229 F231">
    <cfRule type="containsBlanks" dxfId="1313" priority="1323">
      <formula>LEN(TRIM(F223))=0</formula>
    </cfRule>
  </conditionalFormatting>
  <conditionalFormatting sqref="G223:G224 G227">
    <cfRule type="containsBlanks" dxfId="1312" priority="1322">
      <formula>LEN(TRIM(G223))=0</formula>
    </cfRule>
  </conditionalFormatting>
  <conditionalFormatting sqref="O223:R224 O227:R227 O229:P229 O231:P231 O226:P226">
    <cfRule type="containsBlanks" dxfId="1311" priority="1320">
      <formula>LEN(TRIM(O223))=0</formula>
    </cfRule>
  </conditionalFormatting>
  <conditionalFormatting sqref="O223:R224 O227:R227 O229:P229 O231:P231 O226:P226">
    <cfRule type="containsBlanks" dxfId="1310" priority="1321">
      <formula>LEN(TRIM(O223))=0</formula>
    </cfRule>
  </conditionalFormatting>
  <conditionalFormatting sqref="H223:H224 E223:E224 L223:L224 J223:J224 J226:J227 L226:L227 E226:E227 H227 E229 L229 J229 J231 L231 E231 T223:T231">
    <cfRule type="containsBlanks" dxfId="1309" priority="1325">
      <formula>LEN(TRIM(E223))=0</formula>
    </cfRule>
  </conditionalFormatting>
  <conditionalFormatting sqref="A223:B231">
    <cfRule type="containsBlanks" dxfId="1308" priority="1324">
      <formula>LEN(TRIM(A223))=0</formula>
    </cfRule>
  </conditionalFormatting>
  <conditionalFormatting sqref="N223:N224 N226:N227 N229 N231">
    <cfRule type="containsBlanks" dxfId="1307" priority="1318">
      <formula>LEN(TRIM(N223))=0</formula>
    </cfRule>
  </conditionalFormatting>
  <conditionalFormatting sqref="N223:N224 N226:N227 N229 N231">
    <cfRule type="containsBlanks" dxfId="1306" priority="1319">
      <formula>LEN(TRIM(N223))=0</formula>
    </cfRule>
  </conditionalFormatting>
  <conditionalFormatting sqref="A223:B231">
    <cfRule type="containsBlanks" dxfId="1305" priority="1317">
      <formula>LEN(TRIM(A223))=0</formula>
    </cfRule>
  </conditionalFormatting>
  <conditionalFormatting sqref="C223:C231">
    <cfRule type="containsBlanks" dxfId="1304" priority="1316">
      <formula>LEN(TRIM(C223))=0</formula>
    </cfRule>
  </conditionalFormatting>
  <conditionalFormatting sqref="C223:C231">
    <cfRule type="containsBlanks" dxfId="1303" priority="1315">
      <formula>LEN(TRIM(C223))=0</formula>
    </cfRule>
  </conditionalFormatting>
  <conditionalFormatting sqref="E223:E224 E226:E227 E229 E231">
    <cfRule type="containsBlanks" dxfId="1302" priority="1314">
      <formula>LEN(TRIM(E223))=0</formula>
    </cfRule>
  </conditionalFormatting>
  <conditionalFormatting sqref="T240">
    <cfRule type="containsBlanks" dxfId="1301" priority="1313">
      <formula>LEN(TRIM(T240))=0</formula>
    </cfRule>
  </conditionalFormatting>
  <conditionalFormatting sqref="C240">
    <cfRule type="containsBlanks" dxfId="1300" priority="1309">
      <formula>LEN(TRIM(C240))=0</formula>
    </cfRule>
  </conditionalFormatting>
  <conditionalFormatting sqref="A240:B240">
    <cfRule type="containsBlanks" dxfId="1299" priority="1310">
      <formula>LEN(TRIM(A240))=0</formula>
    </cfRule>
  </conditionalFormatting>
  <conditionalFormatting sqref="T240">
    <cfRule type="containsBlanks" dxfId="1298" priority="1312">
      <formula>LEN(TRIM(T240))=0</formula>
    </cfRule>
  </conditionalFormatting>
  <conditionalFormatting sqref="A240:B240">
    <cfRule type="containsBlanks" dxfId="1297" priority="1311">
      <formula>LEN(TRIM(A240))=0</formula>
    </cfRule>
  </conditionalFormatting>
  <conditionalFormatting sqref="C240">
    <cfRule type="containsBlanks" dxfId="1296" priority="1308">
      <formula>LEN(TRIM(C240))=0</formula>
    </cfRule>
  </conditionalFormatting>
  <conditionalFormatting sqref="T245:T247 H245:H247 E245:E247 L245:L247 J245:J247">
    <cfRule type="containsBlanks" dxfId="1295" priority="1307">
      <formula>LEN(TRIM(E245))=0</formula>
    </cfRule>
  </conditionalFormatting>
  <conditionalFormatting sqref="F245:F247">
    <cfRule type="containsBlanks" dxfId="1294" priority="1304">
      <formula>LEN(TRIM(F245))=0</formula>
    </cfRule>
  </conditionalFormatting>
  <conditionalFormatting sqref="G245:G247">
    <cfRule type="containsBlanks" dxfId="1293" priority="1303">
      <formula>LEN(TRIM(G245))=0</formula>
    </cfRule>
  </conditionalFormatting>
  <conditionalFormatting sqref="O245:R247">
    <cfRule type="containsBlanks" dxfId="1292" priority="1301">
      <formula>LEN(TRIM(O245))=0</formula>
    </cfRule>
  </conditionalFormatting>
  <conditionalFormatting sqref="O245:R247">
    <cfRule type="containsBlanks" dxfId="1291" priority="1302">
      <formula>LEN(TRIM(O245))=0</formula>
    </cfRule>
  </conditionalFormatting>
  <conditionalFormatting sqref="H245:H247 T245:T247 E245:E247 L245:L247 J245:J247">
    <cfRule type="containsBlanks" dxfId="1290" priority="1306">
      <formula>LEN(TRIM(E245))=0</formula>
    </cfRule>
  </conditionalFormatting>
  <conditionalFormatting sqref="A245:B247">
    <cfRule type="containsBlanks" dxfId="1289" priority="1305">
      <formula>LEN(TRIM(A245))=0</formula>
    </cfRule>
  </conditionalFormatting>
  <conditionalFormatting sqref="N245:N247">
    <cfRule type="containsBlanks" dxfId="1288" priority="1300">
      <formula>LEN(TRIM(N245))=0</formula>
    </cfRule>
  </conditionalFormatting>
  <conditionalFormatting sqref="A245:B247">
    <cfRule type="containsBlanks" dxfId="1287" priority="1298">
      <formula>LEN(TRIM(A245))=0</formula>
    </cfRule>
  </conditionalFormatting>
  <conditionalFormatting sqref="C245:C247">
    <cfRule type="containsBlanks" dxfId="1286" priority="1297">
      <formula>LEN(TRIM(C245))=0</formula>
    </cfRule>
  </conditionalFormatting>
  <conditionalFormatting sqref="C245:C247">
    <cfRule type="containsBlanks" dxfId="1285" priority="1296">
      <formula>LEN(TRIM(C245))=0</formula>
    </cfRule>
  </conditionalFormatting>
  <conditionalFormatting sqref="E245:E247">
    <cfRule type="containsBlanks" dxfId="1284" priority="1295">
      <formula>LEN(TRIM(E245))=0</formula>
    </cfRule>
  </conditionalFormatting>
  <conditionalFormatting sqref="H260:H262 E260:E262 L260:L262 J260:J262 S260:T262">
    <cfRule type="containsBlanks" dxfId="1283" priority="1294">
      <formula>LEN(TRIM(E260))=0</formula>
    </cfRule>
  </conditionalFormatting>
  <conditionalFormatting sqref="F260:F262">
    <cfRule type="containsBlanks" dxfId="1282" priority="1291">
      <formula>LEN(TRIM(F260))=0</formula>
    </cfRule>
  </conditionalFormatting>
  <conditionalFormatting sqref="G260:G262">
    <cfRule type="containsBlanks" dxfId="1281" priority="1290">
      <formula>LEN(TRIM(G260))=0</formula>
    </cfRule>
  </conditionalFormatting>
  <conditionalFormatting sqref="O260:R262">
    <cfRule type="containsBlanks" dxfId="1280" priority="1289">
      <formula>LEN(TRIM(O260))=0</formula>
    </cfRule>
  </conditionalFormatting>
  <conditionalFormatting sqref="H260:H262 E260:E262 L260:L262 J260:J262 S260:T262">
    <cfRule type="containsBlanks" dxfId="1279" priority="1293">
      <formula>LEN(TRIM(E260))=0</formula>
    </cfRule>
  </conditionalFormatting>
  <conditionalFormatting sqref="A260:B262">
    <cfRule type="containsBlanks" dxfId="1278" priority="1292">
      <formula>LEN(TRIM(A260))=0</formula>
    </cfRule>
  </conditionalFormatting>
  <conditionalFormatting sqref="N260:N262">
    <cfRule type="containsBlanks" dxfId="1277" priority="1286">
      <formula>LEN(TRIM(N260))=0</formula>
    </cfRule>
  </conditionalFormatting>
  <conditionalFormatting sqref="C260:C262">
    <cfRule type="containsBlanks" dxfId="1276" priority="1284">
      <formula>LEN(TRIM(C260))=0</formula>
    </cfRule>
  </conditionalFormatting>
  <conditionalFormatting sqref="C260:C262">
    <cfRule type="containsBlanks" dxfId="1275" priority="1283">
      <formula>LEN(TRIM(C260))=0</formula>
    </cfRule>
  </conditionalFormatting>
  <conditionalFormatting sqref="E260:E262">
    <cfRule type="containsBlanks" dxfId="1274" priority="1282">
      <formula>LEN(TRIM(E260))=0</formula>
    </cfRule>
  </conditionalFormatting>
  <conditionalFormatting sqref="J269:J270 L269:L270 H269:H270 E269:E270 T269:T270">
    <cfRule type="containsBlanks" dxfId="1273" priority="1281">
      <formula>LEN(TRIM(E269))=0</formula>
    </cfRule>
  </conditionalFormatting>
  <conditionalFormatting sqref="D269:D270">
    <cfRule type="containsBlanks" dxfId="1272" priority="1278">
      <formula>LEN(TRIM(D269))=0</formula>
    </cfRule>
  </conditionalFormatting>
  <conditionalFormatting sqref="F269:F270">
    <cfRule type="containsBlanks" dxfId="1271" priority="1277">
      <formula>LEN(TRIM(F269))=0</formula>
    </cfRule>
  </conditionalFormatting>
  <conditionalFormatting sqref="G269:G270">
    <cfRule type="containsBlanks" dxfId="1270" priority="1276">
      <formula>LEN(TRIM(G269))=0</formula>
    </cfRule>
  </conditionalFormatting>
  <conditionalFormatting sqref="O269:R270">
    <cfRule type="containsBlanks" dxfId="1269" priority="1274">
      <formula>LEN(TRIM(O269))=0</formula>
    </cfRule>
  </conditionalFormatting>
  <conditionalFormatting sqref="O269:R270">
    <cfRule type="containsBlanks" dxfId="1268" priority="1275">
      <formula>LEN(TRIM(O269))=0</formula>
    </cfRule>
  </conditionalFormatting>
  <conditionalFormatting sqref="J269:J270 L269:L270 H269:H270 T269:T270 E269:E270">
    <cfRule type="containsBlanks" dxfId="1267" priority="1280">
      <formula>LEN(TRIM(E269))=0</formula>
    </cfRule>
  </conditionalFormatting>
  <conditionalFormatting sqref="A269:B270">
    <cfRule type="containsBlanks" dxfId="1266" priority="1279">
      <formula>LEN(TRIM(A269))=0</formula>
    </cfRule>
  </conditionalFormatting>
  <conditionalFormatting sqref="N269:N270">
    <cfRule type="containsBlanks" dxfId="1265" priority="1272">
      <formula>LEN(TRIM(N269))=0</formula>
    </cfRule>
  </conditionalFormatting>
  <conditionalFormatting sqref="N269:N270">
    <cfRule type="containsBlanks" dxfId="1264" priority="1273">
      <formula>LEN(TRIM(N269))=0</formula>
    </cfRule>
  </conditionalFormatting>
  <conditionalFormatting sqref="A269:B270">
    <cfRule type="containsBlanks" dxfId="1263" priority="1271">
      <formula>LEN(TRIM(A269))=0</formula>
    </cfRule>
  </conditionalFormatting>
  <conditionalFormatting sqref="C269:C270">
    <cfRule type="containsBlanks" dxfId="1262" priority="1270">
      <formula>LEN(TRIM(C269))=0</formula>
    </cfRule>
  </conditionalFormatting>
  <conditionalFormatting sqref="E269:E270">
    <cfRule type="containsBlanks" dxfId="1261" priority="1269">
      <formula>LEN(TRIM(E269))=0</formula>
    </cfRule>
  </conditionalFormatting>
  <conditionalFormatting sqref="J272 L272 H272 E272 T272:T273">
    <cfRule type="containsBlanks" dxfId="1260" priority="1268">
      <formula>LEN(TRIM(E272))=0</formula>
    </cfRule>
  </conditionalFormatting>
  <conditionalFormatting sqref="D272:D273 E273:R273">
    <cfRule type="containsBlanks" dxfId="1259" priority="1265">
      <formula>LEN(TRIM(D272))=0</formula>
    </cfRule>
  </conditionalFormatting>
  <conditionalFormatting sqref="F272">
    <cfRule type="containsBlanks" dxfId="1258" priority="1264">
      <formula>LEN(TRIM(F272))=0</formula>
    </cfRule>
  </conditionalFormatting>
  <conditionalFormatting sqref="G272">
    <cfRule type="containsBlanks" dxfId="1257" priority="1263">
      <formula>LEN(TRIM(G272))=0</formula>
    </cfRule>
  </conditionalFormatting>
  <conditionalFormatting sqref="O272:R272">
    <cfRule type="containsBlanks" dxfId="1256" priority="1261">
      <formula>LEN(TRIM(O272))=0</formula>
    </cfRule>
  </conditionalFormatting>
  <conditionalFormatting sqref="O272:R272">
    <cfRule type="containsBlanks" dxfId="1255" priority="1262">
      <formula>LEN(TRIM(O272))=0</formula>
    </cfRule>
  </conditionalFormatting>
  <conditionalFormatting sqref="J272 L272 H272 T272:T273 E272">
    <cfRule type="containsBlanks" dxfId="1254" priority="1267">
      <formula>LEN(TRIM(E272))=0</formula>
    </cfRule>
  </conditionalFormatting>
  <conditionalFormatting sqref="A272:B273">
    <cfRule type="containsBlanks" dxfId="1253" priority="1266">
      <formula>LEN(TRIM(A272))=0</formula>
    </cfRule>
  </conditionalFormatting>
  <conditionalFormatting sqref="N272">
    <cfRule type="containsBlanks" dxfId="1252" priority="1259">
      <formula>LEN(TRIM(N272))=0</formula>
    </cfRule>
  </conditionalFormatting>
  <conditionalFormatting sqref="N272">
    <cfRule type="containsBlanks" dxfId="1251" priority="1260">
      <formula>LEN(TRIM(N272))=0</formula>
    </cfRule>
  </conditionalFormatting>
  <conditionalFormatting sqref="A272:B273">
    <cfRule type="containsBlanks" dxfId="1250" priority="1258">
      <formula>LEN(TRIM(A272))=0</formula>
    </cfRule>
  </conditionalFormatting>
  <conditionalFormatting sqref="C272:C273">
    <cfRule type="containsBlanks" dxfId="1249" priority="1257">
      <formula>LEN(TRIM(C272))=0</formula>
    </cfRule>
  </conditionalFormatting>
  <conditionalFormatting sqref="E272">
    <cfRule type="containsBlanks" dxfId="1248" priority="1256">
      <formula>LEN(TRIM(E272))=0</formula>
    </cfRule>
  </conditionalFormatting>
  <conditionalFormatting sqref="J325:J326 L325:L326 H325:H326 E325:E326 T325:T326">
    <cfRule type="containsBlanks" dxfId="1247" priority="1255">
      <formula>LEN(TRIM(E325))=0</formula>
    </cfRule>
  </conditionalFormatting>
  <conditionalFormatting sqref="D325:D326">
    <cfRule type="containsBlanks" dxfId="1246" priority="1252">
      <formula>LEN(TRIM(D325))=0</formula>
    </cfRule>
  </conditionalFormatting>
  <conditionalFormatting sqref="F325:F326">
    <cfRule type="containsBlanks" dxfId="1245" priority="1251">
      <formula>LEN(TRIM(F325))=0</formula>
    </cfRule>
  </conditionalFormatting>
  <conditionalFormatting sqref="G325:G326">
    <cfRule type="containsBlanks" dxfId="1244" priority="1250">
      <formula>LEN(TRIM(G325))=0</formula>
    </cfRule>
  </conditionalFormatting>
  <conditionalFormatting sqref="O325:R326">
    <cfRule type="containsBlanks" dxfId="1243" priority="1248">
      <formula>LEN(TRIM(O325))=0</formula>
    </cfRule>
  </conditionalFormatting>
  <conditionalFormatting sqref="O325:R326">
    <cfRule type="containsBlanks" dxfId="1242" priority="1249">
      <formula>LEN(TRIM(O325))=0</formula>
    </cfRule>
  </conditionalFormatting>
  <conditionalFormatting sqref="J325:J326 L325:L326 H325:H326 T325:T326 E325:E326">
    <cfRule type="containsBlanks" dxfId="1241" priority="1254">
      <formula>LEN(TRIM(E325))=0</formula>
    </cfRule>
  </conditionalFormatting>
  <conditionalFormatting sqref="A325:B326">
    <cfRule type="containsBlanks" dxfId="1240" priority="1253">
      <formula>LEN(TRIM(A325))=0</formula>
    </cfRule>
  </conditionalFormatting>
  <conditionalFormatting sqref="N325:N326">
    <cfRule type="containsBlanks" dxfId="1239" priority="1246">
      <formula>LEN(TRIM(N325))=0</formula>
    </cfRule>
  </conditionalFormatting>
  <conditionalFormatting sqref="N325:N326">
    <cfRule type="containsBlanks" dxfId="1238" priority="1247">
      <formula>LEN(TRIM(N325))=0</formula>
    </cfRule>
  </conditionalFormatting>
  <conditionalFormatting sqref="A325:B326">
    <cfRule type="containsBlanks" dxfId="1237" priority="1245">
      <formula>LEN(TRIM(A325))=0</formula>
    </cfRule>
  </conditionalFormatting>
  <conditionalFormatting sqref="C325:C326">
    <cfRule type="containsBlanks" dxfId="1236" priority="1244">
      <formula>LEN(TRIM(C325))=0</formula>
    </cfRule>
  </conditionalFormatting>
  <conditionalFormatting sqref="E325:E326">
    <cfRule type="containsBlanks" dxfId="1235" priority="1243">
      <formula>LEN(TRIM(E325))=0</formula>
    </cfRule>
  </conditionalFormatting>
  <conditionalFormatting sqref="J327 L327 H327 E327 T327">
    <cfRule type="containsBlanks" dxfId="1234" priority="1242">
      <formula>LEN(TRIM(E327))=0</formula>
    </cfRule>
  </conditionalFormatting>
  <conditionalFormatting sqref="D327">
    <cfRule type="containsBlanks" dxfId="1233" priority="1239">
      <formula>LEN(TRIM(D327))=0</formula>
    </cfRule>
  </conditionalFormatting>
  <conditionalFormatting sqref="F327">
    <cfRule type="containsBlanks" dxfId="1232" priority="1238">
      <formula>LEN(TRIM(F327))=0</formula>
    </cfRule>
  </conditionalFormatting>
  <conditionalFormatting sqref="G327">
    <cfRule type="containsBlanks" dxfId="1231" priority="1237">
      <formula>LEN(TRIM(G327))=0</formula>
    </cfRule>
  </conditionalFormatting>
  <conditionalFormatting sqref="O327:R327">
    <cfRule type="containsBlanks" dxfId="1230" priority="1235">
      <formula>LEN(TRIM(O327))=0</formula>
    </cfRule>
  </conditionalFormatting>
  <conditionalFormatting sqref="O327:R327">
    <cfRule type="containsBlanks" dxfId="1229" priority="1236">
      <formula>LEN(TRIM(O327))=0</formula>
    </cfRule>
  </conditionalFormatting>
  <conditionalFormatting sqref="J327 L327 H327 T327 E327">
    <cfRule type="containsBlanks" dxfId="1228" priority="1241">
      <formula>LEN(TRIM(E327))=0</formula>
    </cfRule>
  </conditionalFormatting>
  <conditionalFormatting sqref="A327:B327">
    <cfRule type="containsBlanks" dxfId="1227" priority="1240">
      <formula>LEN(TRIM(A327))=0</formula>
    </cfRule>
  </conditionalFormatting>
  <conditionalFormatting sqref="N327">
    <cfRule type="containsBlanks" dxfId="1226" priority="1233">
      <formula>LEN(TRIM(N327))=0</formula>
    </cfRule>
  </conditionalFormatting>
  <conditionalFormatting sqref="A327:B327">
    <cfRule type="containsBlanks" dxfId="1225" priority="1232">
      <formula>LEN(TRIM(A327))=0</formula>
    </cfRule>
  </conditionalFormatting>
  <conditionalFormatting sqref="C327">
    <cfRule type="containsBlanks" dxfId="1224" priority="1231">
      <formula>LEN(TRIM(C327))=0</formula>
    </cfRule>
  </conditionalFormatting>
  <conditionalFormatting sqref="E327">
    <cfRule type="containsBlanks" dxfId="1223" priority="1230">
      <formula>LEN(TRIM(E327))=0</formula>
    </cfRule>
  </conditionalFormatting>
  <conditionalFormatting sqref="J330:J331 L330:L331 H330:H331 E330:E331 T330:T332">
    <cfRule type="containsBlanks" dxfId="1222" priority="1229">
      <formula>LEN(TRIM(E330))=0</formula>
    </cfRule>
  </conditionalFormatting>
  <conditionalFormatting sqref="D330:D332 E332:R332">
    <cfRule type="containsBlanks" dxfId="1221" priority="1226">
      <formula>LEN(TRIM(D330))=0</formula>
    </cfRule>
  </conditionalFormatting>
  <conditionalFormatting sqref="F330:F331">
    <cfRule type="containsBlanks" dxfId="1220" priority="1225">
      <formula>LEN(TRIM(F330))=0</formula>
    </cfRule>
  </conditionalFormatting>
  <conditionalFormatting sqref="G330:G331">
    <cfRule type="containsBlanks" dxfId="1219" priority="1224">
      <formula>LEN(TRIM(G330))=0</formula>
    </cfRule>
  </conditionalFormatting>
  <conditionalFormatting sqref="O330:R331">
    <cfRule type="containsBlanks" dxfId="1218" priority="1222">
      <formula>LEN(TRIM(O330))=0</formula>
    </cfRule>
  </conditionalFormatting>
  <conditionalFormatting sqref="O330:R331">
    <cfRule type="containsBlanks" dxfId="1217" priority="1223">
      <formula>LEN(TRIM(O330))=0</formula>
    </cfRule>
  </conditionalFormatting>
  <conditionalFormatting sqref="J330:J331 L330:L331 H330:H331 T330:T332 E330:E331">
    <cfRule type="containsBlanks" dxfId="1216" priority="1228">
      <formula>LEN(TRIM(E330))=0</formula>
    </cfRule>
  </conditionalFormatting>
  <conditionalFormatting sqref="A330:B332">
    <cfRule type="containsBlanks" dxfId="1215" priority="1227">
      <formula>LEN(TRIM(A330))=0</formula>
    </cfRule>
  </conditionalFormatting>
  <conditionalFormatting sqref="N330:N331">
    <cfRule type="containsBlanks" dxfId="1214" priority="1220">
      <formula>LEN(TRIM(N330))=0</formula>
    </cfRule>
  </conditionalFormatting>
  <conditionalFormatting sqref="N330:N331">
    <cfRule type="containsBlanks" dxfId="1213" priority="1221">
      <formula>LEN(TRIM(N330))=0</formula>
    </cfRule>
  </conditionalFormatting>
  <conditionalFormatting sqref="A330:B332">
    <cfRule type="containsBlanks" dxfId="1212" priority="1219">
      <formula>LEN(TRIM(A330))=0</formula>
    </cfRule>
  </conditionalFormatting>
  <conditionalFormatting sqref="C330:C332">
    <cfRule type="containsBlanks" dxfId="1211" priority="1218">
      <formula>LEN(TRIM(C330))=0</formula>
    </cfRule>
  </conditionalFormatting>
  <conditionalFormatting sqref="J339:J340 L339:L340 H339:H340 E339:E340 T339:T340">
    <cfRule type="containsBlanks" dxfId="1210" priority="1216">
      <formula>LEN(TRIM(E339))=0</formula>
    </cfRule>
  </conditionalFormatting>
  <conditionalFormatting sqref="D339:D340">
    <cfRule type="containsBlanks" dxfId="1209" priority="1213">
      <formula>LEN(TRIM(D339))=0</formula>
    </cfRule>
  </conditionalFormatting>
  <conditionalFormatting sqref="F339:F340">
    <cfRule type="containsBlanks" dxfId="1208" priority="1212">
      <formula>LEN(TRIM(F339))=0</formula>
    </cfRule>
  </conditionalFormatting>
  <conditionalFormatting sqref="G339:G340">
    <cfRule type="containsBlanks" dxfId="1207" priority="1211">
      <formula>LEN(TRIM(G339))=0</formula>
    </cfRule>
  </conditionalFormatting>
  <conditionalFormatting sqref="O339:R340">
    <cfRule type="containsBlanks" dxfId="1206" priority="1209">
      <formula>LEN(TRIM(O339))=0</formula>
    </cfRule>
  </conditionalFormatting>
  <conditionalFormatting sqref="O339:R340">
    <cfRule type="containsBlanks" dxfId="1205" priority="1210">
      <formula>LEN(TRIM(O339))=0</formula>
    </cfRule>
  </conditionalFormatting>
  <conditionalFormatting sqref="J339:J340 L339:L340 H339:H340 T339:T340 E339:E340">
    <cfRule type="containsBlanks" dxfId="1204" priority="1215">
      <formula>LEN(TRIM(E339))=0</formula>
    </cfRule>
  </conditionalFormatting>
  <conditionalFormatting sqref="A339:B340">
    <cfRule type="containsBlanks" dxfId="1203" priority="1214">
      <formula>LEN(TRIM(A339))=0</formula>
    </cfRule>
  </conditionalFormatting>
  <conditionalFormatting sqref="N339:N340">
    <cfRule type="containsBlanks" dxfId="1202" priority="1207">
      <formula>LEN(TRIM(N339))=0</formula>
    </cfRule>
  </conditionalFormatting>
  <conditionalFormatting sqref="N339:N340">
    <cfRule type="containsBlanks" dxfId="1201" priority="1208">
      <formula>LEN(TRIM(N339))=0</formula>
    </cfRule>
  </conditionalFormatting>
  <conditionalFormatting sqref="A339:B340">
    <cfRule type="containsBlanks" dxfId="1200" priority="1206">
      <formula>LEN(TRIM(A339))=0</formula>
    </cfRule>
  </conditionalFormatting>
  <conditionalFormatting sqref="E339:E340">
    <cfRule type="containsBlanks" dxfId="1199" priority="1204">
      <formula>LEN(TRIM(E339))=0</formula>
    </cfRule>
  </conditionalFormatting>
  <conditionalFormatting sqref="J356 L356 E356 T355:T357">
    <cfRule type="containsBlanks" dxfId="1198" priority="1203">
      <formula>LEN(TRIM(E355))=0</formula>
    </cfRule>
  </conditionalFormatting>
  <conditionalFormatting sqref="D355:D357 E357:R357 E355:R355">
    <cfRule type="containsBlanks" dxfId="1197" priority="1200">
      <formula>LEN(TRIM(D355))=0</formula>
    </cfRule>
  </conditionalFormatting>
  <conditionalFormatting sqref="O356:P356">
    <cfRule type="containsBlanks" dxfId="1196" priority="1197">
      <formula>LEN(TRIM(O356))=0</formula>
    </cfRule>
  </conditionalFormatting>
  <conditionalFormatting sqref="O356:P356">
    <cfRule type="containsBlanks" dxfId="1195" priority="1198">
      <formula>LEN(TRIM(O356))=0</formula>
    </cfRule>
  </conditionalFormatting>
  <conditionalFormatting sqref="J356 L356 E356 T355:T357">
    <cfRule type="containsBlanks" dxfId="1194" priority="1202">
      <formula>LEN(TRIM(E355))=0</formula>
    </cfRule>
  </conditionalFormatting>
  <conditionalFormatting sqref="A355:B357">
    <cfRule type="containsBlanks" dxfId="1193" priority="1201">
      <formula>LEN(TRIM(A355))=0</formula>
    </cfRule>
  </conditionalFormatting>
  <conditionalFormatting sqref="N356">
    <cfRule type="containsBlanks" dxfId="1192" priority="1195">
      <formula>LEN(TRIM(N356))=0</formula>
    </cfRule>
  </conditionalFormatting>
  <conditionalFormatting sqref="N356">
    <cfRule type="containsBlanks" dxfId="1191" priority="1196">
      <formula>LEN(TRIM(N356))=0</formula>
    </cfRule>
  </conditionalFormatting>
  <conditionalFormatting sqref="A355:B357">
    <cfRule type="containsBlanks" dxfId="1190" priority="1194">
      <formula>LEN(TRIM(A355))=0</formula>
    </cfRule>
  </conditionalFormatting>
  <conditionalFormatting sqref="C355:C357">
    <cfRule type="containsBlanks" dxfId="1189" priority="1193">
      <formula>LEN(TRIM(C355))=0</formula>
    </cfRule>
  </conditionalFormatting>
  <conditionalFormatting sqref="E356">
    <cfRule type="containsBlanks" dxfId="1188" priority="1192">
      <formula>LEN(TRIM(E356))=0</formula>
    </cfRule>
  </conditionalFormatting>
  <conditionalFormatting sqref="T378">
    <cfRule type="containsBlanks" dxfId="1187" priority="1191">
      <formula>LEN(TRIM(T378))=0</formula>
    </cfRule>
  </conditionalFormatting>
  <conditionalFormatting sqref="D378:R378">
    <cfRule type="containsBlanks" dxfId="1186" priority="1188">
      <formula>LEN(TRIM(D378))=0</formula>
    </cfRule>
  </conditionalFormatting>
  <conditionalFormatting sqref="T378">
    <cfRule type="containsBlanks" dxfId="1185" priority="1190">
      <formula>LEN(TRIM(T378))=0</formula>
    </cfRule>
  </conditionalFormatting>
  <conditionalFormatting sqref="A378:B378">
    <cfRule type="containsBlanks" dxfId="1184" priority="1189">
      <formula>LEN(TRIM(A378))=0</formula>
    </cfRule>
  </conditionalFormatting>
  <conditionalFormatting sqref="A378:B378">
    <cfRule type="containsBlanks" dxfId="1183" priority="1187">
      <formula>LEN(TRIM(A378))=0</formula>
    </cfRule>
  </conditionalFormatting>
  <conditionalFormatting sqref="C378">
    <cfRule type="containsBlanks" dxfId="1182" priority="1186">
      <formula>LEN(TRIM(C378))=0</formula>
    </cfRule>
  </conditionalFormatting>
  <conditionalFormatting sqref="J406 L406 H406 E406 T406">
    <cfRule type="containsBlanks" dxfId="1181" priority="1185">
      <formula>LEN(TRIM(E406))=0</formula>
    </cfRule>
  </conditionalFormatting>
  <conditionalFormatting sqref="D406">
    <cfRule type="containsBlanks" dxfId="1180" priority="1182">
      <formula>LEN(TRIM(D406))=0</formula>
    </cfRule>
  </conditionalFormatting>
  <conditionalFormatting sqref="F406">
    <cfRule type="containsBlanks" dxfId="1179" priority="1181">
      <formula>LEN(TRIM(F406))=0</formula>
    </cfRule>
  </conditionalFormatting>
  <conditionalFormatting sqref="G406">
    <cfRule type="containsBlanks" dxfId="1178" priority="1180">
      <formula>LEN(TRIM(G406))=0</formula>
    </cfRule>
  </conditionalFormatting>
  <conditionalFormatting sqref="O406:R406">
    <cfRule type="containsBlanks" dxfId="1177" priority="1178">
      <formula>LEN(TRIM(O406))=0</formula>
    </cfRule>
  </conditionalFormatting>
  <conditionalFormatting sqref="O406:R406">
    <cfRule type="containsBlanks" dxfId="1176" priority="1179">
      <formula>LEN(TRIM(O406))=0</formula>
    </cfRule>
  </conditionalFormatting>
  <conditionalFormatting sqref="J406 L406 H406 T406 E406">
    <cfRule type="containsBlanks" dxfId="1175" priority="1184">
      <formula>LEN(TRIM(E406))=0</formula>
    </cfRule>
  </conditionalFormatting>
  <conditionalFormatting sqref="A406:B406">
    <cfRule type="containsBlanks" dxfId="1174" priority="1183">
      <formula>LEN(TRIM(A406))=0</formula>
    </cfRule>
  </conditionalFormatting>
  <conditionalFormatting sqref="N406">
    <cfRule type="containsBlanks" dxfId="1173" priority="1176">
      <formula>LEN(TRIM(N406))=0</formula>
    </cfRule>
  </conditionalFormatting>
  <conditionalFormatting sqref="N406">
    <cfRule type="containsBlanks" dxfId="1172" priority="1177">
      <formula>LEN(TRIM(N406))=0</formula>
    </cfRule>
  </conditionalFormatting>
  <conditionalFormatting sqref="A406:B406">
    <cfRule type="containsBlanks" dxfId="1171" priority="1175">
      <formula>LEN(TRIM(A406))=0</formula>
    </cfRule>
  </conditionalFormatting>
  <conditionalFormatting sqref="C406">
    <cfRule type="containsBlanks" dxfId="1170" priority="1174">
      <formula>LEN(TRIM(C406))=0</formula>
    </cfRule>
  </conditionalFormatting>
  <conditionalFormatting sqref="J407:J409 L407:L409 H407:H409 E407:E409 T407:T409">
    <cfRule type="containsBlanks" dxfId="1169" priority="1172">
      <formula>LEN(TRIM(E407))=0</formula>
    </cfRule>
  </conditionalFormatting>
  <conditionalFormatting sqref="D407:D409">
    <cfRule type="containsBlanks" dxfId="1168" priority="1169">
      <formula>LEN(TRIM(D407))=0</formula>
    </cfRule>
  </conditionalFormatting>
  <conditionalFormatting sqref="F407:F409">
    <cfRule type="containsBlanks" dxfId="1167" priority="1168">
      <formula>LEN(TRIM(F407))=0</formula>
    </cfRule>
  </conditionalFormatting>
  <conditionalFormatting sqref="G407:G409">
    <cfRule type="containsBlanks" dxfId="1166" priority="1167">
      <formula>LEN(TRIM(G407))=0</formula>
    </cfRule>
  </conditionalFormatting>
  <conditionalFormatting sqref="O407:R409">
    <cfRule type="containsBlanks" dxfId="1165" priority="1165">
      <formula>LEN(TRIM(O407))=0</formula>
    </cfRule>
  </conditionalFormatting>
  <conditionalFormatting sqref="O407:R409">
    <cfRule type="containsBlanks" dxfId="1164" priority="1166">
      <formula>LEN(TRIM(O407))=0</formula>
    </cfRule>
  </conditionalFormatting>
  <conditionalFormatting sqref="J407:J409 L407:L409 H407:H409 T407:T409 E407:E409">
    <cfRule type="containsBlanks" dxfId="1163" priority="1171">
      <formula>LEN(TRIM(E407))=0</formula>
    </cfRule>
  </conditionalFormatting>
  <conditionalFormatting sqref="A407:B409">
    <cfRule type="containsBlanks" dxfId="1162" priority="1170">
      <formula>LEN(TRIM(A407))=0</formula>
    </cfRule>
  </conditionalFormatting>
  <conditionalFormatting sqref="N407:N409">
    <cfRule type="containsBlanks" dxfId="1161" priority="1163">
      <formula>LEN(TRIM(N407))=0</formula>
    </cfRule>
  </conditionalFormatting>
  <conditionalFormatting sqref="N407:N409">
    <cfRule type="containsBlanks" dxfId="1160" priority="1164">
      <formula>LEN(TRIM(N407))=0</formula>
    </cfRule>
  </conditionalFormatting>
  <conditionalFormatting sqref="A407:B409">
    <cfRule type="containsBlanks" dxfId="1159" priority="1162">
      <formula>LEN(TRIM(A407))=0</formula>
    </cfRule>
  </conditionalFormatting>
  <conditionalFormatting sqref="C407:C409">
    <cfRule type="containsBlanks" dxfId="1158" priority="1161">
      <formula>LEN(TRIM(C407))=0</formula>
    </cfRule>
  </conditionalFormatting>
  <conditionalFormatting sqref="E407:E409">
    <cfRule type="containsBlanks" dxfId="1157" priority="1160">
      <formula>LEN(TRIM(E407))=0</formula>
    </cfRule>
  </conditionalFormatting>
  <conditionalFormatting sqref="A492:B493">
    <cfRule type="containsBlanks" dxfId="1156" priority="1159">
      <formula>LEN(TRIM(A492))=0</formula>
    </cfRule>
  </conditionalFormatting>
  <conditionalFormatting sqref="T492:T493 L492:L493 J492:J493 H492:H493 E492:E493">
    <cfRule type="containsBlanks" dxfId="1155" priority="1158">
      <formula>LEN(TRIM(E492))=0</formula>
    </cfRule>
  </conditionalFormatting>
  <conditionalFormatting sqref="O492:R493">
    <cfRule type="containsBlanks" dxfId="1154" priority="1156">
      <formula>LEN(TRIM(O492))=0</formula>
    </cfRule>
  </conditionalFormatting>
  <conditionalFormatting sqref="L492:L493 J492:J493">
    <cfRule type="containsBlanks" dxfId="1153" priority="1157">
      <formula>LEN(TRIM(J492))=0</formula>
    </cfRule>
  </conditionalFormatting>
  <conditionalFormatting sqref="N492:N493">
    <cfRule type="containsBlanks" dxfId="1152" priority="1154">
      <formula>LEN(TRIM(N492))=0</formula>
    </cfRule>
  </conditionalFormatting>
  <conditionalFormatting sqref="N492:N493">
    <cfRule type="containsBlanks" dxfId="1151" priority="1153">
      <formula>LEN(TRIM(N492))=0</formula>
    </cfRule>
  </conditionalFormatting>
  <conditionalFormatting sqref="A492:B493">
    <cfRule type="containsBlanks" dxfId="1150" priority="1152">
      <formula>LEN(TRIM(A492))=0</formula>
    </cfRule>
  </conditionalFormatting>
  <conditionalFormatting sqref="C492:C493">
    <cfRule type="containsBlanks" dxfId="1149" priority="1151">
      <formula>LEN(TRIM(C492))=0</formula>
    </cfRule>
  </conditionalFormatting>
  <conditionalFormatting sqref="A502:B502">
    <cfRule type="containsBlanks" dxfId="1148" priority="1150">
      <formula>LEN(TRIM(A502))=0</formula>
    </cfRule>
  </conditionalFormatting>
  <conditionalFormatting sqref="O502:R502">
    <cfRule type="containsBlanks" dxfId="1147" priority="1148">
      <formula>LEN(TRIM(O502))=0</formula>
    </cfRule>
  </conditionalFormatting>
  <conditionalFormatting sqref="J502 L502">
    <cfRule type="containsBlanks" dxfId="1146" priority="1149">
      <formula>LEN(TRIM(J502))=0</formula>
    </cfRule>
  </conditionalFormatting>
  <conditionalFormatting sqref="N502">
    <cfRule type="containsBlanks" dxfId="1145" priority="1147">
      <formula>LEN(TRIM(N502))=0</formula>
    </cfRule>
  </conditionalFormatting>
  <conditionalFormatting sqref="A502:B502">
    <cfRule type="containsBlanks" dxfId="1144" priority="1146">
      <formula>LEN(TRIM(A502))=0</formula>
    </cfRule>
  </conditionalFormatting>
  <conditionalFormatting sqref="C502">
    <cfRule type="containsBlanks" dxfId="1143" priority="1145">
      <formula>LEN(TRIM(C502))=0</formula>
    </cfRule>
  </conditionalFormatting>
  <conditionalFormatting sqref="A505:B505">
    <cfRule type="containsBlanks" dxfId="1142" priority="1144">
      <formula>LEN(TRIM(A505))=0</formula>
    </cfRule>
  </conditionalFormatting>
  <conditionalFormatting sqref="O505:R505">
    <cfRule type="containsBlanks" dxfId="1141" priority="1142">
      <formula>LEN(TRIM(O505))=0</formula>
    </cfRule>
  </conditionalFormatting>
  <conditionalFormatting sqref="J505 L505">
    <cfRule type="containsBlanks" dxfId="1140" priority="1143">
      <formula>LEN(TRIM(J505))=0</formula>
    </cfRule>
  </conditionalFormatting>
  <conditionalFormatting sqref="N505">
    <cfRule type="containsBlanks" dxfId="1139" priority="1141">
      <formula>LEN(TRIM(N505))=0</formula>
    </cfRule>
  </conditionalFormatting>
  <conditionalFormatting sqref="A505:B505">
    <cfRule type="containsBlanks" dxfId="1138" priority="1140">
      <formula>LEN(TRIM(A505))=0</formula>
    </cfRule>
  </conditionalFormatting>
  <conditionalFormatting sqref="C505">
    <cfRule type="containsBlanks" dxfId="1137" priority="1139">
      <formula>LEN(TRIM(C505))=0</formula>
    </cfRule>
  </conditionalFormatting>
  <conditionalFormatting sqref="A509:B511">
    <cfRule type="containsBlanks" dxfId="1136" priority="1138">
      <formula>LEN(TRIM(A509))=0</formula>
    </cfRule>
  </conditionalFormatting>
  <conditionalFormatting sqref="O509:R511">
    <cfRule type="containsBlanks" dxfId="1135" priority="1136">
      <formula>LEN(TRIM(O509))=0</formula>
    </cfRule>
  </conditionalFormatting>
  <conditionalFormatting sqref="J509:J511 L509:L511">
    <cfRule type="containsBlanks" dxfId="1134" priority="1137">
      <formula>LEN(TRIM(J509))=0</formula>
    </cfRule>
  </conditionalFormatting>
  <conditionalFormatting sqref="N509:N511">
    <cfRule type="containsBlanks" dxfId="1133" priority="1135">
      <formula>LEN(TRIM(N509))=0</formula>
    </cfRule>
  </conditionalFormatting>
  <conditionalFormatting sqref="A509:B511">
    <cfRule type="containsBlanks" dxfId="1132" priority="1134">
      <formula>LEN(TRIM(A509))=0</formula>
    </cfRule>
  </conditionalFormatting>
  <conditionalFormatting sqref="D157">
    <cfRule type="containsBlanks" dxfId="1131" priority="1027">
      <formula>LEN(TRIM(D157))=0</formula>
    </cfRule>
  </conditionalFormatting>
  <conditionalFormatting sqref="L508">
    <cfRule type="containsBlanks" dxfId="1130" priority="1132">
      <formula>LEN(TRIM(L508))=0</formula>
    </cfRule>
  </conditionalFormatting>
  <conditionalFormatting sqref="L508">
    <cfRule type="containsBlanks" dxfId="1129" priority="1131">
      <formula>LEN(TRIM(L508))=0</formula>
    </cfRule>
  </conditionalFormatting>
  <conditionalFormatting sqref="L508">
    <cfRule type="containsBlanks" dxfId="1128" priority="1130">
      <formula>LEN(TRIM(L508))=0</formula>
    </cfRule>
  </conditionalFormatting>
  <conditionalFormatting sqref="F526">
    <cfRule type="containsBlanks" dxfId="1127" priority="1083">
      <formula>LEN(TRIM(F526))=0</formula>
    </cfRule>
  </conditionalFormatting>
  <conditionalFormatting sqref="D156:R156 T156">
    <cfRule type="containsBlanks" dxfId="1126" priority="1129">
      <formula>LEN(TRIM(D156))=0</formula>
    </cfRule>
  </conditionalFormatting>
  <conditionalFormatting sqref="F22">
    <cfRule type="containsBlanks" dxfId="1125" priority="1124">
      <formula>LEN(TRIM(F22))=0</formula>
    </cfRule>
  </conditionalFormatting>
  <conditionalFormatting sqref="F95">
    <cfRule type="containsBlanks" dxfId="1124" priority="1121">
      <formula>LEN(TRIM(F95))=0</formula>
    </cfRule>
  </conditionalFormatting>
  <conditionalFormatting sqref="F94">
    <cfRule type="containsBlanks" dxfId="1123" priority="1122">
      <formula>LEN(TRIM(F94))=0</formula>
    </cfRule>
  </conditionalFormatting>
  <conditionalFormatting sqref="F90:F93">
    <cfRule type="containsBlanks" dxfId="1122" priority="1123">
      <formula>LEN(TRIM(F90))=0</formula>
    </cfRule>
  </conditionalFormatting>
  <conditionalFormatting sqref="F96">
    <cfRule type="containsBlanks" dxfId="1121" priority="1120">
      <formula>LEN(TRIM(F96))=0</formula>
    </cfRule>
  </conditionalFormatting>
  <conditionalFormatting sqref="F97">
    <cfRule type="containsBlanks" dxfId="1120" priority="1119">
      <formula>LEN(TRIM(F97))=0</formula>
    </cfRule>
  </conditionalFormatting>
  <conditionalFormatting sqref="A410:B412">
    <cfRule type="containsBlanks" dxfId="1119" priority="888">
      <formula>LEN(TRIM(A410))=0</formula>
    </cfRule>
  </conditionalFormatting>
  <conditionalFormatting sqref="G410:G412">
    <cfRule type="containsBlanks" dxfId="1118" priority="885">
      <formula>LEN(TRIM(G410))=0</formula>
    </cfRule>
  </conditionalFormatting>
  <conditionalFormatting sqref="F410:F412">
    <cfRule type="containsBlanks" dxfId="1117" priority="886">
      <formula>LEN(TRIM(F410))=0</formula>
    </cfRule>
  </conditionalFormatting>
  <conditionalFormatting sqref="D410:D412">
    <cfRule type="containsBlanks" dxfId="1116" priority="887">
      <formula>LEN(TRIM(D410))=0</formula>
    </cfRule>
  </conditionalFormatting>
  <conditionalFormatting sqref="Q410:R412">
    <cfRule type="containsBlanks" dxfId="1115" priority="884">
      <formula>LEN(TRIM(Q410))=0</formula>
    </cfRule>
  </conditionalFormatting>
  <conditionalFormatting sqref="Q410:R412">
    <cfRule type="containsBlanks" dxfId="1114" priority="883">
      <formula>LEN(TRIM(Q410))=0</formula>
    </cfRule>
  </conditionalFormatting>
  <conditionalFormatting sqref="A410:B412">
    <cfRule type="containsBlanks" dxfId="1113" priority="882">
      <formula>LEN(TRIM(A410))=0</formula>
    </cfRule>
  </conditionalFormatting>
  <conditionalFormatting sqref="O423 D423 J423">
    <cfRule type="containsBlanks" dxfId="1112" priority="879">
      <formula>LEN(TRIM(D423))=0</formula>
    </cfRule>
  </conditionalFormatting>
  <conditionalFormatting sqref="E410:E412">
    <cfRule type="containsBlanks" dxfId="1111" priority="880">
      <formula>LEN(TRIM(E410))=0</formula>
    </cfRule>
  </conditionalFormatting>
  <conditionalFormatting sqref="C410:C412">
    <cfRule type="containsBlanks" dxfId="1110" priority="881">
      <formula>LEN(TRIM(C410))=0</formula>
    </cfRule>
  </conditionalFormatting>
  <conditionalFormatting sqref="C423">
    <cfRule type="containsBlanks" dxfId="1109" priority="878">
      <formula>LEN(TRIM(C423))=0</formula>
    </cfRule>
  </conditionalFormatting>
  <conditionalFormatting sqref="D423">
    <cfRule type="containsBlanks" dxfId="1108" priority="877">
      <formula>LEN(TRIM(D423))=0</formula>
    </cfRule>
  </conditionalFormatting>
  <conditionalFormatting sqref="F26">
    <cfRule type="containsBlanks" dxfId="1107" priority="1128">
      <formula>LEN(TRIM(F26))=0</formula>
    </cfRule>
  </conditionalFormatting>
  <conditionalFormatting sqref="F25">
    <cfRule type="containsBlanks" dxfId="1106" priority="1127">
      <formula>LEN(TRIM(F25))=0</formula>
    </cfRule>
  </conditionalFormatting>
  <conditionalFormatting sqref="F24">
    <cfRule type="containsBlanks" dxfId="1105" priority="1126">
      <formula>LEN(TRIM(F24))=0</formula>
    </cfRule>
  </conditionalFormatting>
  <conditionalFormatting sqref="F23">
    <cfRule type="containsBlanks" dxfId="1104" priority="1125">
      <formula>LEN(TRIM(F23))=0</formula>
    </cfRule>
  </conditionalFormatting>
  <conditionalFormatting sqref="O423">
    <cfRule type="containsBlanks" dxfId="1103" priority="875">
      <formula>LEN(TRIM(O423))=0</formula>
    </cfRule>
  </conditionalFormatting>
  <conditionalFormatting sqref="J423">
    <cfRule type="containsBlanks" dxfId="1102" priority="874">
      <formula>LEN(TRIM(J423))=0</formula>
    </cfRule>
  </conditionalFormatting>
  <conditionalFormatting sqref="J423">
    <cfRule type="containsBlanks" dxfId="1101" priority="873">
      <formula>LEN(TRIM(J423))=0</formula>
    </cfRule>
  </conditionalFormatting>
  <conditionalFormatting sqref="F100:F101">
    <cfRule type="containsBlanks" dxfId="1100" priority="1118">
      <formula>LEN(TRIM(F100))=0</formula>
    </cfRule>
  </conditionalFormatting>
  <conditionalFormatting sqref="F98:F99">
    <cfRule type="containsBlanks" dxfId="1099" priority="1117">
      <formula>LEN(TRIM(F98))=0</formula>
    </cfRule>
  </conditionalFormatting>
  <conditionalFormatting sqref="F102">
    <cfRule type="containsBlanks" dxfId="1098" priority="1116">
      <formula>LEN(TRIM(F102))=0</formula>
    </cfRule>
  </conditionalFormatting>
  <conditionalFormatting sqref="F103">
    <cfRule type="containsBlanks" dxfId="1097" priority="1115">
      <formula>LEN(TRIM(F103))=0</formula>
    </cfRule>
  </conditionalFormatting>
  <conditionalFormatting sqref="F104">
    <cfRule type="containsBlanks" dxfId="1096" priority="1114">
      <formula>LEN(TRIM(F104))=0</formula>
    </cfRule>
  </conditionalFormatting>
  <conditionalFormatting sqref="F149">
    <cfRule type="containsBlanks" dxfId="1095" priority="1112">
      <formula>LEN(TRIM(F149))=0</formula>
    </cfRule>
  </conditionalFormatting>
  <conditionalFormatting sqref="F144">
    <cfRule type="containsBlanks" dxfId="1094" priority="1113">
      <formula>LEN(TRIM(F144))=0</formula>
    </cfRule>
  </conditionalFormatting>
  <conditionalFormatting sqref="F232">
    <cfRule type="containsBlanks" dxfId="1093" priority="1110">
      <formula>LEN(TRIM(F232))=0</formula>
    </cfRule>
  </conditionalFormatting>
  <conditionalFormatting sqref="F233">
    <cfRule type="containsBlanks" dxfId="1092" priority="1109">
      <formula>LEN(TRIM(F233))=0</formula>
    </cfRule>
  </conditionalFormatting>
  <conditionalFormatting sqref="F222">
    <cfRule type="containsBlanks" dxfId="1091" priority="1111">
      <formula>LEN(TRIM(F222))=0</formula>
    </cfRule>
  </conditionalFormatting>
  <conditionalFormatting sqref="F234">
    <cfRule type="containsBlanks" dxfId="1090" priority="1108">
      <formula>LEN(TRIM(F234))=0</formula>
    </cfRule>
  </conditionalFormatting>
  <conditionalFormatting sqref="F235">
    <cfRule type="containsBlanks" dxfId="1089" priority="1107">
      <formula>LEN(TRIM(F235))=0</formula>
    </cfRule>
  </conditionalFormatting>
  <conditionalFormatting sqref="F236:F238">
    <cfRule type="containsBlanks" dxfId="1088" priority="1106">
      <formula>LEN(TRIM(F236))=0</formula>
    </cfRule>
  </conditionalFormatting>
  <conditionalFormatting sqref="F241">
    <cfRule type="containsBlanks" dxfId="1087" priority="1105">
      <formula>LEN(TRIM(F241))=0</formula>
    </cfRule>
  </conditionalFormatting>
  <conditionalFormatting sqref="F242:F243">
    <cfRule type="containsBlanks" dxfId="1086" priority="1104">
      <formula>LEN(TRIM(F242))=0</formula>
    </cfRule>
  </conditionalFormatting>
  <conditionalFormatting sqref="F244">
    <cfRule type="containsBlanks" dxfId="1085" priority="1103">
      <formula>LEN(TRIM(F244))=0</formula>
    </cfRule>
  </conditionalFormatting>
  <conditionalFormatting sqref="F248">
    <cfRule type="containsBlanks" dxfId="1084" priority="1102">
      <formula>LEN(TRIM(F248))=0</formula>
    </cfRule>
  </conditionalFormatting>
  <conditionalFormatting sqref="F249">
    <cfRule type="containsBlanks" dxfId="1083" priority="1101">
      <formula>LEN(TRIM(F249))=0</formula>
    </cfRule>
  </conditionalFormatting>
  <conditionalFormatting sqref="F250:F255">
    <cfRule type="containsBlanks" dxfId="1082" priority="1100">
      <formula>LEN(TRIM(F250))=0</formula>
    </cfRule>
  </conditionalFormatting>
  <conditionalFormatting sqref="F256">
    <cfRule type="containsBlanks" dxfId="1081" priority="1099">
      <formula>LEN(TRIM(F256))=0</formula>
    </cfRule>
  </conditionalFormatting>
  <conditionalFormatting sqref="F257">
    <cfRule type="containsBlanks" dxfId="1080" priority="1098">
      <formula>LEN(TRIM(F257))=0</formula>
    </cfRule>
  </conditionalFormatting>
  <conditionalFormatting sqref="F258">
    <cfRule type="containsBlanks" dxfId="1079" priority="1097">
      <formula>LEN(TRIM(F258))=0</formula>
    </cfRule>
  </conditionalFormatting>
  <conditionalFormatting sqref="F274">
    <cfRule type="containsBlanks" dxfId="1078" priority="1096">
      <formula>LEN(TRIM(F274))=0</formula>
    </cfRule>
  </conditionalFormatting>
  <conditionalFormatting sqref="F276">
    <cfRule type="containsBlanks" dxfId="1077" priority="1095">
      <formula>LEN(TRIM(F276))=0</formula>
    </cfRule>
  </conditionalFormatting>
  <conditionalFormatting sqref="F275">
    <cfRule type="containsBlanks" dxfId="1076" priority="1094">
      <formula>LEN(TRIM(F275))=0</formula>
    </cfRule>
  </conditionalFormatting>
  <conditionalFormatting sqref="F277">
    <cfRule type="containsBlanks" dxfId="1075" priority="1093">
      <formula>LEN(TRIM(F277))=0</formula>
    </cfRule>
  </conditionalFormatting>
  <conditionalFormatting sqref="F278">
    <cfRule type="containsBlanks" dxfId="1074" priority="1092">
      <formula>LEN(TRIM(F278))=0</formula>
    </cfRule>
  </conditionalFormatting>
  <conditionalFormatting sqref="F279">
    <cfRule type="containsBlanks" dxfId="1073" priority="1091">
      <formula>LEN(TRIM(F279))=0</formula>
    </cfRule>
  </conditionalFormatting>
  <conditionalFormatting sqref="F280:F284">
    <cfRule type="containsBlanks" dxfId="1072" priority="1090">
      <formula>LEN(TRIM(F280))=0</formula>
    </cfRule>
  </conditionalFormatting>
  <conditionalFormatting sqref="F285:F289">
    <cfRule type="containsBlanks" dxfId="1071" priority="1089">
      <formula>LEN(TRIM(F285))=0</formula>
    </cfRule>
  </conditionalFormatting>
  <conditionalFormatting sqref="F328">
    <cfRule type="containsBlanks" dxfId="1070" priority="1088">
      <formula>LEN(TRIM(F328))=0</formula>
    </cfRule>
  </conditionalFormatting>
  <conditionalFormatting sqref="F329">
    <cfRule type="containsBlanks" dxfId="1069" priority="1087">
      <formula>LEN(TRIM(F329))=0</formula>
    </cfRule>
  </conditionalFormatting>
  <conditionalFormatting sqref="F418">
    <cfRule type="containsBlanks" dxfId="1068" priority="1086">
      <formula>LEN(TRIM(F418))=0</formula>
    </cfRule>
  </conditionalFormatting>
  <conditionalFormatting sqref="F419">
    <cfRule type="containsBlanks" dxfId="1067" priority="1085">
      <formula>LEN(TRIM(F419))=0</formula>
    </cfRule>
  </conditionalFormatting>
  <conditionalFormatting sqref="O628">
    <cfRule type="containsBlanks" dxfId="1066" priority="818">
      <formula>LEN(TRIM(O628))=0</formula>
    </cfRule>
  </conditionalFormatting>
  <conditionalFormatting sqref="F525">
    <cfRule type="containsBlanks" dxfId="1065" priority="1084">
      <formula>LEN(TRIM(F525))=0</formula>
    </cfRule>
  </conditionalFormatting>
  <conditionalFormatting sqref="F560">
    <cfRule type="containsBlanks" dxfId="1064" priority="1082">
      <formula>LEN(TRIM(F560))=0</formula>
    </cfRule>
  </conditionalFormatting>
  <conditionalFormatting sqref="D186">
    <cfRule type="containsBlanks" dxfId="1063" priority="1081">
      <formula>LEN(TRIM(D186))=0</formula>
    </cfRule>
  </conditionalFormatting>
  <conditionalFormatting sqref="E186">
    <cfRule type="containsBlanks" dxfId="1062" priority="1080">
      <formula>LEN(TRIM(E186))=0</formula>
    </cfRule>
  </conditionalFormatting>
  <conditionalFormatting sqref="L402">
    <cfRule type="containsBlanks" dxfId="1061" priority="1079">
      <formula>LEN(TRIM(L402))=0</formula>
    </cfRule>
  </conditionalFormatting>
  <conditionalFormatting sqref="T222">
    <cfRule type="containsBlanks" dxfId="1060" priority="1078">
      <formula>LEN(TRIM(T222))=0</formula>
    </cfRule>
  </conditionalFormatting>
  <conditionalFormatting sqref="T244">
    <cfRule type="containsBlanks" dxfId="1059" priority="1077">
      <formula>LEN(TRIM(T244))=0</formula>
    </cfRule>
  </conditionalFormatting>
  <conditionalFormatting sqref="T244">
    <cfRule type="containsBlanks" dxfId="1058" priority="1076">
      <formula>LEN(TRIM(T244))=0</formula>
    </cfRule>
  </conditionalFormatting>
  <conditionalFormatting sqref="T274">
    <cfRule type="containsBlanks" dxfId="1057" priority="1075">
      <formula>LEN(TRIM(T274))=0</formula>
    </cfRule>
  </conditionalFormatting>
  <conditionalFormatting sqref="T274">
    <cfRule type="containsBlanks" dxfId="1056" priority="1074">
      <formula>LEN(TRIM(T274))=0</formula>
    </cfRule>
  </conditionalFormatting>
  <conditionalFormatting sqref="T275">
    <cfRule type="containsBlanks" dxfId="1055" priority="1073">
      <formula>LEN(TRIM(T275))=0</formula>
    </cfRule>
  </conditionalFormatting>
  <conditionalFormatting sqref="T275">
    <cfRule type="containsBlanks" dxfId="1054" priority="1072">
      <formula>LEN(TRIM(T275))=0</formula>
    </cfRule>
  </conditionalFormatting>
  <conditionalFormatting sqref="T276">
    <cfRule type="containsBlanks" dxfId="1053" priority="1071">
      <formula>LEN(TRIM(T276))=0</formula>
    </cfRule>
  </conditionalFormatting>
  <conditionalFormatting sqref="T276">
    <cfRule type="containsBlanks" dxfId="1052" priority="1070">
      <formula>LEN(TRIM(T276))=0</formula>
    </cfRule>
  </conditionalFormatting>
  <conditionalFormatting sqref="T280">
    <cfRule type="containsBlanks" dxfId="1051" priority="1069">
      <formula>LEN(TRIM(T280))=0</formula>
    </cfRule>
  </conditionalFormatting>
  <conditionalFormatting sqref="T280">
    <cfRule type="containsBlanks" dxfId="1050" priority="1068">
      <formula>LEN(TRIM(T280))=0</formula>
    </cfRule>
  </conditionalFormatting>
  <conditionalFormatting sqref="T283">
    <cfRule type="containsBlanks" dxfId="1049" priority="1067">
      <formula>LEN(TRIM(T283))=0</formula>
    </cfRule>
  </conditionalFormatting>
  <conditionalFormatting sqref="T283">
    <cfRule type="containsBlanks" dxfId="1048" priority="1066">
      <formula>LEN(TRIM(T283))=0</formula>
    </cfRule>
  </conditionalFormatting>
  <conditionalFormatting sqref="T282">
    <cfRule type="containsBlanks" dxfId="1047" priority="1065">
      <formula>LEN(TRIM(T282))=0</formula>
    </cfRule>
  </conditionalFormatting>
  <conditionalFormatting sqref="T282">
    <cfRule type="containsBlanks" dxfId="1046" priority="1064">
      <formula>LEN(TRIM(T282))=0</formula>
    </cfRule>
  </conditionalFormatting>
  <conditionalFormatting sqref="T284">
    <cfRule type="containsBlanks" dxfId="1045" priority="1063">
      <formula>LEN(TRIM(T284))=0</formula>
    </cfRule>
  </conditionalFormatting>
  <conditionalFormatting sqref="T284">
    <cfRule type="containsBlanks" dxfId="1044" priority="1062">
      <formula>LEN(TRIM(T284))=0</formula>
    </cfRule>
  </conditionalFormatting>
  <conditionalFormatting sqref="T286">
    <cfRule type="containsBlanks" dxfId="1043" priority="1061">
      <formula>LEN(TRIM(T286))=0</formula>
    </cfRule>
  </conditionalFormatting>
  <conditionalFormatting sqref="T286">
    <cfRule type="containsBlanks" dxfId="1042" priority="1060">
      <formula>LEN(TRIM(T286))=0</formula>
    </cfRule>
  </conditionalFormatting>
  <conditionalFormatting sqref="T289">
    <cfRule type="containsBlanks" dxfId="1041" priority="1059">
      <formula>LEN(TRIM(T289))=0</formula>
    </cfRule>
  </conditionalFormatting>
  <conditionalFormatting sqref="T289">
    <cfRule type="containsBlanks" dxfId="1040" priority="1058">
      <formula>LEN(TRIM(T289))=0</formula>
    </cfRule>
  </conditionalFormatting>
  <conditionalFormatting sqref="T376">
    <cfRule type="containsBlanks" dxfId="1039" priority="1050">
      <formula>LEN(TRIM(T376))=0</formula>
    </cfRule>
  </conditionalFormatting>
  <conditionalFormatting sqref="T335 T338">
    <cfRule type="containsBlanks" dxfId="1038" priority="1057">
      <formula>LEN(TRIM(T335))=0</formula>
    </cfRule>
  </conditionalFormatting>
  <conditionalFormatting sqref="T335 T338">
    <cfRule type="containsBlanks" dxfId="1037" priority="1056">
      <formula>LEN(TRIM(T335))=0</formula>
    </cfRule>
  </conditionalFormatting>
  <conditionalFormatting sqref="T350">
    <cfRule type="containsBlanks" dxfId="1036" priority="1055">
      <formula>LEN(TRIM(T350))=0</formula>
    </cfRule>
  </conditionalFormatting>
  <conditionalFormatting sqref="T354">
    <cfRule type="containsBlanks" dxfId="1035" priority="1054">
      <formula>LEN(TRIM(T354))=0</formula>
    </cfRule>
  </conditionalFormatting>
  <conditionalFormatting sqref="T352:T353">
    <cfRule type="containsBlanks" dxfId="1034" priority="1053">
      <formula>LEN(TRIM(T352))=0</formula>
    </cfRule>
  </conditionalFormatting>
  <conditionalFormatting sqref="T361">
    <cfRule type="containsBlanks" dxfId="1033" priority="1052">
      <formula>LEN(TRIM(T361))=0</formula>
    </cfRule>
  </conditionalFormatting>
  <conditionalFormatting sqref="T361">
    <cfRule type="containsBlanks" dxfId="1032" priority="1051">
      <formula>LEN(TRIM(T361))=0</formula>
    </cfRule>
  </conditionalFormatting>
  <conditionalFormatting sqref="T376">
    <cfRule type="containsBlanks" dxfId="1031" priority="1049">
      <formula>LEN(TRIM(T376))=0</formula>
    </cfRule>
  </conditionalFormatting>
  <conditionalFormatting sqref="T384:T392">
    <cfRule type="containsBlanks" dxfId="1030" priority="1048">
      <formula>LEN(TRIM(T384))=0</formula>
    </cfRule>
  </conditionalFormatting>
  <conditionalFormatting sqref="T384:T392">
    <cfRule type="containsBlanks" dxfId="1029" priority="1047">
      <formula>LEN(TRIM(T384))=0</formula>
    </cfRule>
  </conditionalFormatting>
  <conditionalFormatting sqref="T399">
    <cfRule type="containsBlanks" dxfId="1028" priority="1046">
      <formula>LEN(TRIM(T399))=0</formula>
    </cfRule>
  </conditionalFormatting>
  <conditionalFormatting sqref="T399">
    <cfRule type="containsBlanks" dxfId="1027" priority="1045">
      <formula>LEN(TRIM(T399))=0</formula>
    </cfRule>
  </conditionalFormatting>
  <conditionalFormatting sqref="T427">
    <cfRule type="containsBlanks" dxfId="1026" priority="1044">
      <formula>LEN(TRIM(T427))=0</formula>
    </cfRule>
  </conditionalFormatting>
  <conditionalFormatting sqref="T427">
    <cfRule type="containsBlanks" dxfId="1025" priority="1043">
      <formula>LEN(TRIM(T427))=0</formula>
    </cfRule>
  </conditionalFormatting>
  <conditionalFormatting sqref="T429">
    <cfRule type="containsBlanks" dxfId="1024" priority="1042">
      <formula>LEN(TRIM(T429))=0</formula>
    </cfRule>
  </conditionalFormatting>
  <conditionalFormatting sqref="T429">
    <cfRule type="containsBlanks" dxfId="1023" priority="1041">
      <formula>LEN(TRIM(T429))=0</formula>
    </cfRule>
  </conditionalFormatting>
  <conditionalFormatting sqref="T439">
    <cfRule type="containsBlanks" dxfId="1022" priority="1040">
      <formula>LEN(TRIM(T439))=0</formula>
    </cfRule>
  </conditionalFormatting>
  <conditionalFormatting sqref="T439">
    <cfRule type="containsBlanks" dxfId="1021" priority="1039">
      <formula>LEN(TRIM(T439))=0</formula>
    </cfRule>
  </conditionalFormatting>
  <conditionalFormatting sqref="T484">
    <cfRule type="containsBlanks" dxfId="1020" priority="1038">
      <formula>LEN(TRIM(T484))=0</formula>
    </cfRule>
  </conditionalFormatting>
  <conditionalFormatting sqref="T484">
    <cfRule type="containsBlanks" dxfId="1019" priority="1037">
      <formula>LEN(TRIM(T484))=0</formula>
    </cfRule>
  </conditionalFormatting>
  <conditionalFormatting sqref="L138:L140">
    <cfRule type="containsBlanks" dxfId="1018" priority="985">
      <formula>LEN(TRIM(L138))=0</formula>
    </cfRule>
  </conditionalFormatting>
  <conditionalFormatting sqref="T419">
    <cfRule type="containsBlanks" dxfId="1017" priority="1036">
      <formula>LEN(TRIM(T419))=0</formula>
    </cfRule>
  </conditionalFormatting>
  <conditionalFormatting sqref="T440:T442">
    <cfRule type="containsBlanks" dxfId="1016" priority="1035">
      <formula>LEN(TRIM(T440))=0</formula>
    </cfRule>
  </conditionalFormatting>
  <conditionalFormatting sqref="T486">
    <cfRule type="containsBlanks" dxfId="1015" priority="1034">
      <formula>LEN(TRIM(T486))=0</formula>
    </cfRule>
  </conditionalFormatting>
  <conditionalFormatting sqref="B19">
    <cfRule type="containsBlanks" dxfId="1014" priority="1033">
      <formula>LEN(TRIM(B19))=0</formula>
    </cfRule>
  </conditionalFormatting>
  <conditionalFormatting sqref="A39:C39 E39:F39 J39 L39 T39 H39:H40 H44:H48 H54 H59:H60 H62 H65:H68 H70:H72 H76:H77 H79 H81:H85 H90:H106 H144 H146:H147 H149:H154 H226 H229 H231:H234 H236:H238 H241:H244 H248:H255 H271 H274:H289 H328 H333:H338 H347 H350 H352:H353 H356 H403 H418:H419 H506:H508 H513:H515 H520 H529:H530 H560 H603 H609:H611 H626:H628 H108 H301:H302 H158:H178 H534:H547 H87 H324 H306:H322">
    <cfRule type="containsBlanks" dxfId="1013" priority="1032">
      <formula>LEN(TRIM(A39))=0</formula>
    </cfRule>
  </conditionalFormatting>
  <conditionalFormatting sqref="T39">
    <cfRule type="containsBlanks" dxfId="1012" priority="1031">
      <formula>LEN(TRIM(T39))=0</formula>
    </cfRule>
  </conditionalFormatting>
  <conditionalFormatting sqref="T157 D157:E157 J157 L157 N157:P157">
    <cfRule type="containsBlanks" dxfId="1011" priority="1030">
      <formula>LEN(TRIM(D157))=0</formula>
    </cfRule>
  </conditionalFormatting>
  <conditionalFormatting sqref="O157:P157">
    <cfRule type="containsBlanks" dxfId="1010" priority="1026">
      <formula>LEN(TRIM(O157))=0</formula>
    </cfRule>
  </conditionalFormatting>
  <conditionalFormatting sqref="O157:P157">
    <cfRule type="containsBlanks" dxfId="1009" priority="1025">
      <formula>LEN(TRIM(O157))=0</formula>
    </cfRule>
  </conditionalFormatting>
  <conditionalFormatting sqref="E157 T157">
    <cfRule type="containsBlanks" dxfId="1008" priority="1029">
      <formula>LEN(TRIM(E157))=0</formula>
    </cfRule>
  </conditionalFormatting>
  <conditionalFormatting sqref="A157:B157">
    <cfRule type="containsBlanks" dxfId="1007" priority="1028">
      <formula>LEN(TRIM(A157))=0</formula>
    </cfRule>
  </conditionalFormatting>
  <conditionalFormatting sqref="J157">
    <cfRule type="containsBlanks" dxfId="1006" priority="1024">
      <formula>LEN(TRIM(J157))=0</formula>
    </cfRule>
  </conditionalFormatting>
  <conditionalFormatting sqref="J157">
    <cfRule type="containsBlanks" dxfId="1005" priority="1023">
      <formula>LEN(TRIM(J157))=0</formula>
    </cfRule>
  </conditionalFormatting>
  <conditionalFormatting sqref="N157">
    <cfRule type="containsBlanks" dxfId="1004" priority="1019">
      <formula>LEN(TRIM(N157))=0</formula>
    </cfRule>
  </conditionalFormatting>
  <conditionalFormatting sqref="L157">
    <cfRule type="containsBlanks" dxfId="1003" priority="1022">
      <formula>LEN(TRIM(L157))=0</formula>
    </cfRule>
  </conditionalFormatting>
  <conditionalFormatting sqref="L157">
    <cfRule type="containsBlanks" dxfId="1002" priority="1021">
      <formula>LEN(TRIM(L157))=0</formula>
    </cfRule>
  </conditionalFormatting>
  <conditionalFormatting sqref="N157">
    <cfRule type="containsBlanks" dxfId="1001" priority="1020">
      <formula>LEN(TRIM(N157))=0</formula>
    </cfRule>
  </conditionalFormatting>
  <conditionalFormatting sqref="A157:B157 T157">
    <cfRule type="containsBlanks" dxfId="1000" priority="1018">
      <formula>LEN(TRIM(A157))=0</formula>
    </cfRule>
  </conditionalFormatting>
  <conditionalFormatting sqref="C157">
    <cfRule type="containsBlanks" dxfId="999" priority="1017">
      <formula>LEN(TRIM(C157))=0</formula>
    </cfRule>
  </conditionalFormatting>
  <conditionalFormatting sqref="J157">
    <cfRule type="containsBlanks" dxfId="998" priority="1015">
      <formula>LEN(TRIM(J157))=0</formula>
    </cfRule>
  </conditionalFormatting>
  <conditionalFormatting sqref="J157">
    <cfRule type="containsBlanks" dxfId="997" priority="1016">
      <formula>LEN(TRIM(J157))=0</formula>
    </cfRule>
  </conditionalFormatting>
  <conditionalFormatting sqref="L157">
    <cfRule type="containsBlanks" dxfId="996" priority="1014">
      <formula>LEN(TRIM(L157))=0</formula>
    </cfRule>
  </conditionalFormatting>
  <conditionalFormatting sqref="L157">
    <cfRule type="containsBlanks" dxfId="995" priority="1013">
      <formula>LEN(TRIM(L157))=0</formula>
    </cfRule>
  </conditionalFormatting>
  <conditionalFormatting sqref="T64 E64 J64 L64 N64:P64">
    <cfRule type="containsBlanks" dxfId="994" priority="1012">
      <formula>LEN(TRIM(E64))=0</formula>
    </cfRule>
  </conditionalFormatting>
  <conditionalFormatting sqref="O64:P64">
    <cfRule type="containsBlanks" dxfId="993" priority="1010">
      <formula>LEN(TRIM(O64))=0</formula>
    </cfRule>
  </conditionalFormatting>
  <conditionalFormatting sqref="A422:B423">
    <cfRule type="containsBlanks" dxfId="992" priority="872">
      <formula>LEN(TRIM(A422))=0</formula>
    </cfRule>
  </conditionalFormatting>
  <conditionalFormatting sqref="O64:P64">
    <cfRule type="containsBlanks" dxfId="991" priority="1009">
      <formula>LEN(TRIM(O64))=0</formula>
    </cfRule>
  </conditionalFormatting>
  <conditionalFormatting sqref="T64 E64">
    <cfRule type="containsBlanks" dxfId="990" priority="1011">
      <formula>LEN(TRIM(E64))=0</formula>
    </cfRule>
  </conditionalFormatting>
  <conditionalFormatting sqref="J64">
    <cfRule type="containsBlanks" dxfId="989" priority="1008">
      <formula>LEN(TRIM(J64))=0</formula>
    </cfRule>
  </conditionalFormatting>
  <conditionalFormatting sqref="N64">
    <cfRule type="containsBlanks" dxfId="988" priority="1003">
      <formula>LEN(TRIM(N64))=0</formula>
    </cfRule>
  </conditionalFormatting>
  <conditionalFormatting sqref="J64">
    <cfRule type="containsBlanks" dxfId="987" priority="1007">
      <formula>LEN(TRIM(J64))=0</formula>
    </cfRule>
  </conditionalFormatting>
  <conditionalFormatting sqref="L64">
    <cfRule type="containsBlanks" dxfId="986" priority="1006">
      <formula>LEN(TRIM(L64))=0</formula>
    </cfRule>
  </conditionalFormatting>
  <conditionalFormatting sqref="L64">
    <cfRule type="containsBlanks" dxfId="985" priority="1005">
      <formula>LEN(TRIM(L64))=0</formula>
    </cfRule>
  </conditionalFormatting>
  <conditionalFormatting sqref="N64">
    <cfRule type="containsBlanks" dxfId="984" priority="1004">
      <formula>LEN(TRIM(N64))=0</formula>
    </cfRule>
  </conditionalFormatting>
  <conditionalFormatting sqref="T64">
    <cfRule type="containsBlanks" dxfId="983" priority="1002">
      <formula>LEN(TRIM(T64))=0</formula>
    </cfRule>
  </conditionalFormatting>
  <conditionalFormatting sqref="A64:C64">
    <cfRule type="containsBlanks" dxfId="982" priority="1001">
      <formula>LEN(TRIM(A64))=0</formula>
    </cfRule>
  </conditionalFormatting>
  <conditionalFormatting sqref="O138:P140">
    <cfRule type="containsBlanks" dxfId="981" priority="990">
      <formula>LEN(TRIM(O138))=0</formula>
    </cfRule>
  </conditionalFormatting>
  <conditionalFormatting sqref="O138:P140">
    <cfRule type="containsBlanks" dxfId="980" priority="989">
      <formula>LEN(TRIM(O138))=0</formula>
    </cfRule>
  </conditionalFormatting>
  <conditionalFormatting sqref="J138:J140">
    <cfRule type="containsBlanks" dxfId="979" priority="988">
      <formula>LEN(TRIM(J138))=0</formula>
    </cfRule>
  </conditionalFormatting>
  <conditionalFormatting sqref="A68:C68 E68">
    <cfRule type="containsBlanks" dxfId="978" priority="1000">
      <formula>LEN(TRIM(A68))=0</formula>
    </cfRule>
  </conditionalFormatting>
  <conditionalFormatting sqref="L138:L140">
    <cfRule type="containsBlanks" dxfId="977" priority="986">
      <formula>LEN(TRIM(L138))=0</formula>
    </cfRule>
  </conditionalFormatting>
  <conditionalFormatting sqref="I133">
    <cfRule type="containsBlanks" dxfId="976" priority="675">
      <formula>LEN(TRIM(I133))=0</formula>
    </cfRule>
  </conditionalFormatting>
  <conditionalFormatting sqref="I75:I80">
    <cfRule type="containsBlanks" dxfId="975" priority="739">
      <formula>LEN(TRIM(I75))=0</formula>
    </cfRule>
  </conditionalFormatting>
  <conditionalFormatting sqref="A128:E130 J128:J130 L129:L130 T129:T130 O128 N129:P130">
    <cfRule type="containsBlanks" dxfId="974" priority="999">
      <formula>LEN(TRIM(A128))=0</formula>
    </cfRule>
  </conditionalFormatting>
  <conditionalFormatting sqref="H138:H140">
    <cfRule type="containsBlanks" dxfId="973" priority="998">
      <formula>LEN(TRIM(H138))=0</formula>
    </cfRule>
  </conditionalFormatting>
  <conditionalFormatting sqref="H138:H140">
    <cfRule type="containsBlanks" dxfId="972" priority="997">
      <formula>LEN(TRIM(H138))=0</formula>
    </cfRule>
  </conditionalFormatting>
  <conditionalFormatting sqref="E138">
    <cfRule type="containsBlanks" dxfId="971" priority="996">
      <formula>LEN(TRIM(E138))=0</formula>
    </cfRule>
  </conditionalFormatting>
  <conditionalFormatting sqref="D138">
    <cfRule type="containsBlanks" dxfId="970" priority="992">
      <formula>LEN(TRIM(D138))=0</formula>
    </cfRule>
  </conditionalFormatting>
  <conditionalFormatting sqref="G138">
    <cfRule type="containsBlanks" dxfId="969" priority="991">
      <formula>LEN(TRIM(G138))=0</formula>
    </cfRule>
  </conditionalFormatting>
  <conditionalFormatting sqref="I232:I238">
    <cfRule type="containsBlanks" dxfId="968" priority="714">
      <formula>LEN(TRIM(I232))=0</formula>
    </cfRule>
  </conditionalFormatting>
  <conditionalFormatting sqref="O626">
    <cfRule type="containsBlanks" dxfId="967" priority="830">
      <formula>LEN(TRIM(O626))=0</formula>
    </cfRule>
  </conditionalFormatting>
  <conditionalFormatting sqref="T138:T140">
    <cfRule type="containsBlanks" dxfId="966" priority="995">
      <formula>LEN(TRIM(T138))=0</formula>
    </cfRule>
  </conditionalFormatting>
  <conditionalFormatting sqref="E138 T138:T140">
    <cfRule type="containsBlanks" dxfId="965" priority="994">
      <formula>LEN(TRIM(E138))=0</formula>
    </cfRule>
  </conditionalFormatting>
  <conditionalFormatting sqref="A138:B140">
    <cfRule type="containsBlanks" dxfId="964" priority="993">
      <formula>LEN(TRIM(A138))=0</formula>
    </cfRule>
  </conditionalFormatting>
  <conditionalFormatting sqref="N138:N140">
    <cfRule type="containsBlanks" dxfId="963" priority="983">
      <formula>LEN(TRIM(N138))=0</formula>
    </cfRule>
  </conditionalFormatting>
  <conditionalFormatting sqref="J138:J140">
    <cfRule type="containsBlanks" dxfId="962" priority="987">
      <formula>LEN(TRIM(J138))=0</formula>
    </cfRule>
  </conditionalFormatting>
  <conditionalFormatting sqref="N138:N140">
    <cfRule type="containsBlanks" dxfId="961" priority="984">
      <formula>LEN(TRIM(N138))=0</formula>
    </cfRule>
  </conditionalFormatting>
  <conditionalFormatting sqref="D138:E138 A138:B140 T138:T140 J138:J140 G138 L138:L140 N138:P140">
    <cfRule type="containsBlanks" dxfId="960" priority="982">
      <formula>LEN(TRIM(A138))=0</formula>
    </cfRule>
  </conditionalFormatting>
  <conditionalFormatting sqref="C138:C140">
    <cfRule type="containsBlanks" dxfId="959" priority="981">
      <formula>LEN(TRIM(C138))=0</formula>
    </cfRule>
  </conditionalFormatting>
  <conditionalFormatting sqref="C138:C140">
    <cfRule type="containsBlanks" dxfId="958" priority="980">
      <formula>LEN(TRIM(C138))=0</formula>
    </cfRule>
  </conditionalFormatting>
  <conditionalFormatting sqref="F138">
    <cfRule type="containsBlanks" dxfId="957" priority="979">
      <formula>LEN(TRIM(F138))=0</formula>
    </cfRule>
  </conditionalFormatting>
  <conditionalFormatting sqref="F138">
    <cfRule type="containsBlanks" dxfId="956" priority="978">
      <formula>LEN(TRIM(F138))=0</formula>
    </cfRule>
  </conditionalFormatting>
  <conditionalFormatting sqref="D158:E160 T158:T160 J158:J160 L158:L160 N158:P160">
    <cfRule type="containsBlanks" dxfId="955" priority="977">
      <formula>LEN(TRIM(D158))=0</formula>
    </cfRule>
  </conditionalFormatting>
  <conditionalFormatting sqref="D158:D160">
    <cfRule type="containsBlanks" dxfId="954" priority="974">
      <formula>LEN(TRIM(D158))=0</formula>
    </cfRule>
  </conditionalFormatting>
  <conditionalFormatting sqref="O158:P160">
    <cfRule type="containsBlanks" dxfId="953" priority="973">
      <formula>LEN(TRIM(O158))=0</formula>
    </cfRule>
  </conditionalFormatting>
  <conditionalFormatting sqref="I69">
    <cfRule type="containsBlanks" dxfId="952" priority="703">
      <formula>LEN(TRIM(I69))=0</formula>
    </cfRule>
  </conditionalFormatting>
  <conditionalFormatting sqref="T628">
    <cfRule type="containsBlanks" dxfId="951" priority="821">
      <formula>LEN(TRIM(T628))=0</formula>
    </cfRule>
  </conditionalFormatting>
  <conditionalFormatting sqref="O158:P160">
    <cfRule type="containsBlanks" dxfId="950" priority="972">
      <formula>LEN(TRIM(O158))=0</formula>
    </cfRule>
  </conditionalFormatting>
  <conditionalFormatting sqref="E158:E160 L158:L160 J158:J160 T158:T160">
    <cfRule type="containsBlanks" dxfId="949" priority="976">
      <formula>LEN(TRIM(E158))=0</formula>
    </cfRule>
  </conditionalFormatting>
  <conditionalFormatting sqref="A158:B160">
    <cfRule type="containsBlanks" dxfId="948" priority="975">
      <formula>LEN(TRIM(A158))=0</formula>
    </cfRule>
  </conditionalFormatting>
  <conditionalFormatting sqref="N158:N160">
    <cfRule type="containsBlanks" dxfId="947" priority="970">
      <formula>LEN(TRIM(N158))=0</formula>
    </cfRule>
  </conditionalFormatting>
  <conditionalFormatting sqref="N158:N160">
    <cfRule type="containsBlanks" dxfId="946" priority="971">
      <formula>LEN(TRIM(N158))=0</formula>
    </cfRule>
  </conditionalFormatting>
  <conditionalFormatting sqref="A158:B160">
    <cfRule type="containsBlanks" dxfId="945" priority="969">
      <formula>LEN(TRIM(A158))=0</formula>
    </cfRule>
  </conditionalFormatting>
  <conditionalFormatting sqref="C158:C160">
    <cfRule type="containsBlanks" dxfId="944" priority="968">
      <formula>LEN(TRIM(C158))=0</formula>
    </cfRule>
  </conditionalFormatting>
  <conditionalFormatting sqref="C158:C160">
    <cfRule type="containsBlanks" dxfId="943" priority="967">
      <formula>LEN(TRIM(C158))=0</formula>
    </cfRule>
  </conditionalFormatting>
  <conditionalFormatting sqref="E158:E160">
    <cfRule type="containsBlanks" dxfId="942" priority="966">
      <formula>LEN(TRIM(E158))=0</formula>
    </cfRule>
  </conditionalFormatting>
  <conditionalFormatting sqref="J158:J160">
    <cfRule type="containsBlanks" dxfId="941" priority="965">
      <formula>LEN(TRIM(J158))=0</formula>
    </cfRule>
  </conditionalFormatting>
  <conditionalFormatting sqref="J158:J160">
    <cfRule type="containsBlanks" dxfId="940" priority="964">
      <formula>LEN(TRIM(J158))=0</formula>
    </cfRule>
  </conditionalFormatting>
  <conditionalFormatting sqref="L158:L160">
    <cfRule type="containsBlanks" dxfId="939" priority="962">
      <formula>LEN(TRIM(L158))=0</formula>
    </cfRule>
  </conditionalFormatting>
  <conditionalFormatting sqref="L158:L160">
    <cfRule type="containsBlanks" dxfId="938" priority="963">
      <formula>LEN(TRIM(L158))=0</formula>
    </cfRule>
  </conditionalFormatting>
  <conditionalFormatting sqref="O263:R265">
    <cfRule type="containsBlanks" dxfId="937" priority="953">
      <formula>LEN(TRIM(O263))=0</formula>
    </cfRule>
  </conditionalFormatting>
  <conditionalFormatting sqref="O263:R265">
    <cfRule type="containsBlanks" dxfId="936" priority="954">
      <formula>LEN(TRIM(O263))=0</formula>
    </cfRule>
  </conditionalFormatting>
  <conditionalFormatting sqref="N263:N265">
    <cfRule type="containsBlanks" dxfId="935" priority="952">
      <formula>LEN(TRIM(N263))=0</formula>
    </cfRule>
  </conditionalFormatting>
  <conditionalFormatting sqref="N263:N265">
    <cfRule type="containsBlanks" dxfId="934" priority="951">
      <formula>LEN(TRIM(N263))=0</formula>
    </cfRule>
  </conditionalFormatting>
  <conditionalFormatting sqref="B153:B154">
    <cfRule type="containsBlanks" dxfId="933" priority="961">
      <formula>LEN(TRIM(B153))=0</formula>
    </cfRule>
  </conditionalFormatting>
  <conditionalFormatting sqref="C263:C265">
    <cfRule type="containsBlanks" dxfId="932" priority="949">
      <formula>LEN(TRIM(C263))=0</formula>
    </cfRule>
  </conditionalFormatting>
  <conditionalFormatting sqref="C263:C265">
    <cfRule type="containsBlanks" dxfId="931" priority="948">
      <formula>LEN(TRIM(C263))=0</formula>
    </cfRule>
  </conditionalFormatting>
  <conditionalFormatting sqref="I88">
    <cfRule type="containsBlanks" dxfId="930" priority="678">
      <formula>LEN(TRIM(I88))=0</formula>
    </cfRule>
  </conditionalFormatting>
  <conditionalFormatting sqref="I51">
    <cfRule type="containsBlanks" dxfId="929" priority="685">
      <formula>LEN(TRIM(I51))=0</formula>
    </cfRule>
  </conditionalFormatting>
  <conditionalFormatting sqref="J263:J265 L263:L265 D263:H265 T263:T265 N263:R265">
    <cfRule type="containsBlanks" dxfId="928" priority="960">
      <formula>LEN(TRIM(D263))=0</formula>
    </cfRule>
  </conditionalFormatting>
  <conditionalFormatting sqref="T263:T265 H263:H265 E263:E265 L263:L265 J263:J265">
    <cfRule type="containsBlanks" dxfId="927" priority="959">
      <formula>LEN(TRIM(E263))=0</formula>
    </cfRule>
  </conditionalFormatting>
  <conditionalFormatting sqref="F263:F265">
    <cfRule type="containsBlanks" dxfId="926" priority="956">
      <formula>LEN(TRIM(F263))=0</formula>
    </cfRule>
  </conditionalFormatting>
  <conditionalFormatting sqref="G263:G265">
    <cfRule type="containsBlanks" dxfId="925" priority="955">
      <formula>LEN(TRIM(G263))=0</formula>
    </cfRule>
  </conditionalFormatting>
  <conditionalFormatting sqref="I260:I262">
    <cfRule type="containsBlanks" dxfId="924" priority="659">
      <formula>LEN(TRIM(I260))=0</formula>
    </cfRule>
  </conditionalFormatting>
  <conditionalFormatting sqref="D39">
    <cfRule type="containsBlanks" dxfId="923" priority="812">
      <formula>LEN(TRIM(D39))=0</formula>
    </cfRule>
  </conditionalFormatting>
  <conditionalFormatting sqref="H263:H265 T263:T265 E263:E265 L263:L265 J263:J265">
    <cfRule type="containsBlanks" dxfId="922" priority="958">
      <formula>LEN(TRIM(E263))=0</formula>
    </cfRule>
  </conditionalFormatting>
  <conditionalFormatting sqref="A263:B265">
    <cfRule type="containsBlanks" dxfId="921" priority="957">
      <formula>LEN(TRIM(A263))=0</formula>
    </cfRule>
  </conditionalFormatting>
  <conditionalFormatting sqref="A263:B265">
    <cfRule type="containsBlanks" dxfId="920" priority="950">
      <formula>LEN(TRIM(A263))=0</formula>
    </cfRule>
  </conditionalFormatting>
  <conditionalFormatting sqref="E263:E265">
    <cfRule type="containsBlanks" dxfId="919" priority="947">
      <formula>LEN(TRIM(E263))=0</formula>
    </cfRule>
  </conditionalFormatting>
  <conditionalFormatting sqref="J293:J294 L293:L294 A293:H294 T293:T294 N293:R294">
    <cfRule type="containsBlanks" dxfId="918" priority="946">
      <formula>LEN(TRIM(A293))=0</formula>
    </cfRule>
  </conditionalFormatting>
  <conditionalFormatting sqref="J301:J302 L301:L302 D301:E302 N301:P302">
    <cfRule type="containsBlanks" dxfId="917" priority="945">
      <formula>LEN(TRIM(D301))=0</formula>
    </cfRule>
  </conditionalFormatting>
  <conditionalFormatting sqref="O301:P302">
    <cfRule type="containsBlanks" dxfId="916" priority="940">
      <formula>LEN(TRIM(O301))=0</formula>
    </cfRule>
  </conditionalFormatting>
  <conditionalFormatting sqref="O301:P302">
    <cfRule type="containsBlanks" dxfId="915" priority="939">
      <formula>LEN(TRIM(O301))=0</formula>
    </cfRule>
  </conditionalFormatting>
  <conditionalFormatting sqref="J301:J302">
    <cfRule type="containsBlanks" dxfId="914" priority="938">
      <formula>LEN(TRIM(J301))=0</formula>
    </cfRule>
  </conditionalFormatting>
  <conditionalFormatting sqref="J301:J302">
    <cfRule type="containsBlanks" dxfId="913" priority="937">
      <formula>LEN(TRIM(J301))=0</formula>
    </cfRule>
  </conditionalFormatting>
  <conditionalFormatting sqref="E301:E302">
    <cfRule type="containsBlanks" dxfId="912" priority="944">
      <formula>LEN(TRIM(E301))=0</formula>
    </cfRule>
  </conditionalFormatting>
  <conditionalFormatting sqref="D301:D302">
    <cfRule type="containsBlanks" dxfId="911" priority="941">
      <formula>LEN(TRIM(D301))=0</formula>
    </cfRule>
  </conditionalFormatting>
  <conditionalFormatting sqref="E301:E302">
    <cfRule type="containsBlanks" dxfId="910" priority="943">
      <formula>LEN(TRIM(E301))=0</formula>
    </cfRule>
  </conditionalFormatting>
  <conditionalFormatting sqref="A301:B302">
    <cfRule type="containsBlanks" dxfId="909" priority="942">
      <formula>LEN(TRIM(A301))=0</formula>
    </cfRule>
  </conditionalFormatting>
  <conditionalFormatting sqref="L301:L302">
    <cfRule type="containsBlanks" dxfId="908" priority="936">
      <formula>LEN(TRIM(L301))=0</formula>
    </cfRule>
  </conditionalFormatting>
  <conditionalFormatting sqref="L301:L302">
    <cfRule type="containsBlanks" dxfId="907" priority="935">
      <formula>LEN(TRIM(L301))=0</formula>
    </cfRule>
  </conditionalFormatting>
  <conditionalFormatting sqref="N301:N302">
    <cfRule type="containsBlanks" dxfId="906" priority="933">
      <formula>LEN(TRIM(N301))=0</formula>
    </cfRule>
  </conditionalFormatting>
  <conditionalFormatting sqref="N301:N302">
    <cfRule type="containsBlanks" dxfId="905" priority="934">
      <formula>LEN(TRIM(N301))=0</formula>
    </cfRule>
  </conditionalFormatting>
  <conditionalFormatting sqref="A301:B302">
    <cfRule type="containsBlanks" dxfId="904" priority="932">
      <formula>LEN(TRIM(A301))=0</formula>
    </cfRule>
  </conditionalFormatting>
  <conditionalFormatting sqref="C301:C302">
    <cfRule type="containsBlanks" dxfId="903" priority="931">
      <formula>LEN(TRIM(C301))=0</formula>
    </cfRule>
  </conditionalFormatting>
  <conditionalFormatting sqref="C312">
    <cfRule type="containsBlanks" dxfId="902" priority="924">
      <formula>LEN(TRIM(C312))=0</formula>
    </cfRule>
  </conditionalFormatting>
  <conditionalFormatting sqref="A312:B312">
    <cfRule type="containsBlanks" dxfId="901" priority="925">
      <formula>LEN(TRIM(A312))=0</formula>
    </cfRule>
  </conditionalFormatting>
  <conditionalFormatting sqref="C313">
    <cfRule type="containsBlanks" dxfId="900" priority="921">
      <formula>LEN(TRIM(C313))=0</formula>
    </cfRule>
  </conditionalFormatting>
  <conditionalFormatting sqref="A313:B313">
    <cfRule type="containsBlanks" dxfId="899" priority="922">
      <formula>LEN(TRIM(A313))=0</formula>
    </cfRule>
  </conditionalFormatting>
  <conditionalFormatting sqref="O373:O377">
    <cfRule type="containsBlanks" dxfId="898" priority="930">
      <formula>LEN(TRIM(O373))=0</formula>
    </cfRule>
  </conditionalFormatting>
  <conditionalFormatting sqref="O373:O377">
    <cfRule type="containsBlanks" dxfId="897" priority="929">
      <formula>LEN(TRIM(O373))=0</formula>
    </cfRule>
  </conditionalFormatting>
  <conditionalFormatting sqref="O373:O377">
    <cfRule type="containsBlanks" dxfId="896" priority="928">
      <formula>LEN(TRIM(O373))=0</formula>
    </cfRule>
  </conditionalFormatting>
  <conditionalFormatting sqref="T310">
    <cfRule type="containsBlanks" dxfId="895" priority="927">
      <formula>LEN(TRIM(T310))=0</formula>
    </cfRule>
  </conditionalFormatting>
  <conditionalFormatting sqref="A312:B312 J312 L312 N312 D312:E312 P312">
    <cfRule type="containsBlanks" dxfId="894" priority="926">
      <formula>LEN(TRIM(A312))=0</formula>
    </cfRule>
  </conditionalFormatting>
  <conditionalFormatting sqref="A313:B313 J313 L313 T313 D313:E313 O314:O315 N313:P313">
    <cfRule type="containsBlanks" dxfId="893" priority="923">
      <formula>LEN(TRIM(A313))=0</formula>
    </cfRule>
  </conditionalFormatting>
  <conditionalFormatting sqref="A314:B324 J314:J322 L314:L322 T314 T324 N314:N322 P314:P315 D314:E322 D324:E324 L324 J324 N324:P324 O316:P322">
    <cfRule type="containsBlanks" dxfId="892" priority="920">
      <formula>LEN(TRIM(A314))=0</formula>
    </cfRule>
  </conditionalFormatting>
  <conditionalFormatting sqref="C314:C324">
    <cfRule type="containsBlanks" dxfId="891" priority="918">
      <formula>LEN(TRIM(C314))=0</formula>
    </cfRule>
  </conditionalFormatting>
  <conditionalFormatting sqref="A314:B324">
    <cfRule type="containsBlanks" dxfId="890" priority="919">
      <formula>LEN(TRIM(A314))=0</formula>
    </cfRule>
  </conditionalFormatting>
  <conditionalFormatting sqref="T422 D422 J422 L422 O422">
    <cfRule type="containsBlanks" dxfId="889" priority="917">
      <formula>LEN(TRIM(D422))=0</formula>
    </cfRule>
  </conditionalFormatting>
  <conditionalFormatting sqref="J422">
    <cfRule type="containsBlanks" dxfId="888" priority="914">
      <formula>LEN(TRIM(J422))=0</formula>
    </cfRule>
  </conditionalFormatting>
  <conditionalFormatting sqref="T422">
    <cfRule type="containsBlanks" dxfId="887" priority="916">
      <formula>LEN(TRIM(T422))=0</formula>
    </cfRule>
  </conditionalFormatting>
  <conditionalFormatting sqref="O422">
    <cfRule type="containsBlanks" dxfId="886" priority="915">
      <formula>LEN(TRIM(O422))=0</formula>
    </cfRule>
  </conditionalFormatting>
  <conditionalFormatting sqref="L422">
    <cfRule type="containsBlanks" dxfId="885" priority="911">
      <formula>LEN(TRIM(L422))=0</formula>
    </cfRule>
  </conditionalFormatting>
  <conditionalFormatting sqref="J422">
    <cfRule type="containsBlanks" dxfId="884" priority="913">
      <formula>LEN(TRIM(J422))=0</formula>
    </cfRule>
  </conditionalFormatting>
  <conditionalFormatting sqref="L422">
    <cfRule type="containsBlanks" dxfId="883" priority="912">
      <formula>LEN(TRIM(L422))=0</formula>
    </cfRule>
  </conditionalFormatting>
  <conditionalFormatting sqref="C422">
    <cfRule type="containsBlanks" dxfId="882" priority="910">
      <formula>LEN(TRIM(C422))=0</formula>
    </cfRule>
  </conditionalFormatting>
  <conditionalFormatting sqref="O422">
    <cfRule type="containsBlanks" dxfId="881" priority="908">
      <formula>LEN(TRIM(O422))=0</formula>
    </cfRule>
  </conditionalFormatting>
  <conditionalFormatting sqref="D422">
    <cfRule type="containsBlanks" dxfId="880" priority="909">
      <formula>LEN(TRIM(D422))=0</formula>
    </cfRule>
  </conditionalFormatting>
  <conditionalFormatting sqref="J422">
    <cfRule type="containsBlanks" dxfId="879" priority="907">
      <formula>LEN(TRIM(J422))=0</formula>
    </cfRule>
  </conditionalFormatting>
  <conditionalFormatting sqref="K330:K331">
    <cfRule type="containsBlanks" dxfId="878" priority="481">
      <formula>LEN(TRIM(K330))=0</formula>
    </cfRule>
  </conditionalFormatting>
  <conditionalFormatting sqref="J422">
    <cfRule type="containsBlanks" dxfId="877" priority="906">
      <formula>LEN(TRIM(J422))=0</formula>
    </cfRule>
  </conditionalFormatting>
  <conditionalFormatting sqref="L422">
    <cfRule type="containsBlanks" dxfId="876" priority="904">
      <formula>LEN(TRIM(L422))=0</formula>
    </cfRule>
  </conditionalFormatting>
  <conditionalFormatting sqref="L422">
    <cfRule type="containsBlanks" dxfId="875" priority="905">
      <formula>LEN(TRIM(L422))=0</formula>
    </cfRule>
  </conditionalFormatting>
  <conditionalFormatting sqref="T344:T345 J344:J345 A344:E345 N344:P345">
    <cfRule type="containsBlanks" dxfId="874" priority="903">
      <formula>LEN(TRIM(A344))=0</formula>
    </cfRule>
  </conditionalFormatting>
  <conditionalFormatting sqref="J344:J345">
    <cfRule type="containsBlanks" dxfId="873" priority="900">
      <formula>LEN(TRIM(J344))=0</formula>
    </cfRule>
  </conditionalFormatting>
  <conditionalFormatting sqref="K149">
    <cfRule type="containsBlanks" dxfId="872" priority="521">
      <formula>LEN(TRIM(K149))=0</formula>
    </cfRule>
  </conditionalFormatting>
  <conditionalFormatting sqref="I69">
    <cfRule type="containsBlanks" dxfId="871" priority="702">
      <formula>LEN(TRIM(I69))=0</formula>
    </cfRule>
  </conditionalFormatting>
  <conditionalFormatting sqref="T344:T345 N344:P345">
    <cfRule type="containsBlanks" dxfId="870" priority="902">
      <formula>LEN(TRIM(N344))=0</formula>
    </cfRule>
  </conditionalFormatting>
  <conditionalFormatting sqref="O344:P345">
    <cfRule type="containsBlanks" dxfId="869" priority="901">
      <formula>LEN(TRIM(O344))=0</formula>
    </cfRule>
  </conditionalFormatting>
  <conditionalFormatting sqref="J344:J345">
    <cfRule type="containsBlanks" dxfId="868" priority="899">
      <formula>LEN(TRIM(J344))=0</formula>
    </cfRule>
  </conditionalFormatting>
  <conditionalFormatting sqref="N344:N345">
    <cfRule type="containsBlanks" dxfId="867" priority="898">
      <formula>LEN(TRIM(N344))=0</formula>
    </cfRule>
  </conditionalFormatting>
  <conditionalFormatting sqref="T344:T345">
    <cfRule type="containsBlanks" dxfId="866" priority="897">
      <formula>LEN(TRIM(T344))=0</formula>
    </cfRule>
  </conditionalFormatting>
  <conditionalFormatting sqref="I223:I224 I226:I227 I229 I231">
    <cfRule type="containsBlanks" dxfId="865" priority="662">
      <formula>LEN(TRIM(I223))=0</formula>
    </cfRule>
  </conditionalFormatting>
  <conditionalFormatting sqref="I356">
    <cfRule type="containsBlanks" dxfId="864" priority="645">
      <formula>LEN(TRIM(I356))=0</formula>
    </cfRule>
  </conditionalFormatting>
  <conditionalFormatting sqref="L400">
    <cfRule type="containsBlanks" dxfId="863" priority="895">
      <formula>LEN(TRIM(L400))=0</formula>
    </cfRule>
  </conditionalFormatting>
  <conditionalFormatting sqref="T381">
    <cfRule type="containsBlanks" dxfId="862" priority="896">
      <formula>LEN(TRIM(T381))=0</formula>
    </cfRule>
  </conditionalFormatting>
  <conditionalFormatting sqref="M81:M82">
    <cfRule type="containsBlanks" dxfId="861" priority="397">
      <formula>LEN(TRIM(M81))=0</formula>
    </cfRule>
  </conditionalFormatting>
  <conditionalFormatting sqref="K301:K302">
    <cfRule type="containsBlanks" dxfId="860" priority="439">
      <formula>LEN(TRIM(K301))=0</formula>
    </cfRule>
  </conditionalFormatting>
  <conditionalFormatting sqref="I158:I160">
    <cfRule type="containsBlanks" dxfId="859" priority="618">
      <formula>LEN(TRIM(I158))=0</formula>
    </cfRule>
  </conditionalFormatting>
  <conditionalFormatting sqref="M81:M82">
    <cfRule type="containsBlanks" dxfId="858" priority="396">
      <formula>LEN(TRIM(M81))=0</formula>
    </cfRule>
  </conditionalFormatting>
  <conditionalFormatting sqref="J403 A403:E403 N403:P403">
    <cfRule type="containsBlanks" dxfId="857" priority="893">
      <formula>LEN(TRIM(A403))=0</formula>
    </cfRule>
  </conditionalFormatting>
  <conditionalFormatting sqref="T400">
    <cfRule type="containsBlanks" dxfId="856" priority="894">
      <formula>LEN(TRIM(T400))=0</formula>
    </cfRule>
  </conditionalFormatting>
  <conditionalFormatting sqref="T403">
    <cfRule type="containsBlanks" dxfId="855" priority="892">
      <formula>LEN(TRIM(T403))=0</formula>
    </cfRule>
  </conditionalFormatting>
  <conditionalFormatting sqref="T410:T412 E410:E412 H410:H412">
    <cfRule type="containsBlanks" dxfId="854" priority="889">
      <formula>LEN(TRIM(E410))=0</formula>
    </cfRule>
  </conditionalFormatting>
  <conditionalFormatting sqref="Q410:R412 D410:H412 T410:T412">
    <cfRule type="containsBlanks" dxfId="853" priority="891">
      <formula>LEN(TRIM(D410))=0</formula>
    </cfRule>
  </conditionalFormatting>
  <conditionalFormatting sqref="E410:E412 T410:T412 H410:H412">
    <cfRule type="containsBlanks" dxfId="852" priority="890">
      <formula>LEN(TRIM(E410))=0</formula>
    </cfRule>
  </conditionalFormatting>
  <conditionalFormatting sqref="M232:M238">
    <cfRule type="containsBlanks" dxfId="851" priority="413">
      <formula>LEN(TRIM(M232))=0</formula>
    </cfRule>
  </conditionalFormatting>
  <conditionalFormatting sqref="C540:C545">
    <cfRule type="containsBlanks" dxfId="850" priority="843">
      <formula>LEN(TRIM(C540))=0</formula>
    </cfRule>
  </conditionalFormatting>
  <conditionalFormatting sqref="A540:B545">
    <cfRule type="containsBlanks" dxfId="849" priority="844">
      <formula>LEN(TRIM(A540))=0</formula>
    </cfRule>
  </conditionalFormatting>
  <conditionalFormatting sqref="M269:M270">
    <cfRule type="containsBlanks" dxfId="848" priority="354">
      <formula>LEN(TRIM(M269))=0</formula>
    </cfRule>
  </conditionalFormatting>
  <conditionalFormatting sqref="O423">
    <cfRule type="containsBlanks" dxfId="847" priority="876">
      <formula>LEN(TRIM(O423))=0</formula>
    </cfRule>
  </conditionalFormatting>
  <conditionalFormatting sqref="M272">
    <cfRule type="containsBlanks" dxfId="846" priority="353">
      <formula>LEN(TRIM(M272))=0</formula>
    </cfRule>
  </conditionalFormatting>
  <conditionalFormatting sqref="D540:D545">
    <cfRule type="containsBlanks" dxfId="845" priority="853">
      <formula>LEN(TRIM(D540))=0</formula>
    </cfRule>
  </conditionalFormatting>
  <conditionalFormatting sqref="A540:B545">
    <cfRule type="containsBlanks" dxfId="844" priority="854">
      <formula>LEN(TRIM(A540))=0</formula>
    </cfRule>
  </conditionalFormatting>
  <conditionalFormatting sqref="O540:P545 O546">
    <cfRule type="containsBlanks" dxfId="843" priority="852">
      <formula>LEN(TRIM(O540))=0</formula>
    </cfRule>
  </conditionalFormatting>
  <conditionalFormatting sqref="O540:P545 O546">
    <cfRule type="containsBlanks" dxfId="842" priority="851">
      <formula>LEN(TRIM(O540))=0</formula>
    </cfRule>
  </conditionalFormatting>
  <conditionalFormatting sqref="E539 T539">
    <cfRule type="containsBlanks" dxfId="841" priority="869">
      <formula>LEN(TRIM(E539))=0</formula>
    </cfRule>
  </conditionalFormatting>
  <conditionalFormatting sqref="A422:B423">
    <cfRule type="containsBlanks" dxfId="840" priority="871">
      <formula>LEN(TRIM(A422))=0</formula>
    </cfRule>
  </conditionalFormatting>
  <conditionalFormatting sqref="T539 J539:J545 L539:L545 D539:E545 O546 N539:P545">
    <cfRule type="containsBlanks" dxfId="839" priority="870">
      <formula>LEN(TRIM(D539))=0</formula>
    </cfRule>
  </conditionalFormatting>
  <conditionalFormatting sqref="D539">
    <cfRule type="containsBlanks" dxfId="838" priority="867">
      <formula>LEN(TRIM(D539))=0</formula>
    </cfRule>
  </conditionalFormatting>
  <conditionalFormatting sqref="O539:P539 O540:O541">
    <cfRule type="containsBlanks" dxfId="837" priority="866">
      <formula>LEN(TRIM(O539))=0</formula>
    </cfRule>
  </conditionalFormatting>
  <conditionalFormatting sqref="O539:P539 O540:O541">
    <cfRule type="containsBlanks" dxfId="836" priority="865">
      <formula>LEN(TRIM(O539))=0</formula>
    </cfRule>
  </conditionalFormatting>
  <conditionalFormatting sqref="M149">
    <cfRule type="containsBlanks" dxfId="835" priority="388">
      <formula>LEN(TRIM(M149))=0</formula>
    </cfRule>
  </conditionalFormatting>
  <conditionalFormatting sqref="K271">
    <cfRule type="containsBlanks" dxfId="834" priority="561">
      <formula>LEN(TRIM(K271))=0</formula>
    </cfRule>
  </conditionalFormatting>
  <conditionalFormatting sqref="A539:B539">
    <cfRule type="containsBlanks" dxfId="833" priority="868">
      <formula>LEN(TRIM(A539))=0</formula>
    </cfRule>
  </conditionalFormatting>
  <conditionalFormatting sqref="J539">
    <cfRule type="containsBlanks" dxfId="832" priority="864">
      <formula>LEN(TRIM(J539))=0</formula>
    </cfRule>
  </conditionalFormatting>
  <conditionalFormatting sqref="J539">
    <cfRule type="containsBlanks" dxfId="831" priority="863">
      <formula>LEN(TRIM(J539))=0</formula>
    </cfRule>
  </conditionalFormatting>
  <conditionalFormatting sqref="L539">
    <cfRule type="containsBlanks" dxfId="830" priority="862">
      <formula>LEN(TRIM(L539))=0</formula>
    </cfRule>
  </conditionalFormatting>
  <conditionalFormatting sqref="L539">
    <cfRule type="containsBlanks" dxfId="829" priority="861">
      <formula>LEN(TRIM(L539))=0</formula>
    </cfRule>
  </conditionalFormatting>
  <conditionalFormatting sqref="N539">
    <cfRule type="containsBlanks" dxfId="828" priority="859">
      <formula>LEN(TRIM(N539))=0</formula>
    </cfRule>
  </conditionalFormatting>
  <conditionalFormatting sqref="N539">
    <cfRule type="containsBlanks" dxfId="827" priority="860">
      <formula>LEN(TRIM(N539))=0</formula>
    </cfRule>
  </conditionalFormatting>
  <conditionalFormatting sqref="A539:B539 T539">
    <cfRule type="containsBlanks" dxfId="826" priority="858">
      <formula>LEN(TRIM(A539))=0</formula>
    </cfRule>
  </conditionalFormatting>
  <conditionalFormatting sqref="C539">
    <cfRule type="containsBlanks" dxfId="825" priority="857">
      <formula>LEN(TRIM(C539))=0</formula>
    </cfRule>
  </conditionalFormatting>
  <conditionalFormatting sqref="E540:E545">
    <cfRule type="containsBlanks" dxfId="824" priority="856">
      <formula>LEN(TRIM(E540))=0</formula>
    </cfRule>
  </conditionalFormatting>
  <conditionalFormatting sqref="M133">
    <cfRule type="containsBlanks" dxfId="823" priority="373">
      <formula>LEN(TRIM(M133))=0</formula>
    </cfRule>
  </conditionalFormatting>
  <conditionalFormatting sqref="K248:K255">
    <cfRule type="containsBlanks" dxfId="822" priority="548">
      <formula>LEN(TRIM(K248))=0</formula>
    </cfRule>
  </conditionalFormatting>
  <conditionalFormatting sqref="E540:E545">
    <cfRule type="containsBlanks" dxfId="821" priority="855">
      <formula>LEN(TRIM(E540))=0</formula>
    </cfRule>
  </conditionalFormatting>
  <conditionalFormatting sqref="J540:J545">
    <cfRule type="containsBlanks" dxfId="820" priority="850">
      <formula>LEN(TRIM(J540))=0</formula>
    </cfRule>
  </conditionalFormatting>
  <conditionalFormatting sqref="J540:J545">
    <cfRule type="containsBlanks" dxfId="819" priority="849">
      <formula>LEN(TRIM(J540))=0</formula>
    </cfRule>
  </conditionalFormatting>
  <conditionalFormatting sqref="L540:L545">
    <cfRule type="containsBlanks" dxfId="818" priority="848">
      <formula>LEN(TRIM(L540))=0</formula>
    </cfRule>
  </conditionalFormatting>
  <conditionalFormatting sqref="L540:L545">
    <cfRule type="containsBlanks" dxfId="817" priority="847">
      <formula>LEN(TRIM(L540))=0</formula>
    </cfRule>
  </conditionalFormatting>
  <conditionalFormatting sqref="N540:N545">
    <cfRule type="containsBlanks" dxfId="816" priority="845">
      <formula>LEN(TRIM(N540))=0</formula>
    </cfRule>
  </conditionalFormatting>
  <conditionalFormatting sqref="N540:N545">
    <cfRule type="containsBlanks" dxfId="815" priority="846">
      <formula>LEN(TRIM(N540))=0</formula>
    </cfRule>
  </conditionalFormatting>
  <conditionalFormatting sqref="T627 A627:E627 J627">
    <cfRule type="containsBlanks" dxfId="814" priority="840">
      <formula>LEN(TRIM(A627))=0</formula>
    </cfRule>
  </conditionalFormatting>
  <conditionalFormatting sqref="O627">
    <cfRule type="containsBlanks" dxfId="813" priority="839">
      <formula>LEN(TRIM(O627))=0</formula>
    </cfRule>
  </conditionalFormatting>
  <conditionalFormatting sqref="T541:T545">
    <cfRule type="containsBlanks" dxfId="812" priority="842">
      <formula>LEN(TRIM(T541))=0</formula>
    </cfRule>
  </conditionalFormatting>
  <conditionalFormatting sqref="T541:T545">
    <cfRule type="containsBlanks" dxfId="811" priority="841">
      <formula>LEN(TRIM(T541))=0</formula>
    </cfRule>
  </conditionalFormatting>
  <conditionalFormatting sqref="O627">
    <cfRule type="containsBlanks" dxfId="810" priority="838">
      <formula>LEN(TRIM(O627))=0</formula>
    </cfRule>
  </conditionalFormatting>
  <conditionalFormatting sqref="D627:E627 J627 O627">
    <cfRule type="containsBlanks" dxfId="809" priority="837">
      <formula>LEN(TRIM(D627))=0</formula>
    </cfRule>
  </conditionalFormatting>
  <conditionalFormatting sqref="J626">
    <cfRule type="containsBlanks" dxfId="808" priority="827">
      <formula>LEN(TRIM(J626))=0</formula>
    </cfRule>
  </conditionalFormatting>
  <conditionalFormatting sqref="A626:B626">
    <cfRule type="containsBlanks" dxfId="807" priority="834">
      <formula>LEN(TRIM(A626))=0</formula>
    </cfRule>
  </conditionalFormatting>
  <conditionalFormatting sqref="A626:B626">
    <cfRule type="containsBlanks" dxfId="806" priority="833">
      <formula>LEN(TRIM(A626))=0</formula>
    </cfRule>
  </conditionalFormatting>
  <conditionalFormatting sqref="T627">
    <cfRule type="containsBlanks" dxfId="805" priority="836">
      <formula>LEN(TRIM(T627))=0</formula>
    </cfRule>
  </conditionalFormatting>
  <conditionalFormatting sqref="T626 D626 J626">
    <cfRule type="containsBlanks" dxfId="804" priority="835">
      <formula>LEN(TRIM(D626))=0</formula>
    </cfRule>
  </conditionalFormatting>
  <conditionalFormatting sqref="C626">
    <cfRule type="containsBlanks" dxfId="803" priority="832">
      <formula>LEN(TRIM(C626))=0</formula>
    </cfRule>
  </conditionalFormatting>
  <conditionalFormatting sqref="D626">
    <cfRule type="containsBlanks" dxfId="802" priority="831">
      <formula>LEN(TRIM(D626))=0</formula>
    </cfRule>
  </conditionalFormatting>
  <conditionalFormatting sqref="O626">
    <cfRule type="containsBlanks" dxfId="801" priority="829">
      <formula>LEN(TRIM(O626))=0</formula>
    </cfRule>
  </conditionalFormatting>
  <conditionalFormatting sqref="M407:M409">
    <cfRule type="containsBlanks" dxfId="800" priority="339">
      <formula>LEN(TRIM(M407))=0</formula>
    </cfRule>
  </conditionalFormatting>
  <conditionalFormatting sqref="K137">
    <cfRule type="containsBlanks" dxfId="799" priority="529">
      <formula>LEN(TRIM(K137))=0</formula>
    </cfRule>
  </conditionalFormatting>
  <conditionalFormatting sqref="J626">
    <cfRule type="containsBlanks" dxfId="798" priority="828">
      <formula>LEN(TRIM(J626))=0</formula>
    </cfRule>
  </conditionalFormatting>
  <conditionalFormatting sqref="O626">
    <cfRule type="containsBlanks" dxfId="797" priority="826">
      <formula>LEN(TRIM(O626))=0</formula>
    </cfRule>
  </conditionalFormatting>
  <conditionalFormatting sqref="O628">
    <cfRule type="containsBlanks" dxfId="796" priority="819">
      <formula>LEN(TRIM(O628))=0</formula>
    </cfRule>
  </conditionalFormatting>
  <conditionalFormatting sqref="J628">
    <cfRule type="containsBlanks" dxfId="795" priority="817">
      <formula>LEN(TRIM(J628))=0</formula>
    </cfRule>
  </conditionalFormatting>
  <conditionalFormatting sqref="D628 J628">
    <cfRule type="containsBlanks" dxfId="794" priority="825">
      <formula>LEN(TRIM(D628))=0</formula>
    </cfRule>
  </conditionalFormatting>
  <conditionalFormatting sqref="C628">
    <cfRule type="containsBlanks" dxfId="793" priority="822">
      <formula>LEN(TRIM(C628))=0</formula>
    </cfRule>
  </conditionalFormatting>
  <conditionalFormatting sqref="A628:B628">
    <cfRule type="containsBlanks" dxfId="792" priority="824">
      <formula>LEN(TRIM(A628))=0</formula>
    </cfRule>
  </conditionalFormatting>
  <conditionalFormatting sqref="A628:B628">
    <cfRule type="containsBlanks" dxfId="791" priority="823">
      <formula>LEN(TRIM(A628))=0</formula>
    </cfRule>
  </conditionalFormatting>
  <conditionalFormatting sqref="D628">
    <cfRule type="containsBlanks" dxfId="790" priority="820">
      <formula>LEN(TRIM(D628))=0</formula>
    </cfRule>
  </conditionalFormatting>
  <conditionalFormatting sqref="K148">
    <cfRule type="containsBlanks" dxfId="789" priority="500">
      <formula>LEN(TRIM(K148))=0</formula>
    </cfRule>
  </conditionalFormatting>
  <conditionalFormatting sqref="J628">
    <cfRule type="containsBlanks" dxfId="788" priority="816">
      <formula>LEN(TRIM(J628))=0</formula>
    </cfRule>
  </conditionalFormatting>
  <conditionalFormatting sqref="O628">
    <cfRule type="containsBlanks" dxfId="787" priority="815">
      <formula>LEN(TRIM(O628))=0</formula>
    </cfRule>
  </conditionalFormatting>
  <conditionalFormatting sqref="M428">
    <cfRule type="containsBlanks" dxfId="786" priority="275">
      <formula>LEN(TRIM(M428))=0</formula>
    </cfRule>
  </conditionalFormatting>
  <conditionalFormatting sqref="K407:K409">
    <cfRule type="containsBlanks" dxfId="785" priority="473">
      <formula>LEN(TRIM(K407))=0</formula>
    </cfRule>
  </conditionalFormatting>
  <conditionalFormatting sqref="D54">
    <cfRule type="containsBlanks" dxfId="784" priority="804">
      <formula>LEN(TRIM(D54))=0</formula>
    </cfRule>
  </conditionalFormatting>
  <conditionalFormatting sqref="D54:D56">
    <cfRule type="containsBlanks" dxfId="783" priority="805">
      <formula>LEN(TRIM(D54))=0</formula>
    </cfRule>
  </conditionalFormatting>
  <conditionalFormatting sqref="D40">
    <cfRule type="containsBlanks" dxfId="782" priority="814">
      <formula>LEN(TRIM(D40))=0</formula>
    </cfRule>
  </conditionalFormatting>
  <conditionalFormatting sqref="D39">
    <cfRule type="containsBlanks" dxfId="781" priority="813">
      <formula>LEN(TRIM(D39))=0</formula>
    </cfRule>
  </conditionalFormatting>
  <conditionalFormatting sqref="D42">
    <cfRule type="containsBlanks" dxfId="780" priority="811">
      <formula>LEN(TRIM(D42))=0</formula>
    </cfRule>
  </conditionalFormatting>
  <conditionalFormatting sqref="D44:D50">
    <cfRule type="containsBlanks" dxfId="779" priority="810">
      <formula>LEN(TRIM(D44))=0</formula>
    </cfRule>
  </conditionalFormatting>
  <conditionalFormatting sqref="D44">
    <cfRule type="containsBlanks" dxfId="778" priority="809">
      <formula>LEN(TRIM(D44))=0</formula>
    </cfRule>
  </conditionalFormatting>
  <conditionalFormatting sqref="D45:D46">
    <cfRule type="containsBlanks" dxfId="777" priority="808">
      <formula>LEN(TRIM(D45))=0</formula>
    </cfRule>
  </conditionalFormatting>
  <conditionalFormatting sqref="D47">
    <cfRule type="containsBlanks" dxfId="776" priority="807">
      <formula>LEN(TRIM(D47))=0</formula>
    </cfRule>
  </conditionalFormatting>
  <conditionalFormatting sqref="D48">
    <cfRule type="containsBlanks" dxfId="775" priority="806">
      <formula>LEN(TRIM(D48))=0</formula>
    </cfRule>
  </conditionalFormatting>
  <conditionalFormatting sqref="D59">
    <cfRule type="containsBlanks" dxfId="774" priority="803">
      <formula>LEN(TRIM(D59))=0</formula>
    </cfRule>
  </conditionalFormatting>
  <conditionalFormatting sqref="D59:D60">
    <cfRule type="containsBlanks" dxfId="773" priority="802">
      <formula>LEN(TRIM(D59))=0</formula>
    </cfRule>
  </conditionalFormatting>
  <conditionalFormatting sqref="D62">
    <cfRule type="containsBlanks" dxfId="772" priority="801">
      <formula>LEN(TRIM(D62))=0</formula>
    </cfRule>
  </conditionalFormatting>
  <conditionalFormatting sqref="D70:D72">
    <cfRule type="containsBlanks" dxfId="771" priority="800">
      <formula>LEN(TRIM(D70))=0</formula>
    </cfRule>
  </conditionalFormatting>
  <conditionalFormatting sqref="D70:D72">
    <cfRule type="containsBlanks" dxfId="770" priority="799">
      <formula>LEN(TRIM(D70))=0</formula>
    </cfRule>
  </conditionalFormatting>
  <conditionalFormatting sqref="D70:D72">
    <cfRule type="containsBlanks" dxfId="769" priority="798">
      <formula>LEN(TRIM(D70))=0</formula>
    </cfRule>
  </conditionalFormatting>
  <conditionalFormatting sqref="D64">
    <cfRule type="containsBlanks" dxfId="768" priority="797">
      <formula>LEN(TRIM(D64))=0</formula>
    </cfRule>
  </conditionalFormatting>
  <conditionalFormatting sqref="D64">
    <cfRule type="containsBlanks" dxfId="767" priority="796">
      <formula>LEN(TRIM(D64))=0</formula>
    </cfRule>
  </conditionalFormatting>
  <conditionalFormatting sqref="D64">
    <cfRule type="containsBlanks" dxfId="766" priority="795">
      <formula>LEN(TRIM(D64))=0</formula>
    </cfRule>
  </conditionalFormatting>
  <conditionalFormatting sqref="D68">
    <cfRule type="containsBlanks" dxfId="765" priority="794">
      <formula>LEN(TRIM(D68))=0</formula>
    </cfRule>
  </conditionalFormatting>
  <conditionalFormatting sqref="E422">
    <cfRule type="containsBlanks" dxfId="764" priority="793">
      <formula>LEN(TRIM(E422))=0</formula>
    </cfRule>
  </conditionalFormatting>
  <conditionalFormatting sqref="E422">
    <cfRule type="containsBlanks" dxfId="763" priority="792">
      <formula>LEN(TRIM(E422))=0</formula>
    </cfRule>
  </conditionalFormatting>
  <conditionalFormatting sqref="E422">
    <cfRule type="containsBlanks" dxfId="762" priority="791">
      <formula>LEN(TRIM(E422))=0</formula>
    </cfRule>
  </conditionalFormatting>
  <conditionalFormatting sqref="E423">
    <cfRule type="containsBlanks" dxfId="761" priority="790">
      <formula>LEN(TRIM(E423))=0</formula>
    </cfRule>
  </conditionalFormatting>
  <conditionalFormatting sqref="E423">
    <cfRule type="containsBlanks" dxfId="760" priority="789">
      <formula>LEN(TRIM(E423))=0</formula>
    </cfRule>
  </conditionalFormatting>
  <conditionalFormatting sqref="E423">
    <cfRule type="containsBlanks" dxfId="759" priority="788">
      <formula>LEN(TRIM(E423))=0</formula>
    </cfRule>
  </conditionalFormatting>
  <conditionalFormatting sqref="E515">
    <cfRule type="containsBlanks" dxfId="758" priority="787">
      <formula>LEN(TRIM(E515))=0</formula>
    </cfRule>
  </conditionalFormatting>
  <conditionalFormatting sqref="E515">
    <cfRule type="containsBlanks" dxfId="757" priority="786">
      <formula>LEN(TRIM(E515))=0</formula>
    </cfRule>
  </conditionalFormatting>
  <conditionalFormatting sqref="E546:E547">
    <cfRule type="containsBlanks" dxfId="756" priority="785">
      <formula>LEN(TRIM(E546))=0</formula>
    </cfRule>
  </conditionalFormatting>
  <conditionalFormatting sqref="E546:E547">
    <cfRule type="containsBlanks" dxfId="755" priority="784">
      <formula>LEN(TRIM(E546))=0</formula>
    </cfRule>
  </conditionalFormatting>
  <conditionalFormatting sqref="E546:E547">
    <cfRule type="containsBlanks" dxfId="754" priority="783">
      <formula>LEN(TRIM(E546))=0</formula>
    </cfRule>
  </conditionalFormatting>
  <conditionalFormatting sqref="E546:E547">
    <cfRule type="containsBlanks" dxfId="753" priority="782">
      <formula>LEN(TRIM(E546))=0</formula>
    </cfRule>
  </conditionalFormatting>
  <conditionalFormatting sqref="E626">
    <cfRule type="containsBlanks" dxfId="752" priority="781">
      <formula>LEN(TRIM(E626))=0</formula>
    </cfRule>
  </conditionalFormatting>
  <conditionalFormatting sqref="E626">
    <cfRule type="containsBlanks" dxfId="751" priority="780">
      <formula>LEN(TRIM(E626))=0</formula>
    </cfRule>
  </conditionalFormatting>
  <conditionalFormatting sqref="E626">
    <cfRule type="containsBlanks" dxfId="750" priority="779">
      <formula>LEN(TRIM(E626))=0</formula>
    </cfRule>
  </conditionalFormatting>
  <conditionalFormatting sqref="E626">
    <cfRule type="containsBlanks" dxfId="749" priority="778">
      <formula>LEN(TRIM(E626))=0</formula>
    </cfRule>
  </conditionalFormatting>
  <conditionalFormatting sqref="E626">
    <cfRule type="containsBlanks" dxfId="748" priority="777">
      <formula>LEN(TRIM(E626))=0</formula>
    </cfRule>
  </conditionalFormatting>
  <conditionalFormatting sqref="E628">
    <cfRule type="containsBlanks" dxfId="747" priority="776">
      <formula>LEN(TRIM(E628))=0</formula>
    </cfRule>
  </conditionalFormatting>
  <conditionalFormatting sqref="E628">
    <cfRule type="containsBlanks" dxfId="746" priority="775">
      <formula>LEN(TRIM(E628))=0</formula>
    </cfRule>
  </conditionalFormatting>
  <conditionalFormatting sqref="E628">
    <cfRule type="containsBlanks" dxfId="745" priority="774">
      <formula>LEN(TRIM(E628))=0</formula>
    </cfRule>
  </conditionalFormatting>
  <conditionalFormatting sqref="E628">
    <cfRule type="containsBlanks" dxfId="744" priority="773">
      <formula>LEN(TRIM(E628))=0</formula>
    </cfRule>
  </conditionalFormatting>
  <conditionalFormatting sqref="E628">
    <cfRule type="containsBlanks" dxfId="743" priority="772">
      <formula>LEN(TRIM(E628))=0</formula>
    </cfRule>
  </conditionalFormatting>
  <conditionalFormatting sqref="G39:G40 G44:G48 G54 G59:G60 G62 G65:G68 G70:G72 G76:G77 G79 G81:G85 G90:G106 G108 G144 G146:G147 G149:G154 G158:G177 G226 G229 G231:G234 G236:G238 G241:G244 G248:G255 G271 G274:G289 G301:G302 G306:G322 G328 G333:G338 G347 G350 G352:G353 G356 G403 G418:G419 G506:G508 G513:G515 G520 G529:G530 G534:G547 G560 G603 G609:G611 G626:G628 G87 G324">
    <cfRule type="containsBlanks" dxfId="742" priority="771">
      <formula>LEN(TRIM(G39))=0</formula>
    </cfRule>
  </conditionalFormatting>
  <conditionalFormatting sqref="G39:G40 G44:G48 G54 G59:G60 G62 G65:G68 G70:G72 G76:G77 G79 G81:G85 G90:G106 G108 G144 G146:G147 G149:G154 G158:G177 G226 G229 G231:G234 G236:G238 G241:G244 G248:G255 G271 G274:G289 G301:G302 G306:G322 G328 G333:G338 G347 G350 G352:G353 G356 G403 G418:G419 G506:G508 G513:G515 G520 G529:G530 G534:G547 G560 G603 G609:G611 G626:G628 G87 G324">
    <cfRule type="containsBlanks" dxfId="741" priority="770">
      <formula>LEN(TRIM(G39))=0</formula>
    </cfRule>
  </conditionalFormatting>
  <conditionalFormatting sqref="G42">
    <cfRule type="containsBlanks" dxfId="740" priority="769">
      <formula>LEN(TRIM(G42))=0</formula>
    </cfRule>
  </conditionalFormatting>
  <conditionalFormatting sqref="G49:G50">
    <cfRule type="containsBlanks" dxfId="739" priority="768">
      <formula>LEN(TRIM(G49))=0</formula>
    </cfRule>
  </conditionalFormatting>
  <conditionalFormatting sqref="G58">
    <cfRule type="containsBlanks" dxfId="738" priority="767">
      <formula>LEN(TRIM(G58))=0</formula>
    </cfRule>
  </conditionalFormatting>
  <conditionalFormatting sqref="G137">
    <cfRule type="containsBlanks" dxfId="737" priority="766">
      <formula>LEN(TRIM(G137))=0</formula>
    </cfRule>
  </conditionalFormatting>
  <conditionalFormatting sqref="G137">
    <cfRule type="containsBlanks" dxfId="736" priority="765">
      <formula>LEN(TRIM(G137))=0</formula>
    </cfRule>
  </conditionalFormatting>
  <conditionalFormatting sqref="E139">
    <cfRule type="containsBlanks" dxfId="735" priority="764">
      <formula>LEN(TRIM(E139))=0</formula>
    </cfRule>
  </conditionalFormatting>
  <conditionalFormatting sqref="D139">
    <cfRule type="containsBlanks" dxfId="734" priority="762">
      <formula>LEN(TRIM(D139))=0</formula>
    </cfRule>
  </conditionalFormatting>
  <conditionalFormatting sqref="G139">
    <cfRule type="containsBlanks" dxfId="733" priority="761">
      <formula>LEN(TRIM(G139))=0</formula>
    </cfRule>
  </conditionalFormatting>
  <conditionalFormatting sqref="E139">
    <cfRule type="containsBlanks" dxfId="732" priority="763">
      <formula>LEN(TRIM(E139))=0</formula>
    </cfRule>
  </conditionalFormatting>
  <conditionalFormatting sqref="D139:E139 G139">
    <cfRule type="containsBlanks" dxfId="731" priority="760">
      <formula>LEN(TRIM(D139))=0</formula>
    </cfRule>
  </conditionalFormatting>
  <conditionalFormatting sqref="F139">
    <cfRule type="containsBlanks" dxfId="730" priority="759">
      <formula>LEN(TRIM(F139))=0</formula>
    </cfRule>
  </conditionalFormatting>
  <conditionalFormatting sqref="F139">
    <cfRule type="containsBlanks" dxfId="729" priority="758">
      <formula>LEN(TRIM(F139))=0</formula>
    </cfRule>
  </conditionalFormatting>
  <conditionalFormatting sqref="E140">
    <cfRule type="containsBlanks" dxfId="728" priority="757">
      <formula>LEN(TRIM(E140))=0</formula>
    </cfRule>
  </conditionalFormatting>
  <conditionalFormatting sqref="D140">
    <cfRule type="containsBlanks" dxfId="727" priority="755">
      <formula>LEN(TRIM(D140))=0</formula>
    </cfRule>
  </conditionalFormatting>
  <conditionalFormatting sqref="G140">
    <cfRule type="containsBlanks" dxfId="726" priority="754">
      <formula>LEN(TRIM(G140))=0</formula>
    </cfRule>
  </conditionalFormatting>
  <conditionalFormatting sqref="E140">
    <cfRule type="containsBlanks" dxfId="725" priority="756">
      <formula>LEN(TRIM(E140))=0</formula>
    </cfRule>
  </conditionalFormatting>
  <conditionalFormatting sqref="D140:E140 G140">
    <cfRule type="containsBlanks" dxfId="724" priority="753">
      <formula>LEN(TRIM(D140))=0</formula>
    </cfRule>
  </conditionalFormatting>
  <conditionalFormatting sqref="F140">
    <cfRule type="containsBlanks" dxfId="723" priority="752">
      <formula>LEN(TRIM(F140))=0</formula>
    </cfRule>
  </conditionalFormatting>
  <conditionalFormatting sqref="F140">
    <cfRule type="containsBlanks" dxfId="722" priority="751">
      <formula>LEN(TRIM(F140))=0</formula>
    </cfRule>
  </conditionalFormatting>
  <conditionalFormatting sqref="G235">
    <cfRule type="containsBlanks" dxfId="721" priority="750">
      <formula>LEN(TRIM(G235))=0</formula>
    </cfRule>
  </conditionalFormatting>
  <conditionalFormatting sqref="I295:I299 I379 I373:I377 I311 I266:I272 I131:I136 I141:I146 I413:I421 I69:I85 I546:I561 I520 I356 I274:I289 I529:I532 I534:I538 I87:I88">
    <cfRule type="containsBlanks" dxfId="720" priority="749">
      <formula>LEN(TRIM(I69))=0</formula>
    </cfRule>
  </conditionalFormatting>
  <conditionalFormatting sqref="I42">
    <cfRule type="containsBlanks" dxfId="719" priority="746">
      <formula>LEN(TRIM(I42))=0</formula>
    </cfRule>
  </conditionalFormatting>
  <conditionalFormatting sqref="I150:I154">
    <cfRule type="containsBlanks" dxfId="718" priority="733">
      <formula>LEN(TRIM(I150))=0</formula>
    </cfRule>
  </conditionalFormatting>
  <conditionalFormatting sqref="I203:I204">
    <cfRule type="containsBlanks" dxfId="717" priority="731">
      <formula>LEN(TRIM(I203))=0</formula>
    </cfRule>
  </conditionalFormatting>
  <conditionalFormatting sqref="I417 I420:I421">
    <cfRule type="containsBlanks" dxfId="716" priority="748">
      <formula>LEN(TRIM(I417))=0</formula>
    </cfRule>
  </conditionalFormatting>
  <conditionalFormatting sqref="I591">
    <cfRule type="containsBlanks" dxfId="715" priority="722">
      <formula>LEN(TRIM(I591))=0</formula>
    </cfRule>
  </conditionalFormatting>
  <conditionalFormatting sqref="I20:I30 I52:I53 I57 I63 I135:I136 I239 I259 I266:I268 I416:I417 I524 I559 I582:I590 I592:I593 I503:I504 I305 I420:I421 I527 I561 I155 I529:I532">
    <cfRule type="containsBlanks" dxfId="714" priority="747">
      <formula>LEN(TRIM(I20))=0</formula>
    </cfRule>
  </conditionalFormatting>
  <conditionalFormatting sqref="I65">
    <cfRule type="containsBlanks" dxfId="713" priority="742">
      <formula>LEN(TRIM(I65))=0</formula>
    </cfRule>
  </conditionalFormatting>
  <conditionalFormatting sqref="I591">
    <cfRule type="containsBlanks" dxfId="712" priority="721">
      <formula>LEN(TRIM(I591))=0</formula>
    </cfRule>
  </conditionalFormatting>
  <conditionalFormatting sqref="I42">
    <cfRule type="containsBlanks" dxfId="711" priority="745">
      <formula>LEN(TRIM(I42))=0</formula>
    </cfRule>
  </conditionalFormatting>
  <conditionalFormatting sqref="I75:I80">
    <cfRule type="containsBlanks" dxfId="710" priority="740">
      <formula>LEN(TRIM(I75))=0</formula>
    </cfRule>
  </conditionalFormatting>
  <conditionalFormatting sqref="I379">
    <cfRule type="containsBlanks" dxfId="709" priority="727">
      <formula>LEN(TRIM(I379))=0</formula>
    </cfRule>
  </conditionalFormatting>
  <conditionalFormatting sqref="I536">
    <cfRule type="containsBlanks" dxfId="708" priority="724">
      <formula>LEN(TRIM(I536))=0</formula>
    </cfRule>
  </conditionalFormatting>
  <conditionalFormatting sqref="I536">
    <cfRule type="containsBlanks" dxfId="707" priority="723">
      <formula>LEN(TRIM(I536))=0</formula>
    </cfRule>
  </conditionalFormatting>
  <conditionalFormatting sqref="I508 I512:I513 I520">
    <cfRule type="containsBlanks" dxfId="706" priority="726">
      <formula>LEN(TRIM(I508))=0</formula>
    </cfRule>
  </conditionalFormatting>
  <conditionalFormatting sqref="I508 I512:I513 I520">
    <cfRule type="containsBlanks" dxfId="705" priority="725">
      <formula>LEN(TRIM(I508))=0</formula>
    </cfRule>
  </conditionalFormatting>
  <conditionalFormatting sqref="I594:I595 I597">
    <cfRule type="containsBlanks" dxfId="704" priority="720">
      <formula>LEN(TRIM(I594))=0</formula>
    </cfRule>
  </conditionalFormatting>
  <conditionalFormatting sqref="I594:I595 I597">
    <cfRule type="containsBlanks" dxfId="703" priority="719">
      <formula>LEN(TRIM(I594))=0</formula>
    </cfRule>
  </conditionalFormatting>
  <conditionalFormatting sqref="I58:I60">
    <cfRule type="containsBlanks" dxfId="702" priority="744">
      <formula>LEN(TRIM(I58))=0</formula>
    </cfRule>
  </conditionalFormatting>
  <conditionalFormatting sqref="I58:I60">
    <cfRule type="containsBlanks" dxfId="701" priority="743">
      <formula>LEN(TRIM(I58))=0</formula>
    </cfRule>
  </conditionalFormatting>
  <conditionalFormatting sqref="I150:I154">
    <cfRule type="containsBlanks" dxfId="700" priority="734">
      <formula>LEN(TRIM(I150))=0</formula>
    </cfRule>
  </conditionalFormatting>
  <conditionalFormatting sqref="I65">
    <cfRule type="containsBlanks" dxfId="699" priority="741">
      <formula>LEN(TRIM(I65))=0</formula>
    </cfRule>
  </conditionalFormatting>
  <conditionalFormatting sqref="I105:I106">
    <cfRule type="containsBlanks" dxfId="698" priority="738">
      <formula>LEN(TRIM(I105))=0</formula>
    </cfRule>
  </conditionalFormatting>
  <conditionalFormatting sqref="I105:I106">
    <cfRule type="containsBlanks" dxfId="697" priority="737">
      <formula>LEN(TRIM(I105))=0</formula>
    </cfRule>
  </conditionalFormatting>
  <conditionalFormatting sqref="I147">
    <cfRule type="containsBlanks" dxfId="696" priority="736">
      <formula>LEN(TRIM(I147))=0</formula>
    </cfRule>
  </conditionalFormatting>
  <conditionalFormatting sqref="I147">
    <cfRule type="containsBlanks" dxfId="695" priority="735">
      <formula>LEN(TRIM(I147))=0</formula>
    </cfRule>
  </conditionalFormatting>
  <conditionalFormatting sqref="I203:I204">
    <cfRule type="containsBlanks" dxfId="694" priority="732">
      <formula>LEN(TRIM(I203))=0</formula>
    </cfRule>
  </conditionalFormatting>
  <conditionalFormatting sqref="I271">
    <cfRule type="containsBlanks" dxfId="693" priority="730">
      <formula>LEN(TRIM(I271))=0</formula>
    </cfRule>
  </conditionalFormatting>
  <conditionalFormatting sqref="I271">
    <cfRule type="containsBlanks" dxfId="692" priority="729">
      <formula>LEN(TRIM(I271))=0</formula>
    </cfRule>
  </conditionalFormatting>
  <conditionalFormatting sqref="I379">
    <cfRule type="containsBlanks" dxfId="691" priority="728">
      <formula>LEN(TRIM(I379))=0</formula>
    </cfRule>
  </conditionalFormatting>
  <conditionalFormatting sqref="I596">
    <cfRule type="containsBlanks" dxfId="690" priority="718">
      <formula>LEN(TRIM(I596))=0</formula>
    </cfRule>
  </conditionalFormatting>
  <conditionalFormatting sqref="I596">
    <cfRule type="containsBlanks" dxfId="689" priority="717">
      <formula>LEN(TRIM(I596))=0</formula>
    </cfRule>
  </conditionalFormatting>
  <conditionalFormatting sqref="I274:I289">
    <cfRule type="containsBlanks" dxfId="688" priority="710">
      <formula>LEN(TRIM(I274))=0</formula>
    </cfRule>
  </conditionalFormatting>
  <conditionalFormatting sqref="I274:I289">
    <cfRule type="containsBlanks" dxfId="687" priority="709">
      <formula>LEN(TRIM(I274))=0</formula>
    </cfRule>
  </conditionalFormatting>
  <conditionalFormatting sqref="I147">
    <cfRule type="containsBlanks" dxfId="686" priority="716">
      <formula>LEN(TRIM(I147))=0</formula>
    </cfRule>
  </conditionalFormatting>
  <conditionalFormatting sqref="I600 I603">
    <cfRule type="containsBlanks" dxfId="685" priority="715">
      <formula>LEN(TRIM(I600))=0</formula>
    </cfRule>
  </conditionalFormatting>
  <conditionalFormatting sqref="I232:I238">
    <cfRule type="containsBlanks" dxfId="684" priority="713">
      <formula>LEN(TRIM(I232))=0</formula>
    </cfRule>
  </conditionalFormatting>
  <conditionalFormatting sqref="I248:I255">
    <cfRule type="containsBlanks" dxfId="683" priority="712">
      <formula>LEN(TRIM(I248))=0</formula>
    </cfRule>
  </conditionalFormatting>
  <conditionalFormatting sqref="I248:I255">
    <cfRule type="containsBlanks" dxfId="682" priority="711">
      <formula>LEN(TRIM(I248))=0</formula>
    </cfRule>
  </conditionalFormatting>
  <conditionalFormatting sqref="I413:I415">
    <cfRule type="containsBlanks" dxfId="681" priority="708">
      <formula>LEN(TRIM(I413))=0</formula>
    </cfRule>
  </conditionalFormatting>
  <conditionalFormatting sqref="I514">
    <cfRule type="containsBlanks" dxfId="680" priority="707">
      <formula>LEN(TRIM(I514))=0</formula>
    </cfRule>
  </conditionalFormatting>
  <conditionalFormatting sqref="I514">
    <cfRule type="containsBlanks" dxfId="679" priority="706">
      <formula>LEN(TRIM(I514))=0</formula>
    </cfRule>
  </conditionalFormatting>
  <conditionalFormatting sqref="I515">
    <cfRule type="containsBlanks" dxfId="678" priority="705">
      <formula>LEN(TRIM(I515))=0</formula>
    </cfRule>
  </conditionalFormatting>
  <conditionalFormatting sqref="I515">
    <cfRule type="containsBlanks" dxfId="677" priority="704">
      <formula>LEN(TRIM(I515))=0</formula>
    </cfRule>
  </conditionalFormatting>
  <conditionalFormatting sqref="I70:I72">
    <cfRule type="containsBlanks" dxfId="676" priority="701">
      <formula>LEN(TRIM(I70))=0</formula>
    </cfRule>
  </conditionalFormatting>
  <conditionalFormatting sqref="I70:I72">
    <cfRule type="containsBlanks" dxfId="675" priority="700">
      <formula>LEN(TRIM(I70))=0</formula>
    </cfRule>
  </conditionalFormatting>
  <conditionalFormatting sqref="I81:I82">
    <cfRule type="containsBlanks" dxfId="674" priority="699">
      <formula>LEN(TRIM(I81))=0</formula>
    </cfRule>
  </conditionalFormatting>
  <conditionalFormatting sqref="I81:I82">
    <cfRule type="containsBlanks" dxfId="673" priority="698">
      <formula>LEN(TRIM(I81))=0</formula>
    </cfRule>
  </conditionalFormatting>
  <conditionalFormatting sqref="I137">
    <cfRule type="containsBlanks" dxfId="672" priority="697">
      <formula>LEN(TRIM(I137))=0</formula>
    </cfRule>
  </conditionalFormatting>
  <conditionalFormatting sqref="I137">
    <cfRule type="containsBlanks" dxfId="671" priority="696">
      <formula>LEN(TRIM(I137))=0</formula>
    </cfRule>
  </conditionalFormatting>
  <conditionalFormatting sqref="I137">
    <cfRule type="containsBlanks" dxfId="670" priority="695">
      <formula>LEN(TRIM(I137))=0</formula>
    </cfRule>
  </conditionalFormatting>
  <conditionalFormatting sqref="I144">
    <cfRule type="containsBlanks" dxfId="669" priority="694">
      <formula>LEN(TRIM(I144))=0</formula>
    </cfRule>
  </conditionalFormatting>
  <conditionalFormatting sqref="I144">
    <cfRule type="containsBlanks" dxfId="668" priority="693">
      <formula>LEN(TRIM(I144))=0</formula>
    </cfRule>
  </conditionalFormatting>
  <conditionalFormatting sqref="I146">
    <cfRule type="containsBlanks" dxfId="667" priority="692">
      <formula>LEN(TRIM(I146))=0</formula>
    </cfRule>
  </conditionalFormatting>
  <conditionalFormatting sqref="I146">
    <cfRule type="containsBlanks" dxfId="666" priority="691">
      <formula>LEN(TRIM(I146))=0</formula>
    </cfRule>
  </conditionalFormatting>
  <conditionalFormatting sqref="I149">
    <cfRule type="containsBlanks" dxfId="665" priority="690">
      <formula>LEN(TRIM(I149))=0</formula>
    </cfRule>
  </conditionalFormatting>
  <conditionalFormatting sqref="I149">
    <cfRule type="containsBlanks" dxfId="664" priority="689">
      <formula>LEN(TRIM(I149))=0</formula>
    </cfRule>
  </conditionalFormatting>
  <conditionalFormatting sqref="I560">
    <cfRule type="containsBlanks" dxfId="663" priority="688">
      <formula>LEN(TRIM(I560))=0</formula>
    </cfRule>
  </conditionalFormatting>
  <conditionalFormatting sqref="I560">
    <cfRule type="containsBlanks" dxfId="662" priority="687">
      <formula>LEN(TRIM(I560))=0</formula>
    </cfRule>
  </conditionalFormatting>
  <conditionalFormatting sqref="I51">
    <cfRule type="containsBlanks" dxfId="661" priority="686">
      <formula>LEN(TRIM(I51))=0</formula>
    </cfRule>
  </conditionalFormatting>
  <conditionalFormatting sqref="I61">
    <cfRule type="containsBlanks" dxfId="660" priority="684">
      <formula>LEN(TRIM(I61))=0</formula>
    </cfRule>
  </conditionalFormatting>
  <conditionalFormatting sqref="I61">
    <cfRule type="containsBlanks" dxfId="659" priority="683">
      <formula>LEN(TRIM(I61))=0</formula>
    </cfRule>
  </conditionalFormatting>
  <conditionalFormatting sqref="I73:I74">
    <cfRule type="containsBlanks" dxfId="658" priority="682">
      <formula>LEN(TRIM(I73))=0</formula>
    </cfRule>
  </conditionalFormatting>
  <conditionalFormatting sqref="I74">
    <cfRule type="containsBlanks" dxfId="657" priority="680">
      <formula>LEN(TRIM(I74))=0</formula>
    </cfRule>
  </conditionalFormatting>
  <conditionalFormatting sqref="I73:I74">
    <cfRule type="containsBlanks" dxfId="656" priority="681">
      <formula>LEN(TRIM(I73))=0</formula>
    </cfRule>
  </conditionalFormatting>
  <conditionalFormatting sqref="I88">
    <cfRule type="containsBlanks" dxfId="655" priority="679">
      <formula>LEN(TRIM(I88))=0</formula>
    </cfRule>
  </conditionalFormatting>
  <conditionalFormatting sqref="I133">
    <cfRule type="containsBlanks" dxfId="654" priority="674">
      <formula>LEN(TRIM(I133))=0</formula>
    </cfRule>
  </conditionalFormatting>
  <conditionalFormatting sqref="I107">
    <cfRule type="containsBlanks" dxfId="653" priority="677">
      <formula>LEN(TRIM(I107))=0</formula>
    </cfRule>
  </conditionalFormatting>
  <conditionalFormatting sqref="I107">
    <cfRule type="containsBlanks" dxfId="652" priority="676">
      <formula>LEN(TRIM(I107))=0</formula>
    </cfRule>
  </conditionalFormatting>
  <conditionalFormatting sqref="I134">
    <cfRule type="containsBlanks" dxfId="651" priority="673">
      <formula>LEN(TRIM(I134))=0</formula>
    </cfRule>
  </conditionalFormatting>
  <conditionalFormatting sqref="I134">
    <cfRule type="containsBlanks" dxfId="650" priority="672">
      <formula>LEN(TRIM(I134))=0</formula>
    </cfRule>
  </conditionalFormatting>
  <conditionalFormatting sqref="I145">
    <cfRule type="containsBlanks" dxfId="649" priority="671">
      <formula>LEN(TRIM(I145))=0</formula>
    </cfRule>
  </conditionalFormatting>
  <conditionalFormatting sqref="I145">
    <cfRule type="containsBlanks" dxfId="648" priority="670">
      <formula>LEN(TRIM(I145))=0</formula>
    </cfRule>
  </conditionalFormatting>
  <conditionalFormatting sqref="I148">
    <cfRule type="containsBlanks" dxfId="647" priority="669">
      <formula>LEN(TRIM(I148))=0</formula>
    </cfRule>
  </conditionalFormatting>
  <conditionalFormatting sqref="I148">
    <cfRule type="containsBlanks" dxfId="646" priority="668">
      <formula>LEN(TRIM(I148))=0</formula>
    </cfRule>
  </conditionalFormatting>
  <conditionalFormatting sqref="I205:I206">
    <cfRule type="containsBlanks" dxfId="645" priority="667">
      <formula>LEN(TRIM(I205))=0</formula>
    </cfRule>
  </conditionalFormatting>
  <conditionalFormatting sqref="I205:I206">
    <cfRule type="containsBlanks" dxfId="644" priority="666">
      <formula>LEN(TRIM(I205))=0</formula>
    </cfRule>
  </conditionalFormatting>
  <conditionalFormatting sqref="I207:I209">
    <cfRule type="containsBlanks" dxfId="643" priority="665">
      <formula>LEN(TRIM(I207))=0</formula>
    </cfRule>
  </conditionalFormatting>
  <conditionalFormatting sqref="I207:I209">
    <cfRule type="containsBlanks" dxfId="642" priority="664">
      <formula>LEN(TRIM(I207))=0</formula>
    </cfRule>
  </conditionalFormatting>
  <conditionalFormatting sqref="I223:I224 I226:I227 I229 I231">
    <cfRule type="containsBlanks" dxfId="641" priority="663">
      <formula>LEN(TRIM(I223))=0</formula>
    </cfRule>
  </conditionalFormatting>
  <conditionalFormatting sqref="I260:I262">
    <cfRule type="containsBlanks" dxfId="640" priority="658">
      <formula>LEN(TRIM(I260))=0</formula>
    </cfRule>
  </conditionalFormatting>
  <conditionalFormatting sqref="I245:I247">
    <cfRule type="containsBlanks" dxfId="639" priority="661">
      <formula>LEN(TRIM(I245))=0</formula>
    </cfRule>
  </conditionalFormatting>
  <conditionalFormatting sqref="I245:I247">
    <cfRule type="containsBlanks" dxfId="638" priority="660">
      <formula>LEN(TRIM(I245))=0</formula>
    </cfRule>
  </conditionalFormatting>
  <conditionalFormatting sqref="I269:I270">
    <cfRule type="containsBlanks" dxfId="637" priority="657">
      <formula>LEN(TRIM(I269))=0</formula>
    </cfRule>
  </conditionalFormatting>
  <conditionalFormatting sqref="I269:I270">
    <cfRule type="containsBlanks" dxfId="636" priority="656">
      <formula>LEN(TRIM(I269))=0</formula>
    </cfRule>
  </conditionalFormatting>
  <conditionalFormatting sqref="I272">
    <cfRule type="containsBlanks" dxfId="635" priority="655">
      <formula>LEN(TRIM(I272))=0</formula>
    </cfRule>
  </conditionalFormatting>
  <conditionalFormatting sqref="I272">
    <cfRule type="containsBlanks" dxfId="634" priority="654">
      <formula>LEN(TRIM(I272))=0</formula>
    </cfRule>
  </conditionalFormatting>
  <conditionalFormatting sqref="I325:I326">
    <cfRule type="containsBlanks" dxfId="633" priority="653">
      <formula>LEN(TRIM(I325))=0</formula>
    </cfRule>
  </conditionalFormatting>
  <conditionalFormatting sqref="I325:I326">
    <cfRule type="containsBlanks" dxfId="632" priority="652">
      <formula>LEN(TRIM(I325))=0</formula>
    </cfRule>
  </conditionalFormatting>
  <conditionalFormatting sqref="I327">
    <cfRule type="containsBlanks" dxfId="631" priority="651">
      <formula>LEN(TRIM(I327))=0</formula>
    </cfRule>
  </conditionalFormatting>
  <conditionalFormatting sqref="I327">
    <cfRule type="containsBlanks" dxfId="630" priority="650">
      <formula>LEN(TRIM(I327))=0</formula>
    </cfRule>
  </conditionalFormatting>
  <conditionalFormatting sqref="I330:I331">
    <cfRule type="containsBlanks" dxfId="629" priority="649">
      <formula>LEN(TRIM(I330))=0</formula>
    </cfRule>
  </conditionalFormatting>
  <conditionalFormatting sqref="I330:I331">
    <cfRule type="containsBlanks" dxfId="628" priority="648">
      <formula>LEN(TRIM(I330))=0</formula>
    </cfRule>
  </conditionalFormatting>
  <conditionalFormatting sqref="I339:I340">
    <cfRule type="containsBlanks" dxfId="627" priority="647">
      <formula>LEN(TRIM(I339))=0</formula>
    </cfRule>
  </conditionalFormatting>
  <conditionalFormatting sqref="I339:I340">
    <cfRule type="containsBlanks" dxfId="626" priority="646">
      <formula>LEN(TRIM(I339))=0</formula>
    </cfRule>
  </conditionalFormatting>
  <conditionalFormatting sqref="I356">
    <cfRule type="containsBlanks" dxfId="625" priority="644">
      <formula>LEN(TRIM(I356))=0</formula>
    </cfRule>
  </conditionalFormatting>
  <conditionalFormatting sqref="I406">
    <cfRule type="containsBlanks" dxfId="624" priority="643">
      <formula>LEN(TRIM(I406))=0</formula>
    </cfRule>
  </conditionalFormatting>
  <conditionalFormatting sqref="I406">
    <cfRule type="containsBlanks" dxfId="623" priority="642">
      <formula>LEN(TRIM(I406))=0</formula>
    </cfRule>
  </conditionalFormatting>
  <conditionalFormatting sqref="I407:I409">
    <cfRule type="containsBlanks" dxfId="622" priority="641">
      <formula>LEN(TRIM(I407))=0</formula>
    </cfRule>
  </conditionalFormatting>
  <conditionalFormatting sqref="I407:I409">
    <cfRule type="containsBlanks" dxfId="621" priority="640">
      <formula>LEN(TRIM(I407))=0</formula>
    </cfRule>
  </conditionalFormatting>
  <conditionalFormatting sqref="I492:I493">
    <cfRule type="containsBlanks" dxfId="620" priority="639">
      <formula>LEN(TRIM(I492))=0</formula>
    </cfRule>
  </conditionalFormatting>
  <conditionalFormatting sqref="I492:I493">
    <cfRule type="containsBlanks" dxfId="619" priority="638">
      <formula>LEN(TRIM(I492))=0</formula>
    </cfRule>
  </conditionalFormatting>
  <conditionalFormatting sqref="I502">
    <cfRule type="containsBlanks" dxfId="618" priority="637">
      <formula>LEN(TRIM(I502))=0</formula>
    </cfRule>
  </conditionalFormatting>
  <conditionalFormatting sqref="I505">
    <cfRule type="containsBlanks" dxfId="617" priority="636">
      <formula>LEN(TRIM(I505))=0</formula>
    </cfRule>
  </conditionalFormatting>
  <conditionalFormatting sqref="I509:I511">
    <cfRule type="containsBlanks" dxfId="616" priority="635">
      <formula>LEN(TRIM(I509))=0</formula>
    </cfRule>
  </conditionalFormatting>
  <conditionalFormatting sqref="I39">
    <cfRule type="containsBlanks" dxfId="615" priority="634">
      <formula>LEN(TRIM(I39))=0</formula>
    </cfRule>
  </conditionalFormatting>
  <conditionalFormatting sqref="I157">
    <cfRule type="containsBlanks" dxfId="614" priority="633">
      <formula>LEN(TRIM(I157))=0</formula>
    </cfRule>
  </conditionalFormatting>
  <conditionalFormatting sqref="I157">
    <cfRule type="containsBlanks" dxfId="613" priority="632">
      <formula>LEN(TRIM(I157))=0</formula>
    </cfRule>
  </conditionalFormatting>
  <conditionalFormatting sqref="I157">
    <cfRule type="containsBlanks" dxfId="612" priority="631">
      <formula>LEN(TRIM(I157))=0</formula>
    </cfRule>
  </conditionalFormatting>
  <conditionalFormatting sqref="I157">
    <cfRule type="containsBlanks" dxfId="611" priority="629">
      <formula>LEN(TRIM(I157))=0</formula>
    </cfRule>
  </conditionalFormatting>
  <conditionalFormatting sqref="I157">
    <cfRule type="containsBlanks" dxfId="610" priority="630">
      <formula>LEN(TRIM(I157))=0</formula>
    </cfRule>
  </conditionalFormatting>
  <conditionalFormatting sqref="I64">
    <cfRule type="containsBlanks" dxfId="609" priority="628">
      <formula>LEN(TRIM(I64))=0</formula>
    </cfRule>
  </conditionalFormatting>
  <conditionalFormatting sqref="I64">
    <cfRule type="containsBlanks" dxfId="608" priority="627">
      <formula>LEN(TRIM(I64))=0</formula>
    </cfRule>
  </conditionalFormatting>
  <conditionalFormatting sqref="I64">
    <cfRule type="containsBlanks" dxfId="607" priority="626">
      <formula>LEN(TRIM(I64))=0</formula>
    </cfRule>
  </conditionalFormatting>
  <conditionalFormatting sqref="I68">
    <cfRule type="containsBlanks" dxfId="606" priority="625">
      <formula>LEN(TRIM(I68))=0</formula>
    </cfRule>
  </conditionalFormatting>
  <conditionalFormatting sqref="I128:I130">
    <cfRule type="containsBlanks" dxfId="605" priority="624">
      <formula>LEN(TRIM(I128))=0</formula>
    </cfRule>
  </conditionalFormatting>
  <conditionalFormatting sqref="I138:I140">
    <cfRule type="containsBlanks" dxfId="604" priority="623">
      <formula>LEN(TRIM(I138))=0</formula>
    </cfRule>
  </conditionalFormatting>
  <conditionalFormatting sqref="I138:I140">
    <cfRule type="containsBlanks" dxfId="603" priority="622">
      <formula>LEN(TRIM(I138))=0</formula>
    </cfRule>
  </conditionalFormatting>
  <conditionalFormatting sqref="I138:I140">
    <cfRule type="containsBlanks" dxfId="602" priority="621">
      <formula>LEN(TRIM(I138))=0</formula>
    </cfRule>
  </conditionalFormatting>
  <conditionalFormatting sqref="I158:I160">
    <cfRule type="containsBlanks" dxfId="601" priority="620">
      <formula>LEN(TRIM(I158))=0</formula>
    </cfRule>
  </conditionalFormatting>
  <conditionalFormatting sqref="I158:I160">
    <cfRule type="containsBlanks" dxfId="600" priority="619">
      <formula>LEN(TRIM(I158))=0</formula>
    </cfRule>
  </conditionalFormatting>
  <conditionalFormatting sqref="I158:I160">
    <cfRule type="containsBlanks" dxfId="599" priority="617">
      <formula>LEN(TRIM(I158))=0</formula>
    </cfRule>
  </conditionalFormatting>
  <conditionalFormatting sqref="I263:I265">
    <cfRule type="containsBlanks" dxfId="598" priority="616">
      <formula>LEN(TRIM(I263))=0</formula>
    </cfRule>
  </conditionalFormatting>
  <conditionalFormatting sqref="I263:I265">
    <cfRule type="containsBlanks" dxfId="597" priority="615">
      <formula>LEN(TRIM(I263))=0</formula>
    </cfRule>
  </conditionalFormatting>
  <conditionalFormatting sqref="I263:I265">
    <cfRule type="containsBlanks" dxfId="596" priority="614">
      <formula>LEN(TRIM(I263))=0</formula>
    </cfRule>
  </conditionalFormatting>
  <conditionalFormatting sqref="I293:I294">
    <cfRule type="containsBlanks" dxfId="595" priority="613">
      <formula>LEN(TRIM(I293))=0</formula>
    </cfRule>
  </conditionalFormatting>
  <conditionalFormatting sqref="I301:I302">
    <cfRule type="containsBlanks" dxfId="594" priority="612">
      <formula>LEN(TRIM(I301))=0</formula>
    </cfRule>
  </conditionalFormatting>
  <conditionalFormatting sqref="I301:I302">
    <cfRule type="containsBlanks" dxfId="593" priority="611">
      <formula>LEN(TRIM(I301))=0</formula>
    </cfRule>
  </conditionalFormatting>
  <conditionalFormatting sqref="I301:I302">
    <cfRule type="containsBlanks" dxfId="592" priority="610">
      <formula>LEN(TRIM(I301))=0</formula>
    </cfRule>
  </conditionalFormatting>
  <conditionalFormatting sqref="I312">
    <cfRule type="containsBlanks" dxfId="591" priority="609">
      <formula>LEN(TRIM(I312))=0</formula>
    </cfRule>
  </conditionalFormatting>
  <conditionalFormatting sqref="I313">
    <cfRule type="containsBlanks" dxfId="590" priority="608">
      <formula>LEN(TRIM(I313))=0</formula>
    </cfRule>
  </conditionalFormatting>
  <conditionalFormatting sqref="I314:I322 I324">
    <cfRule type="containsBlanks" dxfId="589" priority="607">
      <formula>LEN(TRIM(I314))=0</formula>
    </cfRule>
  </conditionalFormatting>
  <conditionalFormatting sqref="I422">
    <cfRule type="containsBlanks" dxfId="588" priority="606">
      <formula>LEN(TRIM(I422))=0</formula>
    </cfRule>
  </conditionalFormatting>
  <conditionalFormatting sqref="I422">
    <cfRule type="containsBlanks" dxfId="587" priority="605">
      <formula>LEN(TRIM(I422))=0</formula>
    </cfRule>
  </conditionalFormatting>
  <conditionalFormatting sqref="I422">
    <cfRule type="containsBlanks" dxfId="586" priority="604">
      <formula>LEN(TRIM(I422))=0</formula>
    </cfRule>
  </conditionalFormatting>
  <conditionalFormatting sqref="I422">
    <cfRule type="containsBlanks" dxfId="585" priority="603">
      <formula>LEN(TRIM(I422))=0</formula>
    </cfRule>
  </conditionalFormatting>
  <conditionalFormatting sqref="I422">
    <cfRule type="containsBlanks" dxfId="584" priority="602">
      <formula>LEN(TRIM(I422))=0</formula>
    </cfRule>
  </conditionalFormatting>
  <conditionalFormatting sqref="I344:I345">
    <cfRule type="containsBlanks" dxfId="583" priority="601">
      <formula>LEN(TRIM(I344))=0</formula>
    </cfRule>
  </conditionalFormatting>
  <conditionalFormatting sqref="I344:I345">
    <cfRule type="containsBlanks" dxfId="582" priority="600">
      <formula>LEN(TRIM(I344))=0</formula>
    </cfRule>
  </conditionalFormatting>
  <conditionalFormatting sqref="I344:I345">
    <cfRule type="containsBlanks" dxfId="581" priority="599">
      <formula>LEN(TRIM(I344))=0</formula>
    </cfRule>
  </conditionalFormatting>
  <conditionalFormatting sqref="I403">
    <cfRule type="containsBlanks" dxfId="580" priority="598">
      <formula>LEN(TRIM(I403))=0</formula>
    </cfRule>
  </conditionalFormatting>
  <conditionalFormatting sqref="K334:K338">
    <cfRule type="containsBlanks" dxfId="579" priority="544">
      <formula>LEN(TRIM(K334))=0</formula>
    </cfRule>
  </conditionalFormatting>
  <conditionalFormatting sqref="I423">
    <cfRule type="containsBlanks" dxfId="578" priority="597">
      <formula>LEN(TRIM(I423))=0</formula>
    </cfRule>
  </conditionalFormatting>
  <conditionalFormatting sqref="I423">
    <cfRule type="containsBlanks" dxfId="577" priority="595">
      <formula>LEN(TRIM(I423))=0</formula>
    </cfRule>
  </conditionalFormatting>
  <conditionalFormatting sqref="I423">
    <cfRule type="containsBlanks" dxfId="576" priority="596">
      <formula>LEN(TRIM(I423))=0</formula>
    </cfRule>
  </conditionalFormatting>
  <conditionalFormatting sqref="I539:I545">
    <cfRule type="containsBlanks" dxfId="575" priority="594">
      <formula>LEN(TRIM(I539))=0</formula>
    </cfRule>
  </conditionalFormatting>
  <conditionalFormatting sqref="I539">
    <cfRule type="containsBlanks" dxfId="574" priority="593">
      <formula>LEN(TRIM(I539))=0</formula>
    </cfRule>
  </conditionalFormatting>
  <conditionalFormatting sqref="I539">
    <cfRule type="containsBlanks" dxfId="573" priority="592">
      <formula>LEN(TRIM(I539))=0</formula>
    </cfRule>
  </conditionalFormatting>
  <conditionalFormatting sqref="I540:I545">
    <cfRule type="containsBlanks" dxfId="572" priority="591">
      <formula>LEN(TRIM(I540))=0</formula>
    </cfRule>
  </conditionalFormatting>
  <conditionalFormatting sqref="I540:I545">
    <cfRule type="containsBlanks" dxfId="571" priority="590">
      <formula>LEN(TRIM(I540))=0</formula>
    </cfRule>
  </conditionalFormatting>
  <conditionalFormatting sqref="I627">
    <cfRule type="containsBlanks" dxfId="570" priority="589">
      <formula>LEN(TRIM(I627))=0</formula>
    </cfRule>
  </conditionalFormatting>
  <conditionalFormatting sqref="I627">
    <cfRule type="containsBlanks" dxfId="569" priority="588">
      <formula>LEN(TRIM(I627))=0</formula>
    </cfRule>
  </conditionalFormatting>
  <conditionalFormatting sqref="I626">
    <cfRule type="containsBlanks" dxfId="568" priority="587">
      <formula>LEN(TRIM(I626))=0</formula>
    </cfRule>
  </conditionalFormatting>
  <conditionalFormatting sqref="I626">
    <cfRule type="containsBlanks" dxfId="567" priority="586">
      <formula>LEN(TRIM(I626))=0</formula>
    </cfRule>
  </conditionalFormatting>
  <conditionalFormatting sqref="I626">
    <cfRule type="containsBlanks" dxfId="566" priority="585">
      <formula>LEN(TRIM(I626))=0</formula>
    </cfRule>
  </conditionalFormatting>
  <conditionalFormatting sqref="I628">
    <cfRule type="containsBlanks" dxfId="565" priority="584">
      <formula>LEN(TRIM(I628))=0</formula>
    </cfRule>
  </conditionalFormatting>
  <conditionalFormatting sqref="I628">
    <cfRule type="containsBlanks" dxfId="564" priority="583">
      <formula>LEN(TRIM(I628))=0</formula>
    </cfRule>
  </conditionalFormatting>
  <conditionalFormatting sqref="I628">
    <cfRule type="containsBlanks" dxfId="563" priority="582">
      <formula>LEN(TRIM(I628))=0</formula>
    </cfRule>
  </conditionalFormatting>
  <conditionalFormatting sqref="K334:K340 K347 K356 K364 K399 K384:K393 K433:K459 K131:K136 K311 K413:K417 K376:K377 K325:K327 K69:K85 K141:K146 K266:K272 K420:K421 K295:K299 K429:K431 K546:K561 K520 K274:K289 K529:K532 K534:K538 K87:K88">
    <cfRule type="containsBlanks" dxfId="562" priority="581">
      <formula>LEN(TRIM(K69))=0</formula>
    </cfRule>
  </conditionalFormatting>
  <conditionalFormatting sqref="K417 K420:K421">
    <cfRule type="containsBlanks" dxfId="561" priority="580">
      <formula>LEN(TRIM(K417))=0</formula>
    </cfRule>
  </conditionalFormatting>
  <conditionalFormatting sqref="K20:K30 K52:K53 K503:K504 K57 K63 K135:K136 K155 K239 K259 K266:K268 K416:K417 K524 K559 K582:K590 K592:K593 K305 K420:K421 K527 K536 K561 K529:K532">
    <cfRule type="containsBlanks" dxfId="560" priority="579">
      <formula>LEN(TRIM(K20))=0</formula>
    </cfRule>
  </conditionalFormatting>
  <conditionalFormatting sqref="K512:K513 K520">
    <cfRule type="containsBlanks" dxfId="559" priority="560">
      <formula>LEN(TRIM(K512))=0</formula>
    </cfRule>
  </conditionalFormatting>
  <conditionalFormatting sqref="K512:K513 K520">
    <cfRule type="containsBlanks" dxfId="558" priority="559">
      <formula>LEN(TRIM(K512))=0</formula>
    </cfRule>
  </conditionalFormatting>
  <conditionalFormatting sqref="K597 K594:K595">
    <cfRule type="containsBlanks" dxfId="557" priority="556">
      <formula>LEN(TRIM(K594))=0</formula>
    </cfRule>
  </conditionalFormatting>
  <conditionalFormatting sqref="K597 K594:K595">
    <cfRule type="containsBlanks" dxfId="556" priority="555">
      <formula>LEN(TRIM(K594))=0</formula>
    </cfRule>
  </conditionalFormatting>
  <conditionalFormatting sqref="K591">
    <cfRule type="containsBlanks" dxfId="555" priority="558">
      <formula>LEN(TRIM(K591))=0</formula>
    </cfRule>
  </conditionalFormatting>
  <conditionalFormatting sqref="K591">
    <cfRule type="containsBlanks" dxfId="554" priority="557">
      <formula>LEN(TRIM(K591))=0</formula>
    </cfRule>
  </conditionalFormatting>
  <conditionalFormatting sqref="K42">
    <cfRule type="containsBlanks" dxfId="553" priority="578">
      <formula>LEN(TRIM(K42))=0</formula>
    </cfRule>
  </conditionalFormatting>
  <conditionalFormatting sqref="K42">
    <cfRule type="containsBlanks" dxfId="552" priority="577">
      <formula>LEN(TRIM(K42))=0</formula>
    </cfRule>
  </conditionalFormatting>
  <conditionalFormatting sqref="K75:K80">
    <cfRule type="containsBlanks" dxfId="551" priority="571">
      <formula>LEN(TRIM(K75))=0</formula>
    </cfRule>
  </conditionalFormatting>
  <conditionalFormatting sqref="K105:K106">
    <cfRule type="containsBlanks" dxfId="550" priority="570">
      <formula>LEN(TRIM(K105))=0</formula>
    </cfRule>
  </conditionalFormatting>
  <conditionalFormatting sqref="K58:K60">
    <cfRule type="containsBlanks" dxfId="549" priority="576">
      <formula>LEN(TRIM(K58))=0</formula>
    </cfRule>
  </conditionalFormatting>
  <conditionalFormatting sqref="K65">
    <cfRule type="containsBlanks" dxfId="548" priority="574">
      <formula>LEN(TRIM(K65))=0</formula>
    </cfRule>
  </conditionalFormatting>
  <conditionalFormatting sqref="K65">
    <cfRule type="containsBlanks" dxfId="547" priority="573">
      <formula>LEN(TRIM(K65))=0</formula>
    </cfRule>
  </conditionalFormatting>
  <conditionalFormatting sqref="K271">
    <cfRule type="containsBlanks" dxfId="546" priority="562">
      <formula>LEN(TRIM(K271))=0</formula>
    </cfRule>
  </conditionalFormatting>
  <conditionalFormatting sqref="K75:K80">
    <cfRule type="containsBlanks" dxfId="545" priority="572">
      <formula>LEN(TRIM(K75))=0</formula>
    </cfRule>
  </conditionalFormatting>
  <conditionalFormatting sqref="K105:K106">
    <cfRule type="containsBlanks" dxfId="544" priority="569">
      <formula>LEN(TRIM(K105))=0</formula>
    </cfRule>
  </conditionalFormatting>
  <conditionalFormatting sqref="K147">
    <cfRule type="containsBlanks" dxfId="543" priority="568">
      <formula>LEN(TRIM(K147))=0</formula>
    </cfRule>
  </conditionalFormatting>
  <conditionalFormatting sqref="K58:K60">
    <cfRule type="containsBlanks" dxfId="542" priority="575">
      <formula>LEN(TRIM(K58))=0</formula>
    </cfRule>
  </conditionalFormatting>
  <conditionalFormatting sqref="K203:K204">
    <cfRule type="containsBlanks" dxfId="541" priority="563">
      <formula>LEN(TRIM(K203))=0</formula>
    </cfRule>
  </conditionalFormatting>
  <conditionalFormatting sqref="K203:K204">
    <cfRule type="containsBlanks" dxfId="540" priority="564">
      <formula>LEN(TRIM(K203))=0</formula>
    </cfRule>
  </conditionalFormatting>
  <conditionalFormatting sqref="K147">
    <cfRule type="containsBlanks" dxfId="539" priority="567">
      <formula>LEN(TRIM(K147))=0</formula>
    </cfRule>
  </conditionalFormatting>
  <conditionalFormatting sqref="K150:K154">
    <cfRule type="containsBlanks" dxfId="538" priority="566">
      <formula>LEN(TRIM(K150))=0</formula>
    </cfRule>
  </conditionalFormatting>
  <conditionalFormatting sqref="K150:K154">
    <cfRule type="containsBlanks" dxfId="537" priority="565">
      <formula>LEN(TRIM(K150))=0</formula>
    </cfRule>
  </conditionalFormatting>
  <conditionalFormatting sqref="K596">
    <cfRule type="containsBlanks" dxfId="536" priority="554">
      <formula>LEN(TRIM(K596))=0</formula>
    </cfRule>
  </conditionalFormatting>
  <conditionalFormatting sqref="K596">
    <cfRule type="containsBlanks" dxfId="535" priority="553">
      <formula>LEN(TRIM(K596))=0</formula>
    </cfRule>
  </conditionalFormatting>
  <conditionalFormatting sqref="K69:K72 K147">
    <cfRule type="containsBlanks" dxfId="534" priority="552">
      <formula>LEN(TRIM(K69))=0</formula>
    </cfRule>
  </conditionalFormatting>
  <conditionalFormatting sqref="K603 K600">
    <cfRule type="containsBlanks" dxfId="533" priority="551">
      <formula>LEN(TRIM(K600))=0</formula>
    </cfRule>
  </conditionalFormatting>
  <conditionalFormatting sqref="K347">
    <cfRule type="containsBlanks" dxfId="532" priority="542">
      <formula>LEN(TRIM(K347))=0</formula>
    </cfRule>
  </conditionalFormatting>
  <conditionalFormatting sqref="K232:K238">
    <cfRule type="containsBlanks" dxfId="531" priority="550">
      <formula>LEN(TRIM(K232))=0</formula>
    </cfRule>
  </conditionalFormatting>
  <conditionalFormatting sqref="K232:K238">
    <cfRule type="containsBlanks" dxfId="530" priority="549">
      <formula>LEN(TRIM(K232))=0</formula>
    </cfRule>
  </conditionalFormatting>
  <conditionalFormatting sqref="K248:K255">
    <cfRule type="containsBlanks" dxfId="529" priority="547">
      <formula>LEN(TRIM(K248))=0</formula>
    </cfRule>
  </conditionalFormatting>
  <conditionalFormatting sqref="K274:K289">
    <cfRule type="containsBlanks" dxfId="528" priority="546">
      <formula>LEN(TRIM(K274))=0</formula>
    </cfRule>
  </conditionalFormatting>
  <conditionalFormatting sqref="K274:K289">
    <cfRule type="containsBlanks" dxfId="527" priority="545">
      <formula>LEN(TRIM(K274))=0</formula>
    </cfRule>
  </conditionalFormatting>
  <conditionalFormatting sqref="K334:K338">
    <cfRule type="containsBlanks" dxfId="526" priority="543">
      <formula>LEN(TRIM(K334))=0</formula>
    </cfRule>
  </conditionalFormatting>
  <conditionalFormatting sqref="K347">
    <cfRule type="containsBlanks" dxfId="525" priority="541">
      <formula>LEN(TRIM(K347))=0</formula>
    </cfRule>
  </conditionalFormatting>
  <conditionalFormatting sqref="K364 K376:K377">
    <cfRule type="containsBlanks" dxfId="524" priority="540">
      <formula>LEN(TRIM(K364))=0</formula>
    </cfRule>
  </conditionalFormatting>
  <conditionalFormatting sqref="K364 K376:K377">
    <cfRule type="containsBlanks" dxfId="523" priority="539">
      <formula>LEN(TRIM(K364))=0</formula>
    </cfRule>
  </conditionalFormatting>
  <conditionalFormatting sqref="K384:K393 K399">
    <cfRule type="containsBlanks" dxfId="522" priority="538">
      <formula>LEN(TRIM(K384))=0</formula>
    </cfRule>
  </conditionalFormatting>
  <conditionalFormatting sqref="K384:K393 K399">
    <cfRule type="containsBlanks" dxfId="521" priority="537">
      <formula>LEN(TRIM(K384))=0</formula>
    </cfRule>
  </conditionalFormatting>
  <conditionalFormatting sqref="K413:K415">
    <cfRule type="containsBlanks" dxfId="520" priority="536">
      <formula>LEN(TRIM(K413))=0</formula>
    </cfRule>
  </conditionalFormatting>
  <conditionalFormatting sqref="K514">
    <cfRule type="containsBlanks" dxfId="519" priority="534">
      <formula>LEN(TRIM(K514))=0</formula>
    </cfRule>
  </conditionalFormatting>
  <conditionalFormatting sqref="K514">
    <cfRule type="containsBlanks" dxfId="518" priority="535">
      <formula>LEN(TRIM(K514))=0</formula>
    </cfRule>
  </conditionalFormatting>
  <conditionalFormatting sqref="K515">
    <cfRule type="containsBlanks" dxfId="517" priority="532">
      <formula>LEN(TRIM(K515))=0</formula>
    </cfRule>
  </conditionalFormatting>
  <conditionalFormatting sqref="K515">
    <cfRule type="containsBlanks" dxfId="516" priority="533">
      <formula>LEN(TRIM(K515))=0</formula>
    </cfRule>
  </conditionalFormatting>
  <conditionalFormatting sqref="K81:K82">
    <cfRule type="containsBlanks" dxfId="515" priority="530">
      <formula>LEN(TRIM(K81))=0</formula>
    </cfRule>
  </conditionalFormatting>
  <conditionalFormatting sqref="K81:K82">
    <cfRule type="containsBlanks" dxfId="514" priority="531">
      <formula>LEN(TRIM(K81))=0</formula>
    </cfRule>
  </conditionalFormatting>
  <conditionalFormatting sqref="K137">
    <cfRule type="containsBlanks" dxfId="513" priority="528">
      <formula>LEN(TRIM(K137))=0</formula>
    </cfRule>
  </conditionalFormatting>
  <conditionalFormatting sqref="K137">
    <cfRule type="containsBlanks" dxfId="512" priority="527">
      <formula>LEN(TRIM(K137))=0</formula>
    </cfRule>
  </conditionalFormatting>
  <conditionalFormatting sqref="K144">
    <cfRule type="containsBlanks" dxfId="511" priority="526">
      <formula>LEN(TRIM(K144))=0</formula>
    </cfRule>
  </conditionalFormatting>
  <conditionalFormatting sqref="K144">
    <cfRule type="containsBlanks" dxfId="510" priority="525">
      <formula>LEN(TRIM(K144))=0</formula>
    </cfRule>
  </conditionalFormatting>
  <conditionalFormatting sqref="K146">
    <cfRule type="containsBlanks" dxfId="509" priority="524">
      <formula>LEN(TRIM(K146))=0</formula>
    </cfRule>
  </conditionalFormatting>
  <conditionalFormatting sqref="K146">
    <cfRule type="containsBlanks" dxfId="508" priority="523">
      <formula>LEN(TRIM(K146))=0</formula>
    </cfRule>
  </conditionalFormatting>
  <conditionalFormatting sqref="K149">
    <cfRule type="containsBlanks" dxfId="507" priority="522">
      <formula>LEN(TRIM(K149))=0</formula>
    </cfRule>
  </conditionalFormatting>
  <conditionalFormatting sqref="K560">
    <cfRule type="containsBlanks" dxfId="506" priority="520">
      <formula>LEN(TRIM(K560))=0</formula>
    </cfRule>
  </conditionalFormatting>
  <conditionalFormatting sqref="K560">
    <cfRule type="containsBlanks" dxfId="505" priority="519">
      <formula>LEN(TRIM(K560))=0</formula>
    </cfRule>
  </conditionalFormatting>
  <conditionalFormatting sqref="K51">
    <cfRule type="containsBlanks" dxfId="504" priority="518">
      <formula>LEN(TRIM(K51))=0</formula>
    </cfRule>
  </conditionalFormatting>
  <conditionalFormatting sqref="K51">
    <cfRule type="containsBlanks" dxfId="503" priority="517">
      <formula>LEN(TRIM(K51))=0</formula>
    </cfRule>
  </conditionalFormatting>
  <conditionalFormatting sqref="K61">
    <cfRule type="containsBlanks" dxfId="502" priority="516">
      <formula>LEN(TRIM(K61))=0</formula>
    </cfRule>
  </conditionalFormatting>
  <conditionalFormatting sqref="K61">
    <cfRule type="containsBlanks" dxfId="501" priority="515">
      <formula>LEN(TRIM(K61))=0</formula>
    </cfRule>
  </conditionalFormatting>
  <conditionalFormatting sqref="K73:K74">
    <cfRule type="containsBlanks" dxfId="500" priority="514">
      <formula>LEN(TRIM(K73))=0</formula>
    </cfRule>
  </conditionalFormatting>
  <conditionalFormatting sqref="K74">
    <cfRule type="containsBlanks" dxfId="499" priority="512">
      <formula>LEN(TRIM(K74))=0</formula>
    </cfRule>
  </conditionalFormatting>
  <conditionalFormatting sqref="K73:K74">
    <cfRule type="containsBlanks" dxfId="498" priority="513">
      <formula>LEN(TRIM(K73))=0</formula>
    </cfRule>
  </conditionalFormatting>
  <conditionalFormatting sqref="K88">
    <cfRule type="containsBlanks" dxfId="497" priority="511">
      <formula>LEN(TRIM(K88))=0</formula>
    </cfRule>
  </conditionalFormatting>
  <conditionalFormatting sqref="K88">
    <cfRule type="containsBlanks" dxfId="496" priority="510">
      <formula>LEN(TRIM(K88))=0</formula>
    </cfRule>
  </conditionalFormatting>
  <conditionalFormatting sqref="K133">
    <cfRule type="containsBlanks" dxfId="495" priority="507">
      <formula>LEN(TRIM(K133))=0</formula>
    </cfRule>
  </conditionalFormatting>
  <conditionalFormatting sqref="K133">
    <cfRule type="containsBlanks" dxfId="494" priority="506">
      <formula>LEN(TRIM(K133))=0</formula>
    </cfRule>
  </conditionalFormatting>
  <conditionalFormatting sqref="K107">
    <cfRule type="containsBlanks" dxfId="493" priority="509">
      <formula>LEN(TRIM(K107))=0</formula>
    </cfRule>
  </conditionalFormatting>
  <conditionalFormatting sqref="K107">
    <cfRule type="containsBlanks" dxfId="492" priority="508">
      <formula>LEN(TRIM(K107))=0</formula>
    </cfRule>
  </conditionalFormatting>
  <conditionalFormatting sqref="K134">
    <cfRule type="containsBlanks" dxfId="491" priority="505">
      <formula>LEN(TRIM(K134))=0</formula>
    </cfRule>
  </conditionalFormatting>
  <conditionalFormatting sqref="K134">
    <cfRule type="containsBlanks" dxfId="490" priority="504">
      <formula>LEN(TRIM(K134))=0</formula>
    </cfRule>
  </conditionalFormatting>
  <conditionalFormatting sqref="K145">
    <cfRule type="containsBlanks" dxfId="489" priority="503">
      <formula>LEN(TRIM(K145))=0</formula>
    </cfRule>
  </conditionalFormatting>
  <conditionalFormatting sqref="K145">
    <cfRule type="containsBlanks" dxfId="488" priority="502">
      <formula>LEN(TRIM(K145))=0</formula>
    </cfRule>
  </conditionalFormatting>
  <conditionalFormatting sqref="K148">
    <cfRule type="containsBlanks" dxfId="487" priority="501">
      <formula>LEN(TRIM(K148))=0</formula>
    </cfRule>
  </conditionalFormatting>
  <conditionalFormatting sqref="K205:K206">
    <cfRule type="containsBlanks" dxfId="486" priority="499">
      <formula>LEN(TRIM(K205))=0</formula>
    </cfRule>
  </conditionalFormatting>
  <conditionalFormatting sqref="K205:K206">
    <cfRule type="containsBlanks" dxfId="485" priority="498">
      <formula>LEN(TRIM(K205))=0</formula>
    </cfRule>
  </conditionalFormatting>
  <conditionalFormatting sqref="K207:K209">
    <cfRule type="containsBlanks" dxfId="484" priority="497">
      <formula>LEN(TRIM(K207))=0</formula>
    </cfRule>
  </conditionalFormatting>
  <conditionalFormatting sqref="K207:K209">
    <cfRule type="containsBlanks" dxfId="483" priority="496">
      <formula>LEN(TRIM(K207))=0</formula>
    </cfRule>
  </conditionalFormatting>
  <conditionalFormatting sqref="K223:K224 K226:K227 K229 K231">
    <cfRule type="containsBlanks" dxfId="482" priority="495">
      <formula>LEN(TRIM(K223))=0</formula>
    </cfRule>
  </conditionalFormatting>
  <conditionalFormatting sqref="K223:K224 K226:K227 K229 K231">
    <cfRule type="containsBlanks" dxfId="481" priority="494">
      <formula>LEN(TRIM(K223))=0</formula>
    </cfRule>
  </conditionalFormatting>
  <conditionalFormatting sqref="K260:K262">
    <cfRule type="containsBlanks" dxfId="480" priority="491">
      <formula>LEN(TRIM(K260))=0</formula>
    </cfRule>
  </conditionalFormatting>
  <conditionalFormatting sqref="K260:K262">
    <cfRule type="containsBlanks" dxfId="479" priority="490">
      <formula>LEN(TRIM(K260))=0</formula>
    </cfRule>
  </conditionalFormatting>
  <conditionalFormatting sqref="K245:K247">
    <cfRule type="containsBlanks" dxfId="478" priority="493">
      <formula>LEN(TRIM(K245))=0</formula>
    </cfRule>
  </conditionalFormatting>
  <conditionalFormatting sqref="K245:K247">
    <cfRule type="containsBlanks" dxfId="477" priority="492">
      <formula>LEN(TRIM(K245))=0</formula>
    </cfRule>
  </conditionalFormatting>
  <conditionalFormatting sqref="K269:K270">
    <cfRule type="containsBlanks" dxfId="476" priority="489">
      <formula>LEN(TRIM(K269))=0</formula>
    </cfRule>
  </conditionalFormatting>
  <conditionalFormatting sqref="K269:K270">
    <cfRule type="containsBlanks" dxfId="475" priority="488">
      <formula>LEN(TRIM(K269))=0</formula>
    </cfRule>
  </conditionalFormatting>
  <conditionalFormatting sqref="K272">
    <cfRule type="containsBlanks" dxfId="474" priority="487">
      <formula>LEN(TRIM(K272))=0</formula>
    </cfRule>
  </conditionalFormatting>
  <conditionalFormatting sqref="K272">
    <cfRule type="containsBlanks" dxfId="473" priority="486">
      <formula>LEN(TRIM(K272))=0</formula>
    </cfRule>
  </conditionalFormatting>
  <conditionalFormatting sqref="K325:K326">
    <cfRule type="containsBlanks" dxfId="472" priority="485">
      <formula>LEN(TRIM(K325))=0</formula>
    </cfRule>
  </conditionalFormatting>
  <conditionalFormatting sqref="K325:K326">
    <cfRule type="containsBlanks" dxfId="471" priority="484">
      <formula>LEN(TRIM(K325))=0</formula>
    </cfRule>
  </conditionalFormatting>
  <conditionalFormatting sqref="K327">
    <cfRule type="containsBlanks" dxfId="470" priority="483">
      <formula>LEN(TRIM(K327))=0</formula>
    </cfRule>
  </conditionalFormatting>
  <conditionalFormatting sqref="K327">
    <cfRule type="containsBlanks" dxfId="469" priority="482">
      <formula>LEN(TRIM(K327))=0</formula>
    </cfRule>
  </conditionalFormatting>
  <conditionalFormatting sqref="K330:K331">
    <cfRule type="containsBlanks" dxfId="468" priority="480">
      <formula>LEN(TRIM(K330))=0</formula>
    </cfRule>
  </conditionalFormatting>
  <conditionalFormatting sqref="K339:K340">
    <cfRule type="containsBlanks" dxfId="467" priority="479">
      <formula>LEN(TRIM(K339))=0</formula>
    </cfRule>
  </conditionalFormatting>
  <conditionalFormatting sqref="K339:K340">
    <cfRule type="containsBlanks" dxfId="466" priority="478">
      <formula>LEN(TRIM(K339))=0</formula>
    </cfRule>
  </conditionalFormatting>
  <conditionalFormatting sqref="K356">
    <cfRule type="containsBlanks" dxfId="465" priority="477">
      <formula>LEN(TRIM(K356))=0</formula>
    </cfRule>
  </conditionalFormatting>
  <conditionalFormatting sqref="K356">
    <cfRule type="containsBlanks" dxfId="464" priority="476">
      <formula>LEN(TRIM(K356))=0</formula>
    </cfRule>
  </conditionalFormatting>
  <conditionalFormatting sqref="K406">
    <cfRule type="containsBlanks" dxfId="463" priority="475">
      <formula>LEN(TRIM(K406))=0</formula>
    </cfRule>
  </conditionalFormatting>
  <conditionalFormatting sqref="K406">
    <cfRule type="containsBlanks" dxfId="462" priority="474">
      <formula>LEN(TRIM(K406))=0</formula>
    </cfRule>
  </conditionalFormatting>
  <conditionalFormatting sqref="K407:K409">
    <cfRule type="containsBlanks" dxfId="461" priority="472">
      <formula>LEN(TRIM(K407))=0</formula>
    </cfRule>
  </conditionalFormatting>
  <conditionalFormatting sqref="K492:K493">
    <cfRule type="containsBlanks" dxfId="460" priority="471">
      <formula>LEN(TRIM(K492))=0</formula>
    </cfRule>
  </conditionalFormatting>
  <conditionalFormatting sqref="K492:K493">
    <cfRule type="containsBlanks" dxfId="459" priority="470">
      <formula>LEN(TRIM(K492))=0</formula>
    </cfRule>
  </conditionalFormatting>
  <conditionalFormatting sqref="K502">
    <cfRule type="containsBlanks" dxfId="458" priority="469">
      <formula>LEN(TRIM(K502))=0</formula>
    </cfRule>
  </conditionalFormatting>
  <conditionalFormatting sqref="K505">
    <cfRule type="containsBlanks" dxfId="457" priority="468">
      <formula>LEN(TRIM(K505))=0</formula>
    </cfRule>
  </conditionalFormatting>
  <conditionalFormatting sqref="K509:K511">
    <cfRule type="containsBlanks" dxfId="456" priority="467">
      <formula>LEN(TRIM(K509))=0</formula>
    </cfRule>
  </conditionalFormatting>
  <conditionalFormatting sqref="K508">
    <cfRule type="containsBlanks" dxfId="455" priority="466">
      <formula>LEN(TRIM(K508))=0</formula>
    </cfRule>
  </conditionalFormatting>
  <conditionalFormatting sqref="K508">
    <cfRule type="containsBlanks" dxfId="454" priority="465">
      <formula>LEN(TRIM(K508))=0</formula>
    </cfRule>
  </conditionalFormatting>
  <conditionalFormatting sqref="K508">
    <cfRule type="containsBlanks" dxfId="453" priority="464">
      <formula>LEN(TRIM(K508))=0</formula>
    </cfRule>
  </conditionalFormatting>
  <conditionalFormatting sqref="K39">
    <cfRule type="containsBlanks" dxfId="452" priority="463">
      <formula>LEN(TRIM(K39))=0</formula>
    </cfRule>
  </conditionalFormatting>
  <conditionalFormatting sqref="K157">
    <cfRule type="containsBlanks" dxfId="451" priority="462">
      <formula>LEN(TRIM(K157))=0</formula>
    </cfRule>
  </conditionalFormatting>
  <conditionalFormatting sqref="K157">
    <cfRule type="containsBlanks" dxfId="450" priority="461">
      <formula>LEN(TRIM(K157))=0</formula>
    </cfRule>
  </conditionalFormatting>
  <conditionalFormatting sqref="K157">
    <cfRule type="containsBlanks" dxfId="449" priority="460">
      <formula>LEN(TRIM(K157))=0</formula>
    </cfRule>
  </conditionalFormatting>
  <conditionalFormatting sqref="K157">
    <cfRule type="containsBlanks" dxfId="448" priority="459">
      <formula>LEN(TRIM(K157))=0</formula>
    </cfRule>
  </conditionalFormatting>
  <conditionalFormatting sqref="K157">
    <cfRule type="containsBlanks" dxfId="447" priority="458">
      <formula>LEN(TRIM(K157))=0</formula>
    </cfRule>
  </conditionalFormatting>
  <conditionalFormatting sqref="K64">
    <cfRule type="containsBlanks" dxfId="446" priority="457">
      <formula>LEN(TRIM(K64))=0</formula>
    </cfRule>
  </conditionalFormatting>
  <conditionalFormatting sqref="K64">
    <cfRule type="containsBlanks" dxfId="445" priority="456">
      <formula>LEN(TRIM(K64))=0</formula>
    </cfRule>
  </conditionalFormatting>
  <conditionalFormatting sqref="K64">
    <cfRule type="containsBlanks" dxfId="444" priority="455">
      <formula>LEN(TRIM(K64))=0</formula>
    </cfRule>
  </conditionalFormatting>
  <conditionalFormatting sqref="K68">
    <cfRule type="containsBlanks" dxfId="443" priority="454">
      <formula>LEN(TRIM(K68))=0</formula>
    </cfRule>
  </conditionalFormatting>
  <conditionalFormatting sqref="K128:K130">
    <cfRule type="containsBlanks" dxfId="442" priority="453">
      <formula>LEN(TRIM(K128))=0</formula>
    </cfRule>
  </conditionalFormatting>
  <conditionalFormatting sqref="K138:K140">
    <cfRule type="containsBlanks" dxfId="441" priority="452">
      <formula>LEN(TRIM(K138))=0</formula>
    </cfRule>
  </conditionalFormatting>
  <conditionalFormatting sqref="K138:K140">
    <cfRule type="containsBlanks" dxfId="440" priority="451">
      <formula>LEN(TRIM(K138))=0</formula>
    </cfRule>
  </conditionalFormatting>
  <conditionalFormatting sqref="K138:K140">
    <cfRule type="containsBlanks" dxfId="439" priority="450">
      <formula>LEN(TRIM(K138))=0</formula>
    </cfRule>
  </conditionalFormatting>
  <conditionalFormatting sqref="K158:K160">
    <cfRule type="containsBlanks" dxfId="438" priority="449">
      <formula>LEN(TRIM(K158))=0</formula>
    </cfRule>
  </conditionalFormatting>
  <conditionalFormatting sqref="K158:K160">
    <cfRule type="containsBlanks" dxfId="437" priority="448">
      <formula>LEN(TRIM(K158))=0</formula>
    </cfRule>
  </conditionalFormatting>
  <conditionalFormatting sqref="K158:K160">
    <cfRule type="containsBlanks" dxfId="436" priority="446">
      <formula>LEN(TRIM(K158))=0</formula>
    </cfRule>
  </conditionalFormatting>
  <conditionalFormatting sqref="K158:K160">
    <cfRule type="containsBlanks" dxfId="435" priority="447">
      <formula>LEN(TRIM(K158))=0</formula>
    </cfRule>
  </conditionalFormatting>
  <conditionalFormatting sqref="K263:K265">
    <cfRule type="containsBlanks" dxfId="434" priority="445">
      <formula>LEN(TRIM(K263))=0</formula>
    </cfRule>
  </conditionalFormatting>
  <conditionalFormatting sqref="K263:K265">
    <cfRule type="containsBlanks" dxfId="433" priority="444">
      <formula>LEN(TRIM(K263))=0</formula>
    </cfRule>
  </conditionalFormatting>
  <conditionalFormatting sqref="K263:K265">
    <cfRule type="containsBlanks" dxfId="432" priority="443">
      <formula>LEN(TRIM(K263))=0</formula>
    </cfRule>
  </conditionalFormatting>
  <conditionalFormatting sqref="K293:K294">
    <cfRule type="containsBlanks" dxfId="431" priority="442">
      <formula>LEN(TRIM(K293))=0</formula>
    </cfRule>
  </conditionalFormatting>
  <conditionalFormatting sqref="K301:K302">
    <cfRule type="containsBlanks" dxfId="430" priority="441">
      <formula>LEN(TRIM(K301))=0</formula>
    </cfRule>
  </conditionalFormatting>
  <conditionalFormatting sqref="K301:K302">
    <cfRule type="containsBlanks" dxfId="429" priority="440">
      <formula>LEN(TRIM(K301))=0</formula>
    </cfRule>
  </conditionalFormatting>
  <conditionalFormatting sqref="K312">
    <cfRule type="containsBlanks" dxfId="428" priority="438">
      <formula>LEN(TRIM(K312))=0</formula>
    </cfRule>
  </conditionalFormatting>
  <conditionalFormatting sqref="K313">
    <cfRule type="containsBlanks" dxfId="427" priority="437">
      <formula>LEN(TRIM(K313))=0</formula>
    </cfRule>
  </conditionalFormatting>
  <conditionalFormatting sqref="K314:K322 K324">
    <cfRule type="containsBlanks" dxfId="426" priority="436">
      <formula>LEN(TRIM(K314))=0</formula>
    </cfRule>
  </conditionalFormatting>
  <conditionalFormatting sqref="K422">
    <cfRule type="containsBlanks" dxfId="425" priority="435">
      <formula>LEN(TRIM(K422))=0</formula>
    </cfRule>
  </conditionalFormatting>
  <conditionalFormatting sqref="K422">
    <cfRule type="containsBlanks" dxfId="424" priority="433">
      <formula>LEN(TRIM(K422))=0</formula>
    </cfRule>
  </conditionalFormatting>
  <conditionalFormatting sqref="K422">
    <cfRule type="containsBlanks" dxfId="423" priority="434">
      <formula>LEN(TRIM(K422))=0</formula>
    </cfRule>
  </conditionalFormatting>
  <conditionalFormatting sqref="K422">
    <cfRule type="containsBlanks" dxfId="422" priority="431">
      <formula>LEN(TRIM(K422))=0</formula>
    </cfRule>
  </conditionalFormatting>
  <conditionalFormatting sqref="K422">
    <cfRule type="containsBlanks" dxfId="421" priority="432">
      <formula>LEN(TRIM(K422))=0</formula>
    </cfRule>
  </conditionalFormatting>
  <conditionalFormatting sqref="K400">
    <cfRule type="containsBlanks" dxfId="420" priority="430">
      <formula>LEN(TRIM(K400))=0</formula>
    </cfRule>
  </conditionalFormatting>
  <conditionalFormatting sqref="M149">
    <cfRule type="containsBlanks" dxfId="419" priority="387">
      <formula>LEN(TRIM(M149))=0</formula>
    </cfRule>
  </conditionalFormatting>
  <conditionalFormatting sqref="M560">
    <cfRule type="containsBlanks" dxfId="418" priority="386">
      <formula>LEN(TRIM(M560))=0</formula>
    </cfRule>
  </conditionalFormatting>
  <conditionalFormatting sqref="K539:K545">
    <cfRule type="containsBlanks" dxfId="417" priority="429">
      <formula>LEN(TRIM(K539))=0</formula>
    </cfRule>
  </conditionalFormatting>
  <conditionalFormatting sqref="K539">
    <cfRule type="containsBlanks" dxfId="416" priority="428">
      <formula>LEN(TRIM(K539))=0</formula>
    </cfRule>
  </conditionalFormatting>
  <conditionalFormatting sqref="K539">
    <cfRule type="containsBlanks" dxfId="415" priority="427">
      <formula>LEN(TRIM(K539))=0</formula>
    </cfRule>
  </conditionalFormatting>
  <conditionalFormatting sqref="K540:K545">
    <cfRule type="containsBlanks" dxfId="414" priority="426">
      <formula>LEN(TRIM(K540))=0</formula>
    </cfRule>
  </conditionalFormatting>
  <conditionalFormatting sqref="K540:K545">
    <cfRule type="containsBlanks" dxfId="413" priority="425">
      <formula>LEN(TRIM(K540))=0</formula>
    </cfRule>
  </conditionalFormatting>
  <conditionalFormatting sqref="K627">
    <cfRule type="containsBlanks" dxfId="412" priority="424">
      <formula>LEN(TRIM(K627))=0</formula>
    </cfRule>
  </conditionalFormatting>
  <conditionalFormatting sqref="K626">
    <cfRule type="containsBlanks" dxfId="411" priority="423">
      <formula>LEN(TRIM(K626))=0</formula>
    </cfRule>
  </conditionalFormatting>
  <conditionalFormatting sqref="K628">
    <cfRule type="containsBlanks" dxfId="410" priority="422">
      <formula>LEN(TRIM(K628))=0</formula>
    </cfRule>
  </conditionalFormatting>
  <conditionalFormatting sqref="M379 M295:M299 M413:M421 M311 M266:M272 M131:M136 M141:M146 M373:M377 M73:M85 M546:M561 M520 M356 M274:M289 M529:M532 M534:M538 M87:M88">
    <cfRule type="containsBlanks" dxfId="409" priority="421">
      <formula>LEN(TRIM(M73))=0</formula>
    </cfRule>
  </conditionalFormatting>
  <conditionalFormatting sqref="M503:M504 M597 M239 M259 M52:M53 M75:M80 M105:M106 M147 M508 M527 M536 M561 M135:M136 M271 M512:M513 M203:M204 M529:M532">
    <cfRule type="containsBlanks" dxfId="408" priority="418">
      <formula>LEN(TRIM(M52))=0</formula>
    </cfRule>
  </conditionalFormatting>
  <conditionalFormatting sqref="M259 M420:M421 M503:M504 M597 M239 M305 M52:M53 M75:M80 M105:M106 M147 M508 M527 M536 M561 M135:M136 M271 M512:M513 M203:M204 M529:M532">
    <cfRule type="containsBlanks" dxfId="407" priority="420">
      <formula>LEN(TRIM(M52))=0</formula>
    </cfRule>
  </conditionalFormatting>
  <conditionalFormatting sqref="M417 M420:M421">
    <cfRule type="containsBlanks" dxfId="406" priority="419">
      <formula>LEN(TRIM(M417))=0</formula>
    </cfRule>
  </conditionalFormatting>
  <conditionalFormatting sqref="M596">
    <cfRule type="containsBlanks" dxfId="405" priority="416">
      <formula>LEN(TRIM(M596))=0</formula>
    </cfRule>
  </conditionalFormatting>
  <conditionalFormatting sqref="M596">
    <cfRule type="containsBlanks" dxfId="404" priority="417">
      <formula>LEN(TRIM(M596))=0</formula>
    </cfRule>
  </conditionalFormatting>
  <conditionalFormatting sqref="M147">
    <cfRule type="containsBlanks" dxfId="403" priority="415">
      <formula>LEN(TRIM(M147))=0</formula>
    </cfRule>
  </conditionalFormatting>
  <conditionalFormatting sqref="M600 M603">
    <cfRule type="containsBlanks" dxfId="402" priority="414">
      <formula>LEN(TRIM(M600))=0</formula>
    </cfRule>
  </conditionalFormatting>
  <conditionalFormatting sqref="M514">
    <cfRule type="containsBlanks" dxfId="401" priority="406">
      <formula>LEN(TRIM(M514))=0</formula>
    </cfRule>
  </conditionalFormatting>
  <conditionalFormatting sqref="M514">
    <cfRule type="containsBlanks" dxfId="400" priority="407">
      <formula>LEN(TRIM(M514))=0</formula>
    </cfRule>
  </conditionalFormatting>
  <conditionalFormatting sqref="M232:M238">
    <cfRule type="containsBlanks" dxfId="399" priority="412">
      <formula>LEN(TRIM(M232))=0</formula>
    </cfRule>
  </conditionalFormatting>
  <conditionalFormatting sqref="M248:M255">
    <cfRule type="containsBlanks" dxfId="398" priority="410">
      <formula>LEN(TRIM(M248))=0</formula>
    </cfRule>
  </conditionalFormatting>
  <conditionalFormatting sqref="M248:M255">
    <cfRule type="containsBlanks" dxfId="397" priority="411">
      <formula>LEN(TRIM(M248))=0</formula>
    </cfRule>
  </conditionalFormatting>
  <conditionalFormatting sqref="M274:M289">
    <cfRule type="containsBlanks" dxfId="396" priority="408">
      <formula>LEN(TRIM(M274))=0</formula>
    </cfRule>
  </conditionalFormatting>
  <conditionalFormatting sqref="M274:M289">
    <cfRule type="containsBlanks" dxfId="395" priority="409">
      <formula>LEN(TRIM(M274))=0</formula>
    </cfRule>
  </conditionalFormatting>
  <conditionalFormatting sqref="M515">
    <cfRule type="containsBlanks" dxfId="394" priority="404">
      <formula>LEN(TRIM(M515))=0</formula>
    </cfRule>
  </conditionalFormatting>
  <conditionalFormatting sqref="M515">
    <cfRule type="containsBlanks" dxfId="393" priority="405">
      <formula>LEN(TRIM(M515))=0</formula>
    </cfRule>
  </conditionalFormatting>
  <conditionalFormatting sqref="M69">
    <cfRule type="containsBlanks" dxfId="392" priority="402">
      <formula>LEN(TRIM(M69))=0</formula>
    </cfRule>
  </conditionalFormatting>
  <conditionalFormatting sqref="M69">
    <cfRule type="containsBlanks" dxfId="391" priority="403">
      <formula>LEN(TRIM(M69))=0</formula>
    </cfRule>
  </conditionalFormatting>
  <conditionalFormatting sqref="M69">
    <cfRule type="containsBlanks" dxfId="390" priority="401">
      <formula>LEN(TRIM(M69))=0</formula>
    </cfRule>
  </conditionalFormatting>
  <conditionalFormatting sqref="M70:M72">
    <cfRule type="containsBlanks" dxfId="389" priority="399">
      <formula>LEN(TRIM(M70))=0</formula>
    </cfRule>
  </conditionalFormatting>
  <conditionalFormatting sqref="M70:M72">
    <cfRule type="containsBlanks" dxfId="388" priority="400">
      <formula>LEN(TRIM(M70))=0</formula>
    </cfRule>
  </conditionalFormatting>
  <conditionalFormatting sqref="M70:M72">
    <cfRule type="containsBlanks" dxfId="387" priority="398">
      <formula>LEN(TRIM(M70))=0</formula>
    </cfRule>
  </conditionalFormatting>
  <conditionalFormatting sqref="M137">
    <cfRule type="containsBlanks" dxfId="386" priority="394">
      <formula>LEN(TRIM(M137))=0</formula>
    </cfRule>
  </conditionalFormatting>
  <conditionalFormatting sqref="M137">
    <cfRule type="containsBlanks" dxfId="385" priority="395">
      <formula>LEN(TRIM(M137))=0</formula>
    </cfRule>
  </conditionalFormatting>
  <conditionalFormatting sqref="M137">
    <cfRule type="containsBlanks" dxfId="384" priority="393">
      <formula>LEN(TRIM(M137))=0</formula>
    </cfRule>
  </conditionalFormatting>
  <conditionalFormatting sqref="M144">
    <cfRule type="containsBlanks" dxfId="383" priority="391">
      <formula>LEN(TRIM(M144))=0</formula>
    </cfRule>
  </conditionalFormatting>
  <conditionalFormatting sqref="M144">
    <cfRule type="containsBlanks" dxfId="382" priority="392">
      <formula>LEN(TRIM(M144))=0</formula>
    </cfRule>
  </conditionalFormatting>
  <conditionalFormatting sqref="M146">
    <cfRule type="containsBlanks" dxfId="381" priority="389">
      <formula>LEN(TRIM(M146))=0</formula>
    </cfRule>
  </conditionalFormatting>
  <conditionalFormatting sqref="M146">
    <cfRule type="containsBlanks" dxfId="380" priority="390">
      <formula>LEN(TRIM(M146))=0</formula>
    </cfRule>
  </conditionalFormatting>
  <conditionalFormatting sqref="M560">
    <cfRule type="containsBlanks" dxfId="379" priority="385">
      <formula>LEN(TRIM(M560))=0</formula>
    </cfRule>
  </conditionalFormatting>
  <conditionalFormatting sqref="M51">
    <cfRule type="containsBlanks" dxfId="378" priority="383">
      <formula>LEN(TRIM(M51))=0</formula>
    </cfRule>
  </conditionalFormatting>
  <conditionalFormatting sqref="M51">
    <cfRule type="containsBlanks" dxfId="377" priority="384">
      <formula>LEN(TRIM(M51))=0</formula>
    </cfRule>
  </conditionalFormatting>
  <conditionalFormatting sqref="M61">
    <cfRule type="containsBlanks" dxfId="376" priority="381">
      <formula>LEN(TRIM(M61))=0</formula>
    </cfRule>
  </conditionalFormatting>
  <conditionalFormatting sqref="M61">
    <cfRule type="containsBlanks" dxfId="375" priority="382">
      <formula>LEN(TRIM(M61))=0</formula>
    </cfRule>
  </conditionalFormatting>
  <conditionalFormatting sqref="M74">
    <cfRule type="containsBlanks" dxfId="374" priority="380">
      <formula>LEN(TRIM(M74))=0</formula>
    </cfRule>
  </conditionalFormatting>
  <conditionalFormatting sqref="M73:M74">
    <cfRule type="containsBlanks" dxfId="373" priority="378">
      <formula>LEN(TRIM(M73))=0</formula>
    </cfRule>
  </conditionalFormatting>
  <conditionalFormatting sqref="M73:M74">
    <cfRule type="containsBlanks" dxfId="372" priority="379">
      <formula>LEN(TRIM(M73))=0</formula>
    </cfRule>
  </conditionalFormatting>
  <conditionalFormatting sqref="M88">
    <cfRule type="containsBlanks" dxfId="371" priority="376">
      <formula>LEN(TRIM(M88))=0</formula>
    </cfRule>
  </conditionalFormatting>
  <conditionalFormatting sqref="M88">
    <cfRule type="containsBlanks" dxfId="370" priority="377">
      <formula>LEN(TRIM(M88))=0</formula>
    </cfRule>
  </conditionalFormatting>
  <conditionalFormatting sqref="M133">
    <cfRule type="containsBlanks" dxfId="369" priority="372">
      <formula>LEN(TRIM(M133))=0</formula>
    </cfRule>
  </conditionalFormatting>
  <conditionalFormatting sqref="M107">
    <cfRule type="containsBlanks" dxfId="368" priority="374">
      <formula>LEN(TRIM(M107))=0</formula>
    </cfRule>
  </conditionalFormatting>
  <conditionalFormatting sqref="M107">
    <cfRule type="containsBlanks" dxfId="367" priority="375">
      <formula>LEN(TRIM(M107))=0</formula>
    </cfRule>
  </conditionalFormatting>
  <conditionalFormatting sqref="M134">
    <cfRule type="containsBlanks" dxfId="366" priority="370">
      <formula>LEN(TRIM(M134))=0</formula>
    </cfRule>
  </conditionalFormatting>
  <conditionalFormatting sqref="M134">
    <cfRule type="containsBlanks" dxfId="365" priority="371">
      <formula>LEN(TRIM(M134))=0</formula>
    </cfRule>
  </conditionalFormatting>
  <conditionalFormatting sqref="M145">
    <cfRule type="containsBlanks" dxfId="364" priority="368">
      <formula>LEN(TRIM(M145))=0</formula>
    </cfRule>
  </conditionalFormatting>
  <conditionalFormatting sqref="M145">
    <cfRule type="containsBlanks" dxfId="363" priority="369">
      <formula>LEN(TRIM(M145))=0</formula>
    </cfRule>
  </conditionalFormatting>
  <conditionalFormatting sqref="M148">
    <cfRule type="containsBlanks" dxfId="362" priority="366">
      <formula>LEN(TRIM(M148))=0</formula>
    </cfRule>
  </conditionalFormatting>
  <conditionalFormatting sqref="M148">
    <cfRule type="containsBlanks" dxfId="361" priority="367">
      <formula>LEN(TRIM(M148))=0</formula>
    </cfRule>
  </conditionalFormatting>
  <conditionalFormatting sqref="M205:M206">
    <cfRule type="containsBlanks" dxfId="360" priority="364">
      <formula>LEN(TRIM(M205))=0</formula>
    </cfRule>
  </conditionalFormatting>
  <conditionalFormatting sqref="M205:M206">
    <cfRule type="containsBlanks" dxfId="359" priority="365">
      <formula>LEN(TRIM(M205))=0</formula>
    </cfRule>
  </conditionalFormatting>
  <conditionalFormatting sqref="M207:M209">
    <cfRule type="containsBlanks" dxfId="358" priority="362">
      <formula>LEN(TRIM(M207))=0</formula>
    </cfRule>
  </conditionalFormatting>
  <conditionalFormatting sqref="M207:M209">
    <cfRule type="containsBlanks" dxfId="357" priority="363">
      <formula>LEN(TRIM(M207))=0</formula>
    </cfRule>
  </conditionalFormatting>
  <conditionalFormatting sqref="M223:M224 M226:M227 M229 M231">
    <cfRule type="containsBlanks" dxfId="356" priority="360">
      <formula>LEN(TRIM(M223))=0</formula>
    </cfRule>
  </conditionalFormatting>
  <conditionalFormatting sqref="M223:M224 M226:M227 M229 M231">
    <cfRule type="containsBlanks" dxfId="355" priority="361">
      <formula>LEN(TRIM(M223))=0</formula>
    </cfRule>
  </conditionalFormatting>
  <conditionalFormatting sqref="M260:M262">
    <cfRule type="containsBlanks" dxfId="354" priority="356">
      <formula>LEN(TRIM(M260))=0</formula>
    </cfRule>
  </conditionalFormatting>
  <conditionalFormatting sqref="M260:M262">
    <cfRule type="containsBlanks" dxfId="353" priority="357">
      <formula>LEN(TRIM(M260))=0</formula>
    </cfRule>
  </conditionalFormatting>
  <conditionalFormatting sqref="M245:M247">
    <cfRule type="containsBlanks" dxfId="352" priority="358">
      <formula>LEN(TRIM(M245))=0</formula>
    </cfRule>
  </conditionalFormatting>
  <conditionalFormatting sqref="M245:M247">
    <cfRule type="containsBlanks" dxfId="351" priority="359">
      <formula>LEN(TRIM(M245))=0</formula>
    </cfRule>
  </conditionalFormatting>
  <conditionalFormatting sqref="M269:M270">
    <cfRule type="containsBlanks" dxfId="350" priority="355">
      <formula>LEN(TRIM(M269))=0</formula>
    </cfRule>
  </conditionalFormatting>
  <conditionalFormatting sqref="M272">
    <cfRule type="containsBlanks" dxfId="349" priority="352">
      <formula>LEN(TRIM(M272))=0</formula>
    </cfRule>
  </conditionalFormatting>
  <conditionalFormatting sqref="M325:M326">
    <cfRule type="containsBlanks" dxfId="348" priority="350">
      <formula>LEN(TRIM(M325))=0</formula>
    </cfRule>
  </conditionalFormatting>
  <conditionalFormatting sqref="M325:M326">
    <cfRule type="containsBlanks" dxfId="347" priority="351">
      <formula>LEN(TRIM(M325))=0</formula>
    </cfRule>
  </conditionalFormatting>
  <conditionalFormatting sqref="M327">
    <cfRule type="containsBlanks" dxfId="346" priority="348">
      <formula>LEN(TRIM(M327))=0</formula>
    </cfRule>
  </conditionalFormatting>
  <conditionalFormatting sqref="M327">
    <cfRule type="containsBlanks" dxfId="345" priority="349">
      <formula>LEN(TRIM(M327))=0</formula>
    </cfRule>
  </conditionalFormatting>
  <conditionalFormatting sqref="M330:M331">
    <cfRule type="containsBlanks" dxfId="344" priority="346">
      <formula>LEN(TRIM(M330))=0</formula>
    </cfRule>
  </conditionalFormatting>
  <conditionalFormatting sqref="M330:M331">
    <cfRule type="containsBlanks" dxfId="343" priority="347">
      <formula>LEN(TRIM(M330))=0</formula>
    </cfRule>
  </conditionalFormatting>
  <conditionalFormatting sqref="M339:M340">
    <cfRule type="containsBlanks" dxfId="342" priority="344">
      <formula>LEN(TRIM(M339))=0</formula>
    </cfRule>
  </conditionalFormatting>
  <conditionalFormatting sqref="M339:M340">
    <cfRule type="containsBlanks" dxfId="341" priority="345">
      <formula>LEN(TRIM(M339))=0</formula>
    </cfRule>
  </conditionalFormatting>
  <conditionalFormatting sqref="M356">
    <cfRule type="containsBlanks" dxfId="340" priority="342">
      <formula>LEN(TRIM(M356))=0</formula>
    </cfRule>
  </conditionalFormatting>
  <conditionalFormatting sqref="M356">
    <cfRule type="containsBlanks" dxfId="339" priority="343">
      <formula>LEN(TRIM(M356))=0</formula>
    </cfRule>
  </conditionalFormatting>
  <conditionalFormatting sqref="M406">
    <cfRule type="containsBlanks" dxfId="338" priority="340">
      <formula>LEN(TRIM(M406))=0</formula>
    </cfRule>
  </conditionalFormatting>
  <conditionalFormatting sqref="M406">
    <cfRule type="containsBlanks" dxfId="337" priority="341">
      <formula>LEN(TRIM(M406))=0</formula>
    </cfRule>
  </conditionalFormatting>
  <conditionalFormatting sqref="M407:M409">
    <cfRule type="containsBlanks" dxfId="336" priority="338">
      <formula>LEN(TRIM(M407))=0</formula>
    </cfRule>
  </conditionalFormatting>
  <conditionalFormatting sqref="M492:M493">
    <cfRule type="containsBlanks" dxfId="335" priority="337">
      <formula>LEN(TRIM(M492))=0</formula>
    </cfRule>
  </conditionalFormatting>
  <conditionalFormatting sqref="M492:M493">
    <cfRule type="containsBlanks" dxfId="334" priority="336">
      <formula>LEN(TRIM(M492))=0</formula>
    </cfRule>
  </conditionalFormatting>
  <conditionalFormatting sqref="M502">
    <cfRule type="containsBlanks" dxfId="333" priority="335">
      <formula>LEN(TRIM(M502))=0</formula>
    </cfRule>
  </conditionalFormatting>
  <conditionalFormatting sqref="M505">
    <cfRule type="containsBlanks" dxfId="332" priority="334">
      <formula>LEN(TRIM(M505))=0</formula>
    </cfRule>
  </conditionalFormatting>
  <conditionalFormatting sqref="M509:M511">
    <cfRule type="containsBlanks" dxfId="331" priority="333">
      <formula>LEN(TRIM(M509))=0</formula>
    </cfRule>
  </conditionalFormatting>
  <conditionalFormatting sqref="M39">
    <cfRule type="containsBlanks" dxfId="330" priority="332">
      <formula>LEN(TRIM(M39))=0</formula>
    </cfRule>
  </conditionalFormatting>
  <conditionalFormatting sqref="M157">
    <cfRule type="containsBlanks" dxfId="329" priority="331">
      <formula>LEN(TRIM(M157))=0</formula>
    </cfRule>
  </conditionalFormatting>
  <conditionalFormatting sqref="M157">
    <cfRule type="containsBlanks" dxfId="328" priority="329">
      <formula>LEN(TRIM(M157))=0</formula>
    </cfRule>
  </conditionalFormatting>
  <conditionalFormatting sqref="M157">
    <cfRule type="containsBlanks" dxfId="327" priority="330">
      <formula>LEN(TRIM(M157))=0</formula>
    </cfRule>
  </conditionalFormatting>
  <conditionalFormatting sqref="M64">
    <cfRule type="containsBlanks" dxfId="326" priority="328">
      <formula>LEN(TRIM(M64))=0</formula>
    </cfRule>
  </conditionalFormatting>
  <conditionalFormatting sqref="M64">
    <cfRule type="containsBlanks" dxfId="325" priority="326">
      <formula>LEN(TRIM(M64))=0</formula>
    </cfRule>
  </conditionalFormatting>
  <conditionalFormatting sqref="M64">
    <cfRule type="containsBlanks" dxfId="324" priority="327">
      <formula>LEN(TRIM(M64))=0</formula>
    </cfRule>
  </conditionalFormatting>
  <conditionalFormatting sqref="M68">
    <cfRule type="containsBlanks" dxfId="323" priority="325">
      <formula>LEN(TRIM(M68))=0</formula>
    </cfRule>
  </conditionalFormatting>
  <conditionalFormatting sqref="M128:M130">
    <cfRule type="containsBlanks" dxfId="322" priority="324">
      <formula>LEN(TRIM(M128))=0</formula>
    </cfRule>
  </conditionalFormatting>
  <conditionalFormatting sqref="M138:M140">
    <cfRule type="containsBlanks" dxfId="321" priority="322">
      <formula>LEN(TRIM(M138))=0</formula>
    </cfRule>
  </conditionalFormatting>
  <conditionalFormatting sqref="M138:M140">
    <cfRule type="containsBlanks" dxfId="320" priority="323">
      <formula>LEN(TRIM(M138))=0</formula>
    </cfRule>
  </conditionalFormatting>
  <conditionalFormatting sqref="M138:M140">
    <cfRule type="containsBlanks" dxfId="319" priority="321">
      <formula>LEN(TRIM(M138))=0</formula>
    </cfRule>
  </conditionalFormatting>
  <conditionalFormatting sqref="M158:M160">
    <cfRule type="containsBlanks" dxfId="318" priority="320">
      <formula>LEN(TRIM(M158))=0</formula>
    </cfRule>
  </conditionalFormatting>
  <conditionalFormatting sqref="M158:M160">
    <cfRule type="containsBlanks" dxfId="317" priority="318">
      <formula>LEN(TRIM(M158))=0</formula>
    </cfRule>
  </conditionalFormatting>
  <conditionalFormatting sqref="M158:M160">
    <cfRule type="containsBlanks" dxfId="316" priority="319">
      <formula>LEN(TRIM(M158))=0</formula>
    </cfRule>
  </conditionalFormatting>
  <conditionalFormatting sqref="M263:M265">
    <cfRule type="containsBlanks" dxfId="315" priority="317">
      <formula>LEN(TRIM(M263))=0</formula>
    </cfRule>
  </conditionalFormatting>
  <conditionalFormatting sqref="M263:M265">
    <cfRule type="containsBlanks" dxfId="314" priority="315">
      <formula>LEN(TRIM(M263))=0</formula>
    </cfRule>
  </conditionalFormatting>
  <conditionalFormatting sqref="M263:M265">
    <cfRule type="containsBlanks" dxfId="313" priority="316">
      <formula>LEN(TRIM(M263))=0</formula>
    </cfRule>
  </conditionalFormatting>
  <conditionalFormatting sqref="M293:M294">
    <cfRule type="containsBlanks" dxfId="312" priority="314">
      <formula>LEN(TRIM(M293))=0</formula>
    </cfRule>
  </conditionalFormatting>
  <conditionalFormatting sqref="M301:M302">
    <cfRule type="containsBlanks" dxfId="311" priority="313">
      <formula>LEN(TRIM(M301))=0</formula>
    </cfRule>
  </conditionalFormatting>
  <conditionalFormatting sqref="M301:M302">
    <cfRule type="containsBlanks" dxfId="310" priority="311">
      <formula>LEN(TRIM(M301))=0</formula>
    </cfRule>
  </conditionalFormatting>
  <conditionalFormatting sqref="M301:M302">
    <cfRule type="containsBlanks" dxfId="309" priority="312">
      <formula>LEN(TRIM(M301))=0</formula>
    </cfRule>
  </conditionalFormatting>
  <conditionalFormatting sqref="M312">
    <cfRule type="containsBlanks" dxfId="308" priority="310">
      <formula>LEN(TRIM(M312))=0</formula>
    </cfRule>
  </conditionalFormatting>
  <conditionalFormatting sqref="M313">
    <cfRule type="containsBlanks" dxfId="307" priority="309">
      <formula>LEN(TRIM(M313))=0</formula>
    </cfRule>
  </conditionalFormatting>
  <conditionalFormatting sqref="M314:M322 M324">
    <cfRule type="containsBlanks" dxfId="306" priority="308">
      <formula>LEN(TRIM(M314))=0</formula>
    </cfRule>
  </conditionalFormatting>
  <conditionalFormatting sqref="M422">
    <cfRule type="containsBlanks" dxfId="305" priority="307">
      <formula>LEN(TRIM(M422))=0</formula>
    </cfRule>
  </conditionalFormatting>
  <conditionalFormatting sqref="M422">
    <cfRule type="containsBlanks" dxfId="304" priority="306">
      <formula>LEN(TRIM(M422))=0</formula>
    </cfRule>
  </conditionalFormatting>
  <conditionalFormatting sqref="M422">
    <cfRule type="containsBlanks" dxfId="303" priority="305">
      <formula>LEN(TRIM(M422))=0</formula>
    </cfRule>
  </conditionalFormatting>
  <conditionalFormatting sqref="M344:M345">
    <cfRule type="containsBlanks" dxfId="302" priority="304">
      <formula>LEN(TRIM(M344))=0</formula>
    </cfRule>
  </conditionalFormatting>
  <conditionalFormatting sqref="M344:M345">
    <cfRule type="containsBlanks" dxfId="301" priority="303">
      <formula>LEN(TRIM(M344))=0</formula>
    </cfRule>
  </conditionalFormatting>
  <conditionalFormatting sqref="M344:M345">
    <cfRule type="containsBlanks" dxfId="300" priority="302">
      <formula>LEN(TRIM(M344))=0</formula>
    </cfRule>
  </conditionalFormatting>
  <conditionalFormatting sqref="M403">
    <cfRule type="containsBlanks" dxfId="299" priority="301">
      <formula>LEN(TRIM(M403))=0</formula>
    </cfRule>
  </conditionalFormatting>
  <conditionalFormatting sqref="Q410:Q412">
    <cfRule type="containsBlanks" dxfId="298" priority="262">
      <formula>LEN(TRIM(Q410))=0</formula>
    </cfRule>
  </conditionalFormatting>
  <conditionalFormatting sqref="Q410:Q412">
    <cfRule type="containsBlanks" dxfId="297" priority="260">
      <formula>LEN(TRIM(Q410))=0</formula>
    </cfRule>
  </conditionalFormatting>
  <conditionalFormatting sqref="Q410:Q412">
    <cfRule type="containsBlanks" dxfId="296" priority="261">
      <formula>LEN(TRIM(Q410))=0</formula>
    </cfRule>
  </conditionalFormatting>
  <conditionalFormatting sqref="M423">
    <cfRule type="containsBlanks" dxfId="295" priority="300">
      <formula>LEN(TRIM(M423))=0</formula>
    </cfRule>
  </conditionalFormatting>
  <conditionalFormatting sqref="M423">
    <cfRule type="containsBlanks" dxfId="294" priority="298">
      <formula>LEN(TRIM(M423))=0</formula>
    </cfRule>
  </conditionalFormatting>
  <conditionalFormatting sqref="M423">
    <cfRule type="containsBlanks" dxfId="293" priority="299">
      <formula>LEN(TRIM(M423))=0</formula>
    </cfRule>
  </conditionalFormatting>
  <conditionalFormatting sqref="M539:M545">
    <cfRule type="containsBlanks" dxfId="292" priority="297">
      <formula>LEN(TRIM(M539))=0</formula>
    </cfRule>
  </conditionalFormatting>
  <conditionalFormatting sqref="M539">
    <cfRule type="containsBlanks" dxfId="291" priority="295">
      <formula>LEN(TRIM(M539))=0</formula>
    </cfRule>
  </conditionalFormatting>
  <conditionalFormatting sqref="M539">
    <cfRule type="containsBlanks" dxfId="290" priority="296">
      <formula>LEN(TRIM(M539))=0</formula>
    </cfRule>
  </conditionalFormatting>
  <conditionalFormatting sqref="M540:M545">
    <cfRule type="containsBlanks" dxfId="289" priority="293">
      <formula>LEN(TRIM(M540))=0</formula>
    </cfRule>
  </conditionalFormatting>
  <conditionalFormatting sqref="M540:M545">
    <cfRule type="containsBlanks" dxfId="288" priority="294">
      <formula>LEN(TRIM(M540))=0</formula>
    </cfRule>
  </conditionalFormatting>
  <conditionalFormatting sqref="M627">
    <cfRule type="containsBlanks" dxfId="287" priority="292">
      <formula>LEN(TRIM(M627))=0</formula>
    </cfRule>
  </conditionalFormatting>
  <conditionalFormatting sqref="M627">
    <cfRule type="containsBlanks" dxfId="286" priority="291">
      <formula>LEN(TRIM(M627))=0</formula>
    </cfRule>
  </conditionalFormatting>
  <conditionalFormatting sqref="M626">
    <cfRule type="containsBlanks" dxfId="285" priority="289">
      <formula>LEN(TRIM(M626))=0</formula>
    </cfRule>
  </conditionalFormatting>
  <conditionalFormatting sqref="M626">
    <cfRule type="containsBlanks" dxfId="284" priority="290">
      <formula>LEN(TRIM(M626))=0</formula>
    </cfRule>
  </conditionalFormatting>
  <conditionalFormatting sqref="M626">
    <cfRule type="containsBlanks" dxfId="283" priority="288">
      <formula>LEN(TRIM(M626))=0</formula>
    </cfRule>
  </conditionalFormatting>
  <conditionalFormatting sqref="M628">
    <cfRule type="containsBlanks" dxfId="282" priority="286">
      <formula>LEN(TRIM(M628))=0</formula>
    </cfRule>
  </conditionalFormatting>
  <conditionalFormatting sqref="M628">
    <cfRule type="containsBlanks" dxfId="281" priority="287">
      <formula>LEN(TRIM(M628))=0</formula>
    </cfRule>
  </conditionalFormatting>
  <conditionalFormatting sqref="M628">
    <cfRule type="containsBlanks" dxfId="280" priority="285">
      <formula>LEN(TRIM(M628))=0</formula>
    </cfRule>
  </conditionalFormatting>
  <conditionalFormatting sqref="O39:O40">
    <cfRule type="containsBlanks" dxfId="279" priority="284">
      <formula>LEN(TRIM(O39))=0</formula>
    </cfRule>
  </conditionalFormatting>
  <conditionalFormatting sqref="O39:O40">
    <cfRule type="containsBlanks" dxfId="278" priority="283">
      <formula>LEN(TRIM(O39))=0</formula>
    </cfRule>
  </conditionalFormatting>
  <conditionalFormatting sqref="O42">
    <cfRule type="containsBlanks" dxfId="277" priority="282">
      <formula>LEN(TRIM(O42))=0</formula>
    </cfRule>
  </conditionalFormatting>
  <conditionalFormatting sqref="O44:O45">
    <cfRule type="containsBlanks" dxfId="276" priority="281">
      <formula>LEN(TRIM(O44))=0</formula>
    </cfRule>
  </conditionalFormatting>
  <conditionalFormatting sqref="I402">
    <cfRule type="containsBlanks" dxfId="275" priority="280">
      <formula>LEN(TRIM(I402))=0</formula>
    </cfRule>
  </conditionalFormatting>
  <conditionalFormatting sqref="K402">
    <cfRule type="containsBlanks" dxfId="274" priority="279">
      <formula>LEN(TRIM(K402))=0</formula>
    </cfRule>
  </conditionalFormatting>
  <conditionalFormatting sqref="M402">
    <cfRule type="containsBlanks" dxfId="273" priority="278">
      <formula>LEN(TRIM(M402))=0</formula>
    </cfRule>
  </conditionalFormatting>
  <conditionalFormatting sqref="I428">
    <cfRule type="containsBlanks" dxfId="272" priority="277">
      <formula>LEN(TRIM(I428))=0</formula>
    </cfRule>
  </conditionalFormatting>
  <conditionalFormatting sqref="K428">
    <cfRule type="containsBlanks" dxfId="271" priority="276">
      <formula>LEN(TRIM(K428))=0</formula>
    </cfRule>
  </conditionalFormatting>
  <conditionalFormatting sqref="S42 S55:S56 S58 S64 S75 S137 S157 S235 S595 S600 S78 S80 S348:S349 S354 S49:S50 S516:S518">
    <cfRule type="containsBlanks" dxfId="270" priority="274">
      <formula>LEN(TRIM(S42))=0</formula>
    </cfRule>
  </conditionalFormatting>
  <conditionalFormatting sqref="F410:F412">
    <cfRule type="containsBlanks" dxfId="269" priority="273">
      <formula>LEN(TRIM(F410))=0</formula>
    </cfRule>
  </conditionalFormatting>
  <conditionalFormatting sqref="F410:F412">
    <cfRule type="containsBlanks" dxfId="268" priority="272">
      <formula>LEN(TRIM(F410))=0</formula>
    </cfRule>
  </conditionalFormatting>
  <conditionalFormatting sqref="F410:F412">
    <cfRule type="containsBlanks" dxfId="267" priority="271">
      <formula>LEN(TRIM(F410))=0</formula>
    </cfRule>
  </conditionalFormatting>
  <conditionalFormatting sqref="G410:G412">
    <cfRule type="containsBlanks" dxfId="266" priority="270">
      <formula>LEN(TRIM(G410))=0</formula>
    </cfRule>
  </conditionalFormatting>
  <conditionalFormatting sqref="G410:G412">
    <cfRule type="containsBlanks" dxfId="265" priority="269">
      <formula>LEN(TRIM(G410))=0</formula>
    </cfRule>
  </conditionalFormatting>
  <conditionalFormatting sqref="G410:G412">
    <cfRule type="containsBlanks" dxfId="264" priority="268">
      <formula>LEN(TRIM(G410))=0</formula>
    </cfRule>
  </conditionalFormatting>
  <conditionalFormatting sqref="H410:H412">
    <cfRule type="containsBlanks" dxfId="263" priority="267">
      <formula>LEN(TRIM(H410))=0</formula>
    </cfRule>
  </conditionalFormatting>
  <conditionalFormatting sqref="I410:P412">
    <cfRule type="containsBlanks" dxfId="262" priority="266">
      <formula>LEN(TRIM(I410))=0</formula>
    </cfRule>
  </conditionalFormatting>
  <conditionalFormatting sqref="I410:P412">
    <cfRule type="containsBlanks" dxfId="261" priority="265">
      <formula>LEN(TRIM(I410))=0</formula>
    </cfRule>
  </conditionalFormatting>
  <conditionalFormatting sqref="I410:P412">
    <cfRule type="containsBlanks" dxfId="260" priority="264">
      <formula>LEN(TRIM(I410))=0</formula>
    </cfRule>
  </conditionalFormatting>
  <conditionalFormatting sqref="I410:P412">
    <cfRule type="containsBlanks" dxfId="259" priority="263">
      <formula>LEN(TRIM(I410))=0</formula>
    </cfRule>
  </conditionalFormatting>
  <conditionalFormatting sqref="R410:R412">
    <cfRule type="containsBlanks" dxfId="258" priority="259">
      <formula>LEN(TRIM(R410))=0</formula>
    </cfRule>
  </conditionalFormatting>
  <conditionalFormatting sqref="R410:R412">
    <cfRule type="containsBlanks" dxfId="257" priority="258">
      <formula>LEN(TRIM(R410))=0</formula>
    </cfRule>
  </conditionalFormatting>
  <conditionalFormatting sqref="R410:R412">
    <cfRule type="containsBlanks" dxfId="256" priority="257">
      <formula>LEN(TRIM(R410))=0</formula>
    </cfRule>
  </conditionalFormatting>
  <conditionalFormatting sqref="Q595:R595 Q600:R600 Q62:R62 Q144:R144 Q226:R226 Q229:R229 Q271:R271 Q356:R356 Q520:R520 R522 Q560:R560 Q603:R603 Q146:R147 Q39:R40 Q149:R154 Q418:R419 Q506:R508 Q530:R530 Q626:R628 Q42:R42 Q44:R50 Q54:R56 Q58:R60 Q64:R72 Q137:R137 Q301:R302 Q512:R518 Q75:R85 Q87:R87 R86 Q90:R106 Q157:R177 Q231:R238 Q274:R289 Q529 Q534:R547">
    <cfRule type="containsBlanks" dxfId="255" priority="256">
      <formula>LEN(TRIM(Q39))=0</formula>
    </cfRule>
  </conditionalFormatting>
  <conditionalFormatting sqref="Q138:R140">
    <cfRule type="containsBlanks" dxfId="254" priority="254">
      <formula>LEN(TRIM(Q138))=0</formula>
    </cfRule>
  </conditionalFormatting>
  <conditionalFormatting sqref="Q138:R140">
    <cfRule type="containsBlanks" dxfId="253" priority="255">
      <formula>LEN(TRIM(Q138))=0</formula>
    </cfRule>
  </conditionalFormatting>
  <conditionalFormatting sqref="Q138:R140">
    <cfRule type="containsBlanks" dxfId="252" priority="253">
      <formula>LEN(TRIM(Q138))=0</formula>
    </cfRule>
  </conditionalFormatting>
  <conditionalFormatting sqref="A67:C67">
    <cfRule type="containsBlanks" dxfId="251" priority="252">
      <formula>LEN(TRIM(A67))=0</formula>
    </cfRule>
  </conditionalFormatting>
  <conditionalFormatting sqref="A76:C76">
    <cfRule type="containsBlanks" dxfId="250" priority="251">
      <formula>LEN(TRIM(A76))=0</formula>
    </cfRule>
  </conditionalFormatting>
  <conditionalFormatting sqref="A85:C86">
    <cfRule type="containsBlanks" dxfId="249" priority="250">
      <formula>LEN(TRIM(A85))=0</formula>
    </cfRule>
  </conditionalFormatting>
  <conditionalFormatting sqref="C99">
    <cfRule type="containsBlanks" dxfId="248" priority="249">
      <formula>LEN(TRIM(C99))=0</formula>
    </cfRule>
  </conditionalFormatting>
  <conditionalFormatting sqref="C117">
    <cfRule type="containsBlanks" dxfId="247" priority="248">
      <formula>LEN(TRIM(C117))=0</formula>
    </cfRule>
  </conditionalFormatting>
  <conditionalFormatting sqref="I522">
    <cfRule type="containsBlanks" dxfId="246" priority="247">
      <formula>LEN(TRIM(I522))=0</formula>
    </cfRule>
  </conditionalFormatting>
  <conditionalFormatting sqref="K522">
    <cfRule type="containsBlanks" dxfId="245" priority="246">
      <formula>LEN(TRIM(K522))=0</formula>
    </cfRule>
  </conditionalFormatting>
  <conditionalFormatting sqref="M522">
    <cfRule type="containsBlanks" dxfId="244" priority="245">
      <formula>LEN(TRIM(M522))=0</formula>
    </cfRule>
  </conditionalFormatting>
  <conditionalFormatting sqref="O522">
    <cfRule type="containsBlanks" dxfId="243" priority="244">
      <formula>LEN(TRIM(O522))=0</formula>
    </cfRule>
  </conditionalFormatting>
  <conditionalFormatting sqref="P68:P72 N68:N72 L68">
    <cfRule type="containsBlanks" dxfId="242" priority="243">
      <formula>LEN(TRIM(L68))=0</formula>
    </cfRule>
  </conditionalFormatting>
  <conditionalFormatting sqref="P128 N128 L128">
    <cfRule type="containsBlanks" dxfId="241" priority="242">
      <formula>LEN(TRIM(L128))=0</formula>
    </cfRule>
  </conditionalFormatting>
  <conditionalFormatting sqref="L147 N147 P147 L137 N137 P137">
    <cfRule type="containsBlanks" dxfId="240" priority="241">
      <formula>LEN(TRIM(L137))=0</formula>
    </cfRule>
  </conditionalFormatting>
  <conditionalFormatting sqref="P600">
    <cfRule type="containsBlanks" dxfId="239" priority="240">
      <formula>LEN(TRIM(P600))=0</formula>
    </cfRule>
  </conditionalFormatting>
  <conditionalFormatting sqref="P626:P628 P603 N626:N628 L626:L628">
    <cfRule type="containsBlanks" dxfId="238" priority="239">
      <formula>LEN(TRIM(L603))=0</formula>
    </cfRule>
  </conditionalFormatting>
  <conditionalFormatting sqref="N39 P39">
    <cfRule type="containsBlanks" dxfId="237" priority="238">
      <formula>LEN(TRIM(N39))=0</formula>
    </cfRule>
  </conditionalFormatting>
  <conditionalFormatting sqref="N422">
    <cfRule type="containsBlanks" dxfId="236" priority="237">
      <formula>LEN(TRIM(N422))=0</formula>
    </cfRule>
  </conditionalFormatting>
  <conditionalFormatting sqref="N423">
    <cfRule type="containsBlanks" dxfId="235" priority="236">
      <formula>LEN(TRIM(N423))=0</formula>
    </cfRule>
  </conditionalFormatting>
  <conditionalFormatting sqref="P422">
    <cfRule type="containsBlanks" dxfId="234" priority="235">
      <formula>LEN(TRIM(P422))=0</formula>
    </cfRule>
  </conditionalFormatting>
  <conditionalFormatting sqref="P423">
    <cfRule type="containsBlanks" dxfId="233" priority="234">
      <formula>LEN(TRIM(P423))=0</formula>
    </cfRule>
  </conditionalFormatting>
  <conditionalFormatting sqref="J610">
    <cfRule type="containsBlanks" dxfId="232" priority="233">
      <formula>LEN(TRIM(J610))=0</formula>
    </cfRule>
  </conditionalFormatting>
  <conditionalFormatting sqref="J610">
    <cfRule type="containsBlanks" dxfId="231" priority="232">
      <formula>LEN(TRIM(J610))=0</formula>
    </cfRule>
  </conditionalFormatting>
  <conditionalFormatting sqref="J60">
    <cfRule type="containsBlanks" dxfId="230" priority="231">
      <formula>LEN(TRIM(J60))=0</formula>
    </cfRule>
  </conditionalFormatting>
  <conditionalFormatting sqref="J60">
    <cfRule type="containsBlanks" dxfId="229" priority="230">
      <formula>LEN(TRIM(J60))=0</formula>
    </cfRule>
  </conditionalFormatting>
  <conditionalFormatting sqref="J68">
    <cfRule type="containsBlanks" dxfId="228" priority="229">
      <formula>LEN(TRIM(J68))=0</formula>
    </cfRule>
  </conditionalFormatting>
  <conditionalFormatting sqref="J68">
    <cfRule type="containsBlanks" dxfId="227" priority="228">
      <formula>LEN(TRIM(J68))=0</formula>
    </cfRule>
  </conditionalFormatting>
  <conditionalFormatting sqref="J68">
    <cfRule type="containsBlanks" dxfId="226" priority="227">
      <formula>LEN(TRIM(J68))=0</formula>
    </cfRule>
  </conditionalFormatting>
  <conditionalFormatting sqref="J68">
    <cfRule type="containsBlanks" dxfId="225" priority="226">
      <formula>LEN(TRIM(J68))=0</formula>
    </cfRule>
  </conditionalFormatting>
  <conditionalFormatting sqref="J68">
    <cfRule type="containsBlanks" dxfId="224" priority="225">
      <formula>LEN(TRIM(J68))=0</formula>
    </cfRule>
  </conditionalFormatting>
  <conditionalFormatting sqref="T512">
    <cfRule type="containsBlanks" dxfId="223" priority="224">
      <formula>LEN(TRIM(T512))=0</formula>
    </cfRule>
  </conditionalFormatting>
  <conditionalFormatting sqref="T520">
    <cfRule type="containsBlanks" dxfId="222" priority="223">
      <formula>LEN(TRIM(T520))=0</formula>
    </cfRule>
  </conditionalFormatting>
  <conditionalFormatting sqref="T522">
    <cfRule type="containsBlanks" dxfId="221" priority="222">
      <formula>LEN(TRIM(T522))=0</formula>
    </cfRule>
  </conditionalFormatting>
  <conditionalFormatting sqref="T522">
    <cfRule type="containsBlanks" dxfId="220" priority="221">
      <formula>LEN(TRIM(T522))=0</formula>
    </cfRule>
  </conditionalFormatting>
  <conditionalFormatting sqref="T565:T566">
    <cfRule type="containsBlanks" dxfId="219" priority="220">
      <formula>LEN(TRIM(T565))=0</formula>
    </cfRule>
  </conditionalFormatting>
  <conditionalFormatting sqref="T567:T568">
    <cfRule type="containsBlanks" dxfId="218" priority="219">
      <formula>LEN(TRIM(T567))=0</formula>
    </cfRule>
  </conditionalFormatting>
  <conditionalFormatting sqref="T301:T302">
    <cfRule type="containsBlanks" dxfId="217" priority="218">
      <formula>LEN(TRIM(T301))=0</formula>
    </cfRule>
  </conditionalFormatting>
  <conditionalFormatting sqref="T301:T302">
    <cfRule type="containsBlanks" dxfId="216" priority="217">
      <formula>LEN(TRIM(T301))=0</formula>
    </cfRule>
  </conditionalFormatting>
  <conditionalFormatting sqref="T301:T302">
    <cfRule type="containsBlanks" dxfId="215" priority="216">
      <formula>LEN(TRIM(T301))=0</formula>
    </cfRule>
  </conditionalFormatting>
  <conditionalFormatting sqref="T307">
    <cfRule type="containsBlanks" dxfId="214" priority="215">
      <formula>LEN(TRIM(T307))=0</formula>
    </cfRule>
  </conditionalFormatting>
  <conditionalFormatting sqref="T377">
    <cfRule type="containsBlanks" dxfId="213" priority="214">
      <formula>LEN(TRIM(T377))=0</formula>
    </cfRule>
  </conditionalFormatting>
  <conditionalFormatting sqref="T379">
    <cfRule type="containsBlanks" dxfId="212" priority="213">
      <formula>LEN(TRIM(T379))=0</formula>
    </cfRule>
  </conditionalFormatting>
  <conditionalFormatting sqref="T379">
    <cfRule type="containsBlanks" dxfId="211" priority="212">
      <formula>LEN(TRIM(T379))=0</formula>
    </cfRule>
  </conditionalFormatting>
  <conditionalFormatting sqref="T380">
    <cfRule type="containsBlanks" dxfId="210" priority="211">
      <formula>LEN(TRIM(T380))=0</formula>
    </cfRule>
  </conditionalFormatting>
  <conditionalFormatting sqref="T443 T445 T447:T482">
    <cfRule type="containsBlanks" dxfId="209" priority="210">
      <formula>LEN(TRIM(T443))=0</formula>
    </cfRule>
  </conditionalFormatting>
  <conditionalFormatting sqref="T491">
    <cfRule type="containsBlanks" dxfId="208" priority="209">
      <formula>LEN(TRIM(T491))=0</formula>
    </cfRule>
  </conditionalFormatting>
  <conditionalFormatting sqref="T483">
    <cfRule type="containsBlanks" dxfId="207" priority="208">
      <formula>LEN(TRIM(T483))=0</formula>
    </cfRule>
  </conditionalFormatting>
  <conditionalFormatting sqref="T42">
    <cfRule type="containsBlanks" dxfId="206" priority="207">
      <formula>LEN(TRIM(T42))=0</formula>
    </cfRule>
  </conditionalFormatting>
  <conditionalFormatting sqref="T42">
    <cfRule type="containsBlanks" dxfId="205" priority="206">
      <formula>LEN(TRIM(T42))=0</formula>
    </cfRule>
  </conditionalFormatting>
  <conditionalFormatting sqref="T44:T49">
    <cfRule type="containsBlanks" dxfId="204" priority="205">
      <formula>LEN(TRIM(T44))=0</formula>
    </cfRule>
  </conditionalFormatting>
  <conditionalFormatting sqref="T44">
    <cfRule type="containsBlanks" dxfId="203" priority="204">
      <formula>LEN(TRIM(T44))=0</formula>
    </cfRule>
  </conditionalFormatting>
  <conditionalFormatting sqref="T45:T46">
    <cfRule type="containsBlanks" dxfId="202" priority="203">
      <formula>LEN(TRIM(T45))=0</formula>
    </cfRule>
  </conditionalFormatting>
  <conditionalFormatting sqref="T47:T48">
    <cfRule type="containsBlanks" dxfId="201" priority="202">
      <formula>LEN(TRIM(T47))=0</formula>
    </cfRule>
  </conditionalFormatting>
  <conditionalFormatting sqref="T48">
    <cfRule type="containsBlanks" dxfId="200" priority="201">
      <formula>LEN(TRIM(T48))=0</formula>
    </cfRule>
  </conditionalFormatting>
  <conditionalFormatting sqref="T45">
    <cfRule type="containsBlanks" dxfId="199" priority="200">
      <formula>LEN(TRIM(T45))=0</formula>
    </cfRule>
  </conditionalFormatting>
  <conditionalFormatting sqref="T50">
    <cfRule type="containsBlanks" dxfId="198" priority="199">
      <formula>LEN(TRIM(T50))=0</formula>
    </cfRule>
  </conditionalFormatting>
  <conditionalFormatting sqref="T58:T60">
    <cfRule type="containsBlanks" dxfId="197" priority="198">
      <formula>LEN(TRIM(T58))=0</formula>
    </cfRule>
  </conditionalFormatting>
  <conditionalFormatting sqref="T58:T59">
    <cfRule type="containsBlanks" dxfId="196" priority="197">
      <formula>LEN(TRIM(T58))=0</formula>
    </cfRule>
  </conditionalFormatting>
  <conditionalFormatting sqref="T58:T60">
    <cfRule type="containsBlanks" dxfId="195" priority="196">
      <formula>LEN(TRIM(T58))=0</formula>
    </cfRule>
  </conditionalFormatting>
  <conditionalFormatting sqref="T58">
    <cfRule type="containsBlanks" dxfId="194" priority="195">
      <formula>LEN(TRIM(T58))=0</formula>
    </cfRule>
  </conditionalFormatting>
  <conditionalFormatting sqref="T58">
    <cfRule type="containsBlanks" dxfId="193" priority="194">
      <formula>LEN(TRIM(T58))=0</formula>
    </cfRule>
  </conditionalFormatting>
  <conditionalFormatting sqref="T68">
    <cfRule type="containsBlanks" dxfId="192" priority="193">
      <formula>LEN(TRIM(T68))=0</formula>
    </cfRule>
  </conditionalFormatting>
  <conditionalFormatting sqref="T69">
    <cfRule type="containsBlanks" dxfId="191" priority="192">
      <formula>LEN(TRIM(T69))=0</formula>
    </cfRule>
  </conditionalFormatting>
  <conditionalFormatting sqref="T69">
    <cfRule type="containsBlanks" dxfId="190" priority="191">
      <formula>LEN(TRIM(T69))=0</formula>
    </cfRule>
  </conditionalFormatting>
  <conditionalFormatting sqref="T69">
    <cfRule type="containsBlanks" dxfId="189" priority="190">
      <formula>LEN(TRIM(T69))=0</formula>
    </cfRule>
  </conditionalFormatting>
  <conditionalFormatting sqref="T69">
    <cfRule type="containsBlanks" dxfId="188" priority="189">
      <formula>LEN(TRIM(T69))=0</formula>
    </cfRule>
  </conditionalFormatting>
  <conditionalFormatting sqref="T69">
    <cfRule type="containsBlanks" dxfId="187" priority="188">
      <formula>LEN(TRIM(T69))=0</formula>
    </cfRule>
  </conditionalFormatting>
  <conditionalFormatting sqref="T70:T72">
    <cfRule type="containsBlanks" dxfId="186" priority="187">
      <formula>LEN(TRIM(T70))=0</formula>
    </cfRule>
  </conditionalFormatting>
  <conditionalFormatting sqref="T70:T72">
    <cfRule type="containsBlanks" dxfId="185" priority="186">
      <formula>LEN(TRIM(T70))=0</formula>
    </cfRule>
  </conditionalFormatting>
  <conditionalFormatting sqref="T70:T72">
    <cfRule type="containsBlanks" dxfId="184" priority="185">
      <formula>LEN(TRIM(T70))=0</formula>
    </cfRule>
  </conditionalFormatting>
  <conditionalFormatting sqref="T90:T106">
    <cfRule type="containsBlanks" dxfId="183" priority="184">
      <formula>LEN(TRIM(T90))=0</formula>
    </cfRule>
  </conditionalFormatting>
  <conditionalFormatting sqref="T100:T101">
    <cfRule type="containsBlanks" dxfId="182" priority="183">
      <formula>LEN(TRIM(T100))=0</formula>
    </cfRule>
  </conditionalFormatting>
  <conditionalFormatting sqref="T102">
    <cfRule type="containsBlanks" dxfId="181" priority="182">
      <formula>LEN(TRIM(T102))=0</formula>
    </cfRule>
  </conditionalFormatting>
  <conditionalFormatting sqref="T105:T106">
    <cfRule type="containsBlanks" dxfId="180" priority="181">
      <formula>LEN(TRIM(T105))=0</formula>
    </cfRule>
  </conditionalFormatting>
  <conditionalFormatting sqref="T105:T106">
    <cfRule type="containsBlanks" dxfId="179" priority="180">
      <formula>LEN(TRIM(T105))=0</formula>
    </cfRule>
  </conditionalFormatting>
  <conditionalFormatting sqref="T94">
    <cfRule type="containsBlanks" dxfId="178" priority="179">
      <formula>LEN(TRIM(T94))=0</formula>
    </cfRule>
  </conditionalFormatting>
  <conditionalFormatting sqref="T100">
    <cfRule type="containsBlanks" dxfId="177" priority="178">
      <formula>LEN(TRIM(T100))=0</formula>
    </cfRule>
  </conditionalFormatting>
  <conditionalFormatting sqref="T125:T127">
    <cfRule type="containsBlanks" dxfId="176" priority="177">
      <formula>LEN(TRIM(T125))=0</formula>
    </cfRule>
  </conditionalFormatting>
  <conditionalFormatting sqref="T128">
    <cfRule type="containsBlanks" dxfId="175" priority="176">
      <formula>LEN(TRIM(T128))=0</formula>
    </cfRule>
  </conditionalFormatting>
  <conditionalFormatting sqref="T125">
    <cfRule type="containsBlanks" dxfId="174" priority="175">
      <formula>LEN(TRIM(T125))=0</formula>
    </cfRule>
  </conditionalFormatting>
  <conditionalFormatting sqref="T125">
    <cfRule type="containsBlanks" dxfId="173" priority="174">
      <formula>LEN(TRIM(T125))=0</formula>
    </cfRule>
  </conditionalFormatting>
  <conditionalFormatting sqref="T131:T132">
    <cfRule type="containsBlanks" dxfId="172" priority="173">
      <formula>LEN(TRIM(T131))=0</formula>
    </cfRule>
  </conditionalFormatting>
  <conditionalFormatting sqref="T132">
    <cfRule type="containsBlanks" dxfId="171" priority="172">
      <formula>LEN(TRIM(T132))=0</formula>
    </cfRule>
  </conditionalFormatting>
  <conditionalFormatting sqref="T147">
    <cfRule type="containsBlanks" dxfId="170" priority="171">
      <formula>LEN(TRIM(T147))=0</formula>
    </cfRule>
  </conditionalFormatting>
  <conditionalFormatting sqref="T147">
    <cfRule type="containsBlanks" dxfId="169" priority="170">
      <formula>LEN(TRIM(T147))=0</formula>
    </cfRule>
  </conditionalFormatting>
  <conditionalFormatting sqref="T147">
    <cfRule type="containsBlanks" dxfId="168" priority="169">
      <formula>LEN(TRIM(T147))=0</formula>
    </cfRule>
  </conditionalFormatting>
  <conditionalFormatting sqref="T595">
    <cfRule type="containsBlanks" dxfId="167" priority="168">
      <formula>LEN(TRIM(T595))=0</formula>
    </cfRule>
  </conditionalFormatting>
  <conditionalFormatting sqref="T595">
    <cfRule type="containsBlanks" dxfId="166" priority="167">
      <formula>LEN(TRIM(T595))=0</formula>
    </cfRule>
  </conditionalFormatting>
  <conditionalFormatting sqref="T600">
    <cfRule type="containsBlanks" dxfId="165" priority="166">
      <formula>LEN(TRIM(T600))=0</formula>
    </cfRule>
  </conditionalFormatting>
  <conditionalFormatting sqref="T600">
    <cfRule type="containsBlanks" dxfId="164" priority="165">
      <formula>LEN(TRIM(T600))=0</formula>
    </cfRule>
  </conditionalFormatting>
  <conditionalFormatting sqref="T603">
    <cfRule type="containsBlanks" dxfId="163" priority="164">
      <formula>LEN(TRIM(T603))=0</formula>
    </cfRule>
  </conditionalFormatting>
  <conditionalFormatting sqref="T603">
    <cfRule type="containsBlanks" dxfId="162" priority="163">
      <formula>LEN(TRIM(T603))=0</formula>
    </cfRule>
  </conditionalFormatting>
  <conditionalFormatting sqref="T610">
    <cfRule type="containsBlanks" dxfId="161" priority="162">
      <formula>LEN(TRIM(T610))=0</formula>
    </cfRule>
  </conditionalFormatting>
  <conditionalFormatting sqref="T194:T195">
    <cfRule type="containsBlanks" dxfId="160" priority="161">
      <formula>LEN(TRIM(T194))=0</formula>
    </cfRule>
  </conditionalFormatting>
  <conditionalFormatting sqref="T432">
    <cfRule type="containsBlanks" dxfId="159" priority="160">
      <formula>LEN(TRIM(T432))=0</formula>
    </cfRule>
  </conditionalFormatting>
  <conditionalFormatting sqref="T432">
    <cfRule type="containsBlanks" dxfId="158" priority="159">
      <formula>LEN(TRIM(T432))=0</formula>
    </cfRule>
  </conditionalFormatting>
  <conditionalFormatting sqref="T434">
    <cfRule type="containsBlanks" dxfId="157" priority="158">
      <formula>LEN(TRIM(T434))=0</formula>
    </cfRule>
  </conditionalFormatting>
  <conditionalFormatting sqref="T434">
    <cfRule type="containsBlanks" dxfId="156" priority="157">
      <formula>LEN(TRIM(T434))=0</formula>
    </cfRule>
  </conditionalFormatting>
  <conditionalFormatting sqref="T435">
    <cfRule type="containsBlanks" dxfId="155" priority="156">
      <formula>LEN(TRIM(T435))=0</formula>
    </cfRule>
  </conditionalFormatting>
  <conditionalFormatting sqref="T435">
    <cfRule type="containsBlanks" dxfId="154" priority="155">
      <formula>LEN(TRIM(T435))=0</formula>
    </cfRule>
  </conditionalFormatting>
  <conditionalFormatting sqref="T437">
    <cfRule type="containsBlanks" dxfId="153" priority="154">
      <formula>LEN(TRIM(T437))=0</formula>
    </cfRule>
  </conditionalFormatting>
  <conditionalFormatting sqref="T437">
    <cfRule type="containsBlanks" dxfId="152" priority="153">
      <formula>LEN(TRIM(T437))=0</formula>
    </cfRule>
  </conditionalFormatting>
  <conditionalFormatting sqref="T436">
    <cfRule type="containsBlanks" dxfId="151" priority="152">
      <formula>LEN(TRIM(T436))=0</formula>
    </cfRule>
  </conditionalFormatting>
  <conditionalFormatting sqref="T436">
    <cfRule type="containsBlanks" dxfId="150" priority="151">
      <formula>LEN(TRIM(T436))=0</formula>
    </cfRule>
  </conditionalFormatting>
  <conditionalFormatting sqref="T444">
    <cfRule type="containsBlanks" dxfId="149" priority="150">
      <formula>LEN(TRIM(T444))=0</formula>
    </cfRule>
  </conditionalFormatting>
  <conditionalFormatting sqref="T444">
    <cfRule type="containsBlanks" dxfId="148" priority="149">
      <formula>LEN(TRIM(T444))=0</formula>
    </cfRule>
  </conditionalFormatting>
  <conditionalFormatting sqref="T446">
    <cfRule type="containsBlanks" dxfId="147" priority="148">
      <formula>LEN(TRIM(T446))=0</formula>
    </cfRule>
  </conditionalFormatting>
  <conditionalFormatting sqref="T446">
    <cfRule type="containsBlanks" dxfId="146" priority="147">
      <formula>LEN(TRIM(T446))=0</formula>
    </cfRule>
  </conditionalFormatting>
  <conditionalFormatting sqref="T319">
    <cfRule type="containsBlanks" dxfId="145" priority="146">
      <formula>LEN(TRIM(T319))=0</formula>
    </cfRule>
  </conditionalFormatting>
  <conditionalFormatting sqref="T319">
    <cfRule type="containsBlanks" dxfId="144" priority="145">
      <formula>LEN(TRIM(T319))=0</formula>
    </cfRule>
  </conditionalFormatting>
  <conditionalFormatting sqref="T319">
    <cfRule type="containsBlanks" dxfId="143" priority="144">
      <formula>LEN(TRIM(T319))=0</formula>
    </cfRule>
  </conditionalFormatting>
  <conditionalFormatting sqref="T320">
    <cfRule type="containsBlanks" dxfId="142" priority="143">
      <formula>LEN(TRIM(T320))=0</formula>
    </cfRule>
  </conditionalFormatting>
  <conditionalFormatting sqref="T320">
    <cfRule type="containsBlanks" dxfId="141" priority="142">
      <formula>LEN(TRIM(T320))=0</formula>
    </cfRule>
  </conditionalFormatting>
  <conditionalFormatting sqref="T320">
    <cfRule type="containsBlanks" dxfId="140" priority="141">
      <formula>LEN(TRIM(T320))=0</formula>
    </cfRule>
  </conditionalFormatting>
  <conditionalFormatting sqref="T321">
    <cfRule type="containsBlanks" dxfId="139" priority="140">
      <formula>LEN(TRIM(T321))=0</formula>
    </cfRule>
  </conditionalFormatting>
  <conditionalFormatting sqref="T321">
    <cfRule type="containsBlanks" dxfId="138" priority="139">
      <formula>LEN(TRIM(T321))=0</formula>
    </cfRule>
  </conditionalFormatting>
  <conditionalFormatting sqref="T321">
    <cfRule type="containsBlanks" dxfId="137" priority="138">
      <formula>LEN(TRIM(T321))=0</formula>
    </cfRule>
  </conditionalFormatting>
  <conditionalFormatting sqref="T322">
    <cfRule type="containsBlanks" dxfId="136" priority="137">
      <formula>LEN(TRIM(T322))=0</formula>
    </cfRule>
  </conditionalFormatting>
  <conditionalFormatting sqref="T322">
    <cfRule type="containsBlanks" dxfId="135" priority="136">
      <formula>LEN(TRIM(T322))=0</formula>
    </cfRule>
  </conditionalFormatting>
  <conditionalFormatting sqref="T322">
    <cfRule type="containsBlanks" dxfId="134" priority="135">
      <formula>LEN(TRIM(T322))=0</formula>
    </cfRule>
  </conditionalFormatting>
  <conditionalFormatting sqref="T62">
    <cfRule type="containsBlanks" dxfId="133" priority="134">
      <formula>LEN(TRIM(T62))=0</formula>
    </cfRule>
  </conditionalFormatting>
  <conditionalFormatting sqref="T187">
    <cfRule type="containsBlanks" dxfId="132" priority="133">
      <formula>LEN(TRIM(T187))=0</formula>
    </cfRule>
  </conditionalFormatting>
  <conditionalFormatting sqref="T359">
    <cfRule type="containsBlanks" dxfId="131" priority="132">
      <formula>LEN(TRIM(T359))=0</formula>
    </cfRule>
  </conditionalFormatting>
  <conditionalFormatting sqref="T334">
    <cfRule type="containsBlanks" dxfId="130" priority="131">
      <formula>LEN(TRIM(T334))=0</formula>
    </cfRule>
  </conditionalFormatting>
  <conditionalFormatting sqref="T334">
    <cfRule type="containsBlanks" dxfId="129" priority="130">
      <formula>LEN(TRIM(T334))=0</formula>
    </cfRule>
  </conditionalFormatting>
  <conditionalFormatting sqref="T393">
    <cfRule type="containsBlanks" dxfId="128" priority="129">
      <formula>LEN(TRIM(T393))=0</formula>
    </cfRule>
  </conditionalFormatting>
  <conditionalFormatting sqref="T397">
    <cfRule type="containsBlanks" dxfId="127" priority="128">
      <formula>LEN(TRIM(T397))=0</formula>
    </cfRule>
  </conditionalFormatting>
  <conditionalFormatting sqref="T423">
    <cfRule type="containsBlanks" dxfId="126" priority="127">
      <formula>LEN(TRIM(T423))=0</formula>
    </cfRule>
  </conditionalFormatting>
  <conditionalFormatting sqref="T424">
    <cfRule type="containsBlanks" dxfId="125" priority="126">
      <formula>LEN(TRIM(T424))=0</formula>
    </cfRule>
  </conditionalFormatting>
  <conditionalFormatting sqref="T433">
    <cfRule type="containsBlanks" dxfId="124" priority="125">
      <formula>LEN(TRIM(T433))=0</formula>
    </cfRule>
  </conditionalFormatting>
  <conditionalFormatting sqref="T200">
    <cfRule type="containsBlanks" dxfId="123" priority="124">
      <formula>LEN(TRIM(T200))=0</formula>
    </cfRule>
  </conditionalFormatting>
  <conditionalFormatting sqref="T546">
    <cfRule type="containsBlanks" dxfId="122" priority="123">
      <formula>LEN(TRIM(T546))=0</formula>
    </cfRule>
  </conditionalFormatting>
  <conditionalFormatting sqref="T546">
    <cfRule type="containsBlanks" dxfId="121" priority="122">
      <formula>LEN(TRIM(T546))=0</formula>
    </cfRule>
  </conditionalFormatting>
  <conditionalFormatting sqref="G86:P86">
    <cfRule type="containsBlanks" dxfId="120" priority="121">
      <formula>LEN(TRIM(G86))=0</formula>
    </cfRule>
  </conditionalFormatting>
  <conditionalFormatting sqref="H86">
    <cfRule type="containsBlanks" dxfId="119" priority="120">
      <formula>LEN(TRIM(H86))=0</formula>
    </cfRule>
  </conditionalFormatting>
  <conditionalFormatting sqref="Q86">
    <cfRule type="containsBlanks" dxfId="118" priority="119">
      <formula>LEN(TRIM(Q86))=0</formula>
    </cfRule>
  </conditionalFormatting>
  <conditionalFormatting sqref="E109:F110 I109:P110">
    <cfRule type="containsBlanks" dxfId="117" priority="118">
      <formula>LEN(TRIM(E109))=0</formula>
    </cfRule>
  </conditionalFormatting>
  <conditionalFormatting sqref="F110">
    <cfRule type="containsBlanks" dxfId="116" priority="115">
      <formula>LEN(TRIM(F110))=0</formula>
    </cfRule>
  </conditionalFormatting>
  <conditionalFormatting sqref="O110:P110">
    <cfRule type="containsBlanks" dxfId="115" priority="113">
      <formula>LEN(TRIM(O110))=0</formula>
    </cfRule>
  </conditionalFormatting>
  <conditionalFormatting sqref="O110:P110">
    <cfRule type="containsBlanks" dxfId="114" priority="114">
      <formula>LEN(TRIM(O110))=0</formula>
    </cfRule>
  </conditionalFormatting>
  <conditionalFormatting sqref="E110">
    <cfRule type="containsBlanks" dxfId="113" priority="117">
      <formula>LEN(TRIM(E110))=0</formula>
    </cfRule>
  </conditionalFormatting>
  <conditionalFormatting sqref="A110:B110">
    <cfRule type="containsBlanks" dxfId="112" priority="116">
      <formula>LEN(TRIM(A110))=0</formula>
    </cfRule>
  </conditionalFormatting>
  <conditionalFormatting sqref="J110">
    <cfRule type="containsBlanks" dxfId="111" priority="112">
      <formula>LEN(TRIM(J110))=0</formula>
    </cfRule>
  </conditionalFormatting>
  <conditionalFormatting sqref="J110">
    <cfRule type="containsBlanks" dxfId="110" priority="111">
      <formula>LEN(TRIM(J110))=0</formula>
    </cfRule>
  </conditionalFormatting>
  <conditionalFormatting sqref="N110">
    <cfRule type="containsBlanks" dxfId="109" priority="107">
      <formula>LEN(TRIM(N110))=0</formula>
    </cfRule>
  </conditionalFormatting>
  <conditionalFormatting sqref="L110">
    <cfRule type="containsBlanks" dxfId="108" priority="110">
      <formula>LEN(TRIM(L110))=0</formula>
    </cfRule>
  </conditionalFormatting>
  <conditionalFormatting sqref="L110">
    <cfRule type="containsBlanks" dxfId="107" priority="109">
      <formula>LEN(TRIM(L110))=0</formula>
    </cfRule>
  </conditionalFormatting>
  <conditionalFormatting sqref="N110">
    <cfRule type="containsBlanks" dxfId="106" priority="108">
      <formula>LEN(TRIM(N110))=0</formula>
    </cfRule>
  </conditionalFormatting>
  <conditionalFormatting sqref="A110:B110">
    <cfRule type="containsBlanks" dxfId="105" priority="106">
      <formula>LEN(TRIM(A110))=0</formula>
    </cfRule>
  </conditionalFormatting>
  <conditionalFormatting sqref="C110">
    <cfRule type="containsBlanks" dxfId="104" priority="105">
      <formula>LEN(TRIM(C110))=0</formula>
    </cfRule>
  </conditionalFormatting>
  <conditionalFormatting sqref="L109">
    <cfRule type="containsBlanks" dxfId="103" priority="102">
      <formula>LEN(TRIM(L109))=0</formula>
    </cfRule>
  </conditionalFormatting>
  <conditionalFormatting sqref="A109:B109 O109:P109 J109 E109:F109">
    <cfRule type="containsBlanks" dxfId="102" priority="104">
      <formula>LEN(TRIM(A109))=0</formula>
    </cfRule>
  </conditionalFormatting>
  <conditionalFormatting sqref="A109:B109 O109:P109 J109 E109:F109">
    <cfRule type="containsBlanks" dxfId="101" priority="103">
      <formula>LEN(TRIM(A109))=0</formula>
    </cfRule>
  </conditionalFormatting>
  <conditionalFormatting sqref="L109">
    <cfRule type="containsBlanks" dxfId="100" priority="101">
      <formula>LEN(TRIM(L109))=0</formula>
    </cfRule>
  </conditionalFormatting>
  <conditionalFormatting sqref="N109">
    <cfRule type="containsBlanks" dxfId="99" priority="99">
      <formula>LEN(TRIM(N109))=0</formula>
    </cfRule>
  </conditionalFormatting>
  <conditionalFormatting sqref="N109">
    <cfRule type="containsBlanks" dxfId="98" priority="100">
      <formula>LEN(TRIM(N109))=0</formula>
    </cfRule>
  </conditionalFormatting>
  <conditionalFormatting sqref="A109:B109">
    <cfRule type="containsBlanks" dxfId="97" priority="98">
      <formula>LEN(TRIM(A109))=0</formula>
    </cfRule>
  </conditionalFormatting>
  <conditionalFormatting sqref="C109">
    <cfRule type="containsBlanks" dxfId="96" priority="97">
      <formula>LEN(TRIM(C109))=0</formula>
    </cfRule>
  </conditionalFormatting>
  <conditionalFormatting sqref="F109">
    <cfRule type="containsBlanks" dxfId="95" priority="96">
      <formula>LEN(TRIM(F109))=0</formula>
    </cfRule>
  </conditionalFormatting>
  <conditionalFormatting sqref="F109">
    <cfRule type="containsBlanks" dxfId="94" priority="95">
      <formula>LEN(TRIM(F109))=0</formula>
    </cfRule>
  </conditionalFormatting>
  <conditionalFormatting sqref="H109:H110">
    <cfRule type="containsBlanks" dxfId="93" priority="94">
      <formula>LEN(TRIM(H109))=0</formula>
    </cfRule>
  </conditionalFormatting>
  <conditionalFormatting sqref="D109">
    <cfRule type="containsBlanks" dxfId="92" priority="89">
      <formula>LEN(TRIM(D109))=0</formula>
    </cfRule>
  </conditionalFormatting>
  <conditionalFormatting sqref="D110">
    <cfRule type="containsBlanks" dxfId="91" priority="93">
      <formula>LEN(TRIM(D110))=0</formula>
    </cfRule>
  </conditionalFormatting>
  <conditionalFormatting sqref="D110">
    <cfRule type="containsBlanks" dxfId="90" priority="92">
      <formula>LEN(TRIM(D110))=0</formula>
    </cfRule>
  </conditionalFormatting>
  <conditionalFormatting sqref="D110">
    <cfRule type="containsBlanks" dxfId="89" priority="91">
      <formula>LEN(TRIM(D110))=0</formula>
    </cfRule>
  </conditionalFormatting>
  <conditionalFormatting sqref="D109">
    <cfRule type="containsBlanks" dxfId="88" priority="90">
      <formula>LEN(TRIM(D109))=0</formula>
    </cfRule>
  </conditionalFormatting>
  <conditionalFormatting sqref="D109">
    <cfRule type="containsBlanks" dxfId="87" priority="88">
      <formula>LEN(TRIM(D109))=0</formula>
    </cfRule>
  </conditionalFormatting>
  <conditionalFormatting sqref="G109:G110">
    <cfRule type="containsBlanks" dxfId="86" priority="87">
      <formula>LEN(TRIM(G109))=0</formula>
    </cfRule>
  </conditionalFormatting>
  <conditionalFormatting sqref="G109:G110">
    <cfRule type="containsBlanks" dxfId="85" priority="86">
      <formula>LEN(TRIM(G109))=0</formula>
    </cfRule>
  </conditionalFormatting>
  <conditionalFormatting sqref="I110">
    <cfRule type="containsBlanks" dxfId="84" priority="85">
      <formula>LEN(TRIM(I110))=0</formula>
    </cfRule>
  </conditionalFormatting>
  <conditionalFormatting sqref="I110">
    <cfRule type="containsBlanks" dxfId="83" priority="84">
      <formula>LEN(TRIM(I110))=0</formula>
    </cfRule>
  </conditionalFormatting>
  <conditionalFormatting sqref="I109">
    <cfRule type="containsBlanks" dxfId="82" priority="83">
      <formula>LEN(TRIM(I109))=0</formula>
    </cfRule>
  </conditionalFormatting>
  <conditionalFormatting sqref="I109">
    <cfRule type="containsBlanks" dxfId="81" priority="82">
      <formula>LEN(TRIM(I109))=0</formula>
    </cfRule>
  </conditionalFormatting>
  <conditionalFormatting sqref="K110">
    <cfRule type="containsBlanks" dxfId="80" priority="81">
      <formula>LEN(TRIM(K110))=0</formula>
    </cfRule>
  </conditionalFormatting>
  <conditionalFormatting sqref="K110">
    <cfRule type="containsBlanks" dxfId="79" priority="80">
      <formula>LEN(TRIM(K110))=0</formula>
    </cfRule>
  </conditionalFormatting>
  <conditionalFormatting sqref="K109">
    <cfRule type="containsBlanks" dxfId="78" priority="78">
      <formula>LEN(TRIM(K109))=0</formula>
    </cfRule>
  </conditionalFormatting>
  <conditionalFormatting sqref="K109">
    <cfRule type="containsBlanks" dxfId="77" priority="79">
      <formula>LEN(TRIM(K109))=0</formula>
    </cfRule>
  </conditionalFormatting>
  <conditionalFormatting sqref="M110">
    <cfRule type="containsBlanks" dxfId="76" priority="76">
      <formula>LEN(TRIM(M110))=0</formula>
    </cfRule>
  </conditionalFormatting>
  <conditionalFormatting sqref="M110">
    <cfRule type="containsBlanks" dxfId="75" priority="77">
      <formula>LEN(TRIM(M110))=0</formula>
    </cfRule>
  </conditionalFormatting>
  <conditionalFormatting sqref="M109">
    <cfRule type="containsBlanks" dxfId="74" priority="74">
      <formula>LEN(TRIM(M109))=0</formula>
    </cfRule>
  </conditionalFormatting>
  <conditionalFormatting sqref="M109">
    <cfRule type="containsBlanks" dxfId="73" priority="75">
      <formula>LEN(TRIM(M109))=0</formula>
    </cfRule>
  </conditionalFormatting>
  <conditionalFormatting sqref="Q109:Q110">
    <cfRule type="containsBlanks" dxfId="72" priority="73">
      <formula>LEN(TRIM(Q109))=0</formula>
    </cfRule>
  </conditionalFormatting>
  <conditionalFormatting sqref="F323 Q323 S323">
    <cfRule type="containsBlanks" dxfId="71" priority="72">
      <formula>LEN(TRIM(F323))=0</formula>
    </cfRule>
  </conditionalFormatting>
  <conditionalFormatting sqref="H323">
    <cfRule type="containsBlanks" dxfId="70" priority="71">
      <formula>LEN(TRIM(H323))=0</formula>
    </cfRule>
  </conditionalFormatting>
  <conditionalFormatting sqref="D323:E323 J323 N323:P323">
    <cfRule type="containsBlanks" dxfId="69" priority="70">
      <formula>LEN(TRIM(D323))=0</formula>
    </cfRule>
  </conditionalFormatting>
  <conditionalFormatting sqref="T323 N323:P323">
    <cfRule type="containsBlanks" dxfId="68" priority="69">
      <formula>LEN(TRIM(N323))=0</formula>
    </cfRule>
  </conditionalFormatting>
  <conditionalFormatting sqref="O323:P323">
    <cfRule type="containsBlanks" dxfId="67" priority="68">
      <formula>LEN(TRIM(O323))=0</formula>
    </cfRule>
  </conditionalFormatting>
  <conditionalFormatting sqref="J323">
    <cfRule type="containsBlanks" dxfId="66" priority="66">
      <formula>LEN(TRIM(J323))=0</formula>
    </cfRule>
  </conditionalFormatting>
  <conditionalFormatting sqref="J323">
    <cfRule type="containsBlanks" dxfId="65" priority="67">
      <formula>LEN(TRIM(J323))=0</formula>
    </cfRule>
  </conditionalFormatting>
  <conditionalFormatting sqref="N323">
    <cfRule type="containsBlanks" dxfId="64" priority="65">
      <formula>LEN(TRIM(N323))=0</formula>
    </cfRule>
  </conditionalFormatting>
  <conditionalFormatting sqref="T323">
    <cfRule type="containsBlanks" dxfId="63" priority="64">
      <formula>LEN(TRIM(T323))=0</formula>
    </cfRule>
  </conditionalFormatting>
  <conditionalFormatting sqref="G323">
    <cfRule type="containsBlanks" dxfId="62" priority="63">
      <formula>LEN(TRIM(G323))=0</formula>
    </cfRule>
  </conditionalFormatting>
  <conditionalFormatting sqref="G323">
    <cfRule type="containsBlanks" dxfId="61" priority="62">
      <formula>LEN(TRIM(G323))=0</formula>
    </cfRule>
  </conditionalFormatting>
  <conditionalFormatting sqref="I323">
    <cfRule type="containsBlanks" dxfId="60" priority="61">
      <formula>LEN(TRIM(I323))=0</formula>
    </cfRule>
  </conditionalFormatting>
  <conditionalFormatting sqref="I323">
    <cfRule type="containsBlanks" dxfId="59" priority="59">
      <formula>LEN(TRIM(I323))=0</formula>
    </cfRule>
  </conditionalFormatting>
  <conditionalFormatting sqref="I323">
    <cfRule type="containsBlanks" dxfId="58" priority="60">
      <formula>LEN(TRIM(I323))=0</formula>
    </cfRule>
  </conditionalFormatting>
  <conditionalFormatting sqref="M323">
    <cfRule type="containsBlanks" dxfId="57" priority="58">
      <formula>LEN(TRIM(M323))=0</formula>
    </cfRule>
  </conditionalFormatting>
  <conditionalFormatting sqref="M323">
    <cfRule type="containsBlanks" dxfId="56" priority="57">
      <formula>LEN(TRIM(M323))=0</formula>
    </cfRule>
  </conditionalFormatting>
  <conditionalFormatting sqref="M323">
    <cfRule type="containsBlanks" dxfId="55" priority="56">
      <formula>LEN(TRIM(M323))=0</formula>
    </cfRule>
  </conditionalFormatting>
  <conditionalFormatting sqref="A564:F564 I564:S564">
    <cfRule type="containsBlanks" dxfId="54" priority="55">
      <formula>LEN(TRIM(A564))=0</formula>
    </cfRule>
  </conditionalFormatting>
  <conditionalFormatting sqref="H564">
    <cfRule type="containsBlanks" dxfId="53" priority="54">
      <formula>LEN(TRIM(H564))=0</formula>
    </cfRule>
  </conditionalFormatting>
  <conditionalFormatting sqref="G564">
    <cfRule type="containsBlanks" dxfId="52" priority="53">
      <formula>LEN(TRIM(G564))=0</formula>
    </cfRule>
  </conditionalFormatting>
  <conditionalFormatting sqref="G564">
    <cfRule type="containsBlanks" dxfId="51" priority="52">
      <formula>LEN(TRIM(G564))=0</formula>
    </cfRule>
  </conditionalFormatting>
  <conditionalFormatting sqref="I564">
    <cfRule type="containsBlanks" dxfId="50" priority="50">
      <formula>LEN(TRIM(I564))=0</formula>
    </cfRule>
  </conditionalFormatting>
  <conditionalFormatting sqref="I564">
    <cfRule type="containsBlanks" dxfId="49" priority="51">
      <formula>LEN(TRIM(I564))=0</formula>
    </cfRule>
  </conditionalFormatting>
  <conditionalFormatting sqref="K564">
    <cfRule type="containsBlanks" dxfId="48" priority="49">
      <formula>LEN(TRIM(K564))=0</formula>
    </cfRule>
  </conditionalFormatting>
  <conditionalFormatting sqref="K564">
    <cfRule type="containsBlanks" dxfId="47" priority="48">
      <formula>LEN(TRIM(K564))=0</formula>
    </cfRule>
  </conditionalFormatting>
  <conditionalFormatting sqref="M564">
    <cfRule type="containsBlanks" dxfId="46" priority="46">
      <formula>LEN(TRIM(M564))=0</formula>
    </cfRule>
  </conditionalFormatting>
  <conditionalFormatting sqref="M564">
    <cfRule type="containsBlanks" dxfId="45" priority="47">
      <formula>LEN(TRIM(M564))=0</formula>
    </cfRule>
  </conditionalFormatting>
  <conditionalFormatting sqref="A127:C127">
    <cfRule type="containsBlanks" dxfId="44" priority="45">
      <formula>LEN(TRIM(A127))=0</formula>
    </cfRule>
  </conditionalFormatting>
  <conditionalFormatting sqref="R529">
    <cfRule type="containsBlanks" dxfId="43" priority="44">
      <formula>LEN(TRIM(R529))=0</formula>
    </cfRule>
  </conditionalFormatting>
  <conditionalFormatting sqref="S512">
    <cfRule type="containsBlanks" dxfId="42" priority="43">
      <formula>LEN(TRIM(S512))=0</formula>
    </cfRule>
  </conditionalFormatting>
  <conditionalFormatting sqref="S542">
    <cfRule type="containsBlanks" dxfId="41" priority="42">
      <formula>LEN(TRIM(S542))=0</formula>
    </cfRule>
  </conditionalFormatting>
  <conditionalFormatting sqref="S543">
    <cfRule type="containsBlanks" dxfId="40" priority="41">
      <formula>LEN(TRIM(S543))=0</formula>
    </cfRule>
  </conditionalFormatting>
  <conditionalFormatting sqref="T507">
    <cfRule type="containsBlanks" dxfId="39" priority="40">
      <formula>LEN(TRIM(T507))=0</formula>
    </cfRule>
  </conditionalFormatting>
  <conditionalFormatting sqref="T507">
    <cfRule type="containsBlanks" dxfId="38" priority="39">
      <formula>LEN(TRIM(T507))=0</formula>
    </cfRule>
  </conditionalFormatting>
  <conditionalFormatting sqref="T508">
    <cfRule type="containsBlanks" dxfId="37" priority="38">
      <formula>LEN(TRIM(T508))=0</formula>
    </cfRule>
  </conditionalFormatting>
  <conditionalFormatting sqref="T508">
    <cfRule type="containsBlanks" dxfId="36" priority="37">
      <formula>LEN(TRIM(T508))=0</formula>
    </cfRule>
  </conditionalFormatting>
  <conditionalFormatting sqref="T514">
    <cfRule type="containsBlanks" dxfId="35" priority="36">
      <formula>LEN(TRIM(T514))=0</formula>
    </cfRule>
  </conditionalFormatting>
  <conditionalFormatting sqref="T535">
    <cfRule type="containsBlanks" dxfId="34" priority="34">
      <formula>LEN(TRIM(T535))=0</formula>
    </cfRule>
  </conditionalFormatting>
  <conditionalFormatting sqref="T535">
    <cfRule type="containsBlanks" dxfId="33" priority="35">
      <formula>LEN(TRIM(T535))=0</formula>
    </cfRule>
  </conditionalFormatting>
  <conditionalFormatting sqref="T535">
    <cfRule type="containsBlanks" dxfId="32" priority="33">
      <formula>LEN(TRIM(T535))=0</formula>
    </cfRule>
  </conditionalFormatting>
  <conditionalFormatting sqref="T540">
    <cfRule type="containsBlanks" dxfId="31" priority="31">
      <formula>LEN(TRIM(T540))=0</formula>
    </cfRule>
  </conditionalFormatting>
  <conditionalFormatting sqref="T540">
    <cfRule type="containsBlanks" dxfId="30" priority="32">
      <formula>LEN(TRIM(T540))=0</formula>
    </cfRule>
  </conditionalFormatting>
  <conditionalFormatting sqref="T540">
    <cfRule type="containsBlanks" dxfId="29" priority="30">
      <formula>LEN(TRIM(T540))=0</formula>
    </cfRule>
  </conditionalFormatting>
  <conditionalFormatting sqref="T575">
    <cfRule type="containsBlanks" dxfId="28" priority="29">
      <formula>LEN(TRIM(T575))=0</formula>
    </cfRule>
  </conditionalFormatting>
  <conditionalFormatting sqref="T575">
    <cfRule type="containsBlanks" dxfId="27" priority="28">
      <formula>LEN(TRIM(T575))=0</formula>
    </cfRule>
  </conditionalFormatting>
  <conditionalFormatting sqref="T564">
    <cfRule type="containsBlanks" dxfId="26" priority="27">
      <formula>LEN(TRIM(T564))=0</formula>
    </cfRule>
  </conditionalFormatting>
  <conditionalFormatting sqref="T564">
    <cfRule type="containsBlanks" dxfId="25" priority="26">
      <formula>LEN(TRIM(T564))=0</formula>
    </cfRule>
  </conditionalFormatting>
  <conditionalFormatting sqref="T425">
    <cfRule type="containsBlanks" dxfId="24" priority="25">
      <formula>LEN(TRIM(T425))=0</formula>
    </cfRule>
  </conditionalFormatting>
  <conditionalFormatting sqref="T426">
    <cfRule type="containsBlanks" dxfId="23" priority="24">
      <formula>LEN(TRIM(T426))=0</formula>
    </cfRule>
  </conditionalFormatting>
  <conditionalFormatting sqref="T430">
    <cfRule type="containsBlanks" dxfId="22" priority="23">
      <formula>LEN(TRIM(T430))=0</formula>
    </cfRule>
  </conditionalFormatting>
  <conditionalFormatting sqref="T365">
    <cfRule type="containsBlanks" dxfId="21" priority="22">
      <formula>LEN(TRIM(T365))=0</formula>
    </cfRule>
  </conditionalFormatting>
  <conditionalFormatting sqref="T365">
    <cfRule type="containsBlanks" dxfId="20" priority="21">
      <formula>LEN(TRIM(T365))=0</formula>
    </cfRule>
  </conditionalFormatting>
  <conditionalFormatting sqref="T336">
    <cfRule type="containsBlanks" dxfId="19" priority="20">
      <formula>LEN(TRIM(T336))=0</formula>
    </cfRule>
  </conditionalFormatting>
  <conditionalFormatting sqref="T336">
    <cfRule type="containsBlanks" dxfId="18" priority="19">
      <formula>LEN(TRIM(T336))=0</formula>
    </cfRule>
  </conditionalFormatting>
  <conditionalFormatting sqref="T337">
    <cfRule type="containsBlanks" dxfId="17" priority="18">
      <formula>LEN(TRIM(T337))=0</formula>
    </cfRule>
  </conditionalFormatting>
  <conditionalFormatting sqref="T337">
    <cfRule type="containsBlanks" dxfId="16" priority="17">
      <formula>LEN(TRIM(T337))=0</formula>
    </cfRule>
  </conditionalFormatting>
  <conditionalFormatting sqref="T318">
    <cfRule type="containsBlanks" dxfId="15" priority="16">
      <formula>LEN(TRIM(T318))=0</formula>
    </cfRule>
  </conditionalFormatting>
  <conditionalFormatting sqref="T318">
    <cfRule type="containsBlanks" dxfId="14" priority="15">
      <formula>LEN(TRIM(T318))=0</formula>
    </cfRule>
  </conditionalFormatting>
  <conditionalFormatting sqref="T318">
    <cfRule type="containsBlanks" dxfId="13" priority="14">
      <formula>LEN(TRIM(T318))=0</formula>
    </cfRule>
  </conditionalFormatting>
  <conditionalFormatting sqref="T317">
    <cfRule type="containsBlanks" dxfId="12" priority="13">
      <formula>LEN(TRIM(T317))=0</formula>
    </cfRule>
  </conditionalFormatting>
  <conditionalFormatting sqref="T317">
    <cfRule type="containsBlanks" dxfId="11" priority="12">
      <formula>LEN(TRIM(T317))=0</formula>
    </cfRule>
  </conditionalFormatting>
  <conditionalFormatting sqref="T317">
    <cfRule type="containsBlanks" dxfId="10" priority="11">
      <formula>LEN(TRIM(T317))=0</formula>
    </cfRule>
  </conditionalFormatting>
  <conditionalFormatting sqref="T316">
    <cfRule type="containsBlanks" dxfId="9" priority="10">
      <formula>LEN(TRIM(T316))=0</formula>
    </cfRule>
  </conditionalFormatting>
  <conditionalFormatting sqref="T316">
    <cfRule type="containsBlanks" dxfId="8" priority="9">
      <formula>LEN(TRIM(T316))=0</formula>
    </cfRule>
  </conditionalFormatting>
  <conditionalFormatting sqref="T316">
    <cfRule type="containsBlanks" dxfId="7" priority="8">
      <formula>LEN(TRIM(T316))=0</formula>
    </cfRule>
  </conditionalFormatting>
  <conditionalFormatting sqref="T315">
    <cfRule type="containsBlanks" dxfId="6" priority="7">
      <formula>LEN(TRIM(T315))=0</formula>
    </cfRule>
  </conditionalFormatting>
  <conditionalFormatting sqref="T315">
    <cfRule type="containsBlanks" dxfId="5" priority="6">
      <formula>LEN(TRIM(T315))=0</formula>
    </cfRule>
  </conditionalFormatting>
  <conditionalFormatting sqref="T315">
    <cfRule type="containsBlanks" dxfId="4" priority="5">
      <formula>LEN(TRIM(T315))=0</formula>
    </cfRule>
  </conditionalFormatting>
  <conditionalFormatting sqref="T312">
    <cfRule type="containsBlanks" dxfId="3" priority="4">
      <formula>LEN(TRIM(T312))=0</formula>
    </cfRule>
  </conditionalFormatting>
  <conditionalFormatting sqref="T312">
    <cfRule type="containsBlanks" dxfId="2" priority="3">
      <formula>LEN(TRIM(T312))=0</formula>
    </cfRule>
  </conditionalFormatting>
  <conditionalFormatting sqref="T312">
    <cfRule type="containsBlanks" dxfId="1" priority="2">
      <formula>LEN(TRIM(T312))=0</formula>
    </cfRule>
  </conditionalFormatting>
  <conditionalFormatting sqref="T372">
    <cfRule type="containsBlanks" dxfId="0" priority="1">
      <formula>LEN(TRIM(T372))=0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24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2021-02-14T08:27:24Z</dcterms:created>
  <dcterms:modified xsi:type="dcterms:W3CDTF">2021-02-14T11:50:15Z</dcterms:modified>
</cp:coreProperties>
</file>