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епартамент капитального строительства и инвестиций\Отдел планирования и отчетности\ОПиО\АРМы\Пятилетка 2010-2013\Планы отчеты для Минэнерго\2020\Отчет 3 квартал\Отчет за 3 квартал 2020\"/>
    </mc:Choice>
  </mc:AlternateContent>
  <bookViews>
    <workbookView xWindow="0" yWindow="0" windowWidth="27825" windowHeight="11670"/>
  </bookViews>
  <sheets>
    <sheet name="10 Кв ф" sheetId="1" r:id="rId1"/>
  </sheets>
  <definedNames>
    <definedName name="_xlnm._FilterDatabase" localSheetId="0" hidden="1">'10 Кв ф'!$A$19:$AC$640</definedName>
    <definedName name="Z_0166F564_6860_4A4D_BCAA_7E652E2AE38D_.wvu.FilterData" localSheetId="0" hidden="1">'10 Кв ф'!$A$19:$T$607</definedName>
    <definedName name="Z_06A3F353_51B3_4A72_AD0A_D70EC1B6E0CE_.wvu.FilterData" localSheetId="0" hidden="1">'10 Кв ф'!$A$20:$T$607</definedName>
    <definedName name="Z_0A56C8BB_F57D_4E95_9156_3312F9525C5E_.wvu.FilterData" localSheetId="0" hidden="1">'10 Кв ф'!$A$20:$T$607</definedName>
    <definedName name="Z_0D2A7B5C_0C40_4E6D_963D_52EC84514A68_.wvu.FilterData" localSheetId="0" hidden="1">'10 Кв ф'!$A$20:$T$607</definedName>
    <definedName name="Z_0D93C89F_D6DE_45E3_8D65_4852C654EFF1_.wvu.FilterData" localSheetId="0" hidden="1">'10 Кв ф'!$A$20:$T$639</definedName>
    <definedName name="Z_0D93C89F_D6DE_45E3_8D65_4852C654EFF1_.wvu.PrintArea" localSheetId="0" hidden="1">'10 Кв ф'!$A$2:$T$639</definedName>
    <definedName name="Z_1017E5F6_993F_45C9_9841_6CF924CF1200_.wvu.FilterData" localSheetId="0" hidden="1">'10 Кв ф'!$A$19:$T$607</definedName>
    <definedName name="Z_12DE1D8C_2E36_443D_8681_573806BBC37D_.wvu.FilterData" localSheetId="0" hidden="1">'10 Кв ф'!$A$19:$T$606</definedName>
    <definedName name="Z_1470A267_A675_4CA9_A66C_50B69FF85DA3_.wvu.FilterData" localSheetId="0" hidden="1">'10 Кв ф'!$A$19:$T$607</definedName>
    <definedName name="Z_17749444_678E_426F_BD89_F71E60B050A4_.wvu.FilterData" localSheetId="0" hidden="1">'10 Кв ф'!$A$19:$T$607</definedName>
    <definedName name="Z_1E4EBB30_6787_4635_A1AD_11437E13556E_.wvu.FilterData" localSheetId="0" hidden="1">'10 Кв ф'!$A$19:$T$607</definedName>
    <definedName name="Z_27831D98_248D_4C5D_8651_2FCE3375DCF3_.wvu.FilterData" localSheetId="0" hidden="1">'10 Кв ф'!$A$19:$T$19</definedName>
    <definedName name="Z_3D41F91B_9A2B_4030_8403_A8DDF01EAA7A_.wvu.FilterData" localSheetId="0" hidden="1">'10 Кв ф'!$A$19:$T$607</definedName>
    <definedName name="Z_3D6FFAC9_26ED_4EAD_9DCA_78A482DA12FA_.wvu.FilterData" localSheetId="0" hidden="1">'10 Кв ф'!$A$19:$T$639</definedName>
    <definedName name="Z_3E520E1B_F34B_498F_8FF1_F06CA90FBFAA_.wvu.FilterData" localSheetId="0" hidden="1">'10 Кв ф'!$A$19:$T$606</definedName>
    <definedName name="Z_4350EDF1_8F1B_4807_8541_0DE3B02DBABA_.wvu.FilterData" localSheetId="0" hidden="1">'10 Кв ф'!#REF!</definedName>
    <definedName name="Z_4364DD0C_60A9_4939_80C2_42978509A381_.wvu.FilterData" localSheetId="0" hidden="1">'10 Кв ф'!$A$19:$T$639</definedName>
    <definedName name="Z_57B90536_E403_481F_B537_76A8A1190347_.wvu.FilterData" localSheetId="0" hidden="1">'10 Кв ф'!$A$19:$T$639</definedName>
    <definedName name="Z_57B90536_E403_481F_B537_76A8A1190347_.wvu.PrintArea" localSheetId="0" hidden="1">'10 Кв ф'!$A$2:$T$639</definedName>
    <definedName name="Z_584ABB53_32FF_4B7B_98BB_CA3B2584A02E_.wvu.FilterData" localSheetId="0" hidden="1">'10 Кв ф'!$A$19:$T$639</definedName>
    <definedName name="Z_58D64E48_2FAA_4C54_85F8_4917CD959A23_.wvu.FilterData" localSheetId="0" hidden="1">'10 Кв ф'!$A$20:$T$607</definedName>
    <definedName name="Z_5D814110_5DA2_4133_93D9_99EF1B49B17B_.wvu.FilterData" localSheetId="0" hidden="1">'10 Кв ф'!$A$19:$T$19</definedName>
    <definedName name="Z_6356004F_9CC1_40CF_B0B2_A9FB11BA61A7_.wvu.FilterData" localSheetId="0" hidden="1">'10 Кв ф'!#REF!</definedName>
    <definedName name="Z_64C82260_6A7F_4E26_A3BE_B3CFD5C1C1BF_.wvu.FilterData" localSheetId="0" hidden="1">'10 Кв ф'!$A$19:$T$607</definedName>
    <definedName name="Z_655DFEB5_C371_40DD_82FC_2F6B360E2859_.wvu.FilterData" localSheetId="0" hidden="1">'10 Кв ф'!$A$19:$T$607</definedName>
    <definedName name="Z_66D403AB_EA89_4957_AA3A_9374DB17FF5F_.wvu.FilterData" localSheetId="0" hidden="1">'10 Кв ф'!$A$19:$T$607</definedName>
    <definedName name="Z_693252B3_5FB1_4BEE_8319_9F410CBC9A6D_.wvu.FilterData" localSheetId="0" hidden="1">'10 Кв ф'!#REF!</definedName>
    <definedName name="Z_69A29897_1D67_46B2_9C0C_AA0ADAC9AB8C_.wvu.FilterData" localSheetId="0" hidden="1">'10 Кв ф'!$A$19:$T$607</definedName>
    <definedName name="Z_6F5C25E3_FA9C_4839_AF94_DEE882837079_.wvu.FilterData" localSheetId="0" hidden="1">'10 Кв ф'!$A$19:$T$607</definedName>
    <definedName name="Z_6FC8CDDA_2F22_43F0_A6F6_3C1F10ECFB0A_.wvu.FilterData" localSheetId="0" hidden="1">'10 Кв ф'!$A$19:$T$605</definedName>
    <definedName name="Z_71843E8E_FECF_48AE_A09C_6820DB9CAE0B_.wvu.FilterData" localSheetId="0" hidden="1">'10 Кв ф'!$A$19:$T$639</definedName>
    <definedName name="Z_7694D342_12FA_4800_9B2F_894DCECAE7B4_.wvu.FilterData" localSheetId="0" hidden="1">'10 Кв ф'!$A$19:$T$607</definedName>
    <definedName name="Z_84623340_CF58_4BC5_A988_3823C261B227_.wvu.FilterData" localSheetId="0" hidden="1">'10 Кв ф'!$A$19:$T$640</definedName>
    <definedName name="Z_84623340_CF58_4BC5_A988_3823C261B227_.wvu.PrintArea" localSheetId="0" hidden="1">'10 Кв ф'!$A$2:$T$639</definedName>
    <definedName name="Z_8B154DE0_53DB_4AF6_B1C2_32179B4E88BC_.wvu.FilterData" localSheetId="0" hidden="1">'10 Кв ф'!$A$19:$T$607</definedName>
    <definedName name="Z_8DFE875F_0C3F_4914_B6AA_FBE17C23D7D2_.wvu.FilterData" localSheetId="0" hidden="1">'10 Кв ф'!$A$20:$T$607</definedName>
    <definedName name="Z_93C4A63C_004C_41C7_AAD5_33C242984D35_.wvu.FilterData" localSheetId="0" hidden="1">'10 Кв ф'!$A$19:$T$19</definedName>
    <definedName name="Z_963A1F4E_14C6_4BB5_A521_D0FE868E7D37_.wvu.FilterData" localSheetId="0" hidden="1">'10 Кв ф'!$A$19:$T$19</definedName>
    <definedName name="Z_9B430562_8070_4258_8703_BFAE6EBDC58C_.wvu.FilterData" localSheetId="0" hidden="1">'10 Кв ф'!$A$19:$T$607</definedName>
    <definedName name="Z_A77A5C65_3B6D_434F_8258_50CC036FD700_.wvu.FilterData" localSheetId="0" hidden="1">'10 Кв ф'!$A$19:$T$639</definedName>
    <definedName name="Z_AC71B388_5FE0_4A9D_8A8E_E18D1F00B0E3_.wvu.FilterData" localSheetId="0" hidden="1">'10 Кв ф'!$A$19:$T$607</definedName>
    <definedName name="Z_C15C57B9_037F_4445_B888_4EC853978147_.wvu.FilterData" localSheetId="0" hidden="1">'10 Кв ф'!$A$19:$T$606</definedName>
    <definedName name="Z_C60D55EC_865E_4D38_AE27_9E8AD04058A4_.wvu.FilterData" localSheetId="0" hidden="1">'10 Кв ф'!$A$19:$T$607</definedName>
    <definedName name="Z_C8834271_1CC2_459D_BFED_D8003474F42A_.wvu.FilterData" localSheetId="0" hidden="1">'10 Кв ф'!$A$19:$T$607</definedName>
    <definedName name="Z_CD577179_AC97_47E1_BD55_34C9FD4F7788_.wvu.FilterData" localSheetId="0" hidden="1">'10 Кв ф'!$A$19:$T$607</definedName>
    <definedName name="Z_CE1E033E_FF00_49FF_86F8_A53BE3AEB0CB_.wvu.FilterData" localSheetId="0" hidden="1">'10 Кв ф'!$A$19:$T$640</definedName>
    <definedName name="Z_CE1E033E_FF00_49FF_86F8_A53BE3AEB0CB_.wvu.PrintArea" localSheetId="0" hidden="1">'10 Кв ф'!$A$2:$T$639</definedName>
    <definedName name="Z_D2373A93_A74A_4F74_898B_4F2E2B0E4C0B_.wvu.FilterData" localSheetId="0" hidden="1">'10 Кв ф'!$A$19:$T$639</definedName>
    <definedName name="Z_D2CBDC49_B9AD_49DF_A2DD_0C0CEC3CCF43_.wvu.FilterData" localSheetId="0" hidden="1">'10 Кв ф'!$A$19:$T$607</definedName>
    <definedName name="Z_D65DB3B3_D583_4A50_96A0_49F0BFBC42FA_.wvu.FilterData" localSheetId="0" hidden="1">'10 Кв ф'!$A$19:$T$639</definedName>
    <definedName name="Z_D6D9C024_8179_4E41_8196_D59861ADD944_.wvu.FilterData" localSheetId="0" hidden="1">'10 Кв ф'!$A$19:$T$639</definedName>
    <definedName name="Z_D8A1492F_0E32_4C4E_B90C_4EE6AF3DB003_.wvu.FilterData" localSheetId="0" hidden="1">'10 Кв ф'!$A$19:$T$19</definedName>
    <definedName name="Z_DC64EED4_A191_4298_87E4_64E85FD8D110_.wvu.FilterData" localSheetId="0" hidden="1">'10 Кв ф'!$A$19:$T$607</definedName>
    <definedName name="Z_DD79EF37_1308_44D2_981A_C28745460F44_.wvu.FilterData" localSheetId="0" hidden="1">'10 Кв ф'!$A$19:$T$607</definedName>
    <definedName name="Z_DDAC970E_030F_4B51_AB9C_405787409F8D_.wvu.FilterData" localSheetId="0" hidden="1">'10 Кв ф'!$A$19:$T$19</definedName>
    <definedName name="Z_E411A018_3262_426B_992B_D639BDC47809_.wvu.FilterData" localSheetId="0" hidden="1">'10 Кв ф'!$A$19:$T$607</definedName>
    <definedName name="Z_E65E1C7B_B53B_4B88_8602_A3F4B4E3D382_.wvu.FilterData" localSheetId="0" hidden="1">'10 Кв ф'!$A$19:$T$639</definedName>
    <definedName name="Z_E8944C33_CF35_4790_9FEB_7204E02DE563_.wvu.FilterData" localSheetId="0" hidden="1">'10 Кв ф'!$A$19:$T$639</definedName>
    <definedName name="Z_E8944C33_CF35_4790_9FEB_7204E02DE563_.wvu.PrintArea" localSheetId="0" hidden="1">'10 Кв ф'!$A$2:$T$639</definedName>
    <definedName name="Z_EBE17BEF_ADE5_48A1_B3B0_13D095BC5397_.wvu.FilterData" localSheetId="0" hidden="1">'10 Кв ф'!$A$19:$T$607</definedName>
    <definedName name="Z_EF664B56_5069_481F_BF03_744F9121EDA1_.wvu.FilterData" localSheetId="0" hidden="1">'10 Кв ф'!$A$20:$T$607</definedName>
    <definedName name="Z_F5250458_B3DA_4BC9_8608_3E38DAC94C38_.wvu.FilterData" localSheetId="0" hidden="1">'10 Кв ф'!$A$19:$T$607</definedName>
    <definedName name="Z_F542FC93_15B6_4F75_8CE6_13289B723FF3_.wvu.FilterData" localSheetId="0" hidden="1">'10 Кв ф'!$A$19:$T$606</definedName>
    <definedName name="Z_FF811F01_18A2_472F_A2B1_C8CB4F7C4144_.wvu.FilterData" localSheetId="0" hidden="1">'10 Кв ф'!$A$19:$T$605</definedName>
    <definedName name="Z_FFD7E54C_3584_445D_916C_CB13835F8BCF_.wvu.FilterData" localSheetId="0" hidden="1">'10 Кв ф'!$A$19:$T$607</definedName>
    <definedName name="_xlnm.Print_Area" localSheetId="0">'10 Кв ф'!$A$1:$T$639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C19" i="1" s="1"/>
  <c r="D19" i="1" s="1"/>
  <c r="E19" i="1" s="1"/>
  <c r="F19" i="1" s="1"/>
  <c r="G19" i="1" s="1"/>
  <c r="I19" i="1"/>
  <c r="J19" i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D30" i="1"/>
  <c r="E30" i="1"/>
  <c r="E29" i="1" s="1"/>
  <c r="F30" i="1"/>
  <c r="G30" i="1"/>
  <c r="G29" i="1" s="1"/>
  <c r="H30" i="1"/>
  <c r="I30" i="1"/>
  <c r="J30" i="1"/>
  <c r="K30" i="1"/>
  <c r="L30" i="1"/>
  <c r="M30" i="1"/>
  <c r="N30" i="1"/>
  <c r="O30" i="1"/>
  <c r="P30" i="1"/>
  <c r="Q30" i="1"/>
  <c r="R30" i="1"/>
  <c r="D39" i="1"/>
  <c r="D36" i="1" s="1"/>
  <c r="D29" i="1" s="1"/>
  <c r="E39" i="1"/>
  <c r="G39" i="1"/>
  <c r="G36" i="1" s="1"/>
  <c r="I39" i="1"/>
  <c r="K39" i="1"/>
  <c r="K36" i="1" s="1"/>
  <c r="L39" i="1"/>
  <c r="M39" i="1"/>
  <c r="N39" i="1"/>
  <c r="N36" i="1" s="1"/>
  <c r="O39" i="1"/>
  <c r="O36" i="1" s="1"/>
  <c r="P39" i="1"/>
  <c r="P36" i="1" s="1"/>
  <c r="P29" i="1" s="1"/>
  <c r="F40" i="1"/>
  <c r="F39" i="1" s="1"/>
  <c r="H40" i="1"/>
  <c r="J40" i="1"/>
  <c r="J39" i="1" s="1"/>
  <c r="F41" i="1"/>
  <c r="H41" i="1"/>
  <c r="J41" i="1"/>
  <c r="L41" i="1"/>
  <c r="R41" i="1"/>
  <c r="S41" i="1" s="1"/>
  <c r="D42" i="1"/>
  <c r="E42" i="1"/>
  <c r="F42" i="1"/>
  <c r="G42" i="1"/>
  <c r="I42" i="1"/>
  <c r="J42" i="1"/>
  <c r="K42" i="1"/>
  <c r="L42" i="1"/>
  <c r="M42" i="1"/>
  <c r="N42" i="1"/>
  <c r="O42" i="1"/>
  <c r="P42" i="1"/>
  <c r="Q42" i="1"/>
  <c r="R42" i="1"/>
  <c r="H43" i="1"/>
  <c r="D44" i="1"/>
  <c r="E44" i="1"/>
  <c r="G44" i="1"/>
  <c r="I44" i="1"/>
  <c r="K44" i="1"/>
  <c r="M44" i="1"/>
  <c r="N44" i="1"/>
  <c r="O44" i="1"/>
  <c r="P44" i="1"/>
  <c r="F45" i="1"/>
  <c r="J45" i="1"/>
  <c r="L45" i="1"/>
  <c r="F46" i="1"/>
  <c r="J46" i="1"/>
  <c r="H46" i="1" s="1"/>
  <c r="F47" i="1"/>
  <c r="J47" i="1"/>
  <c r="L47" i="1"/>
  <c r="F48" i="1"/>
  <c r="H48" i="1"/>
  <c r="Q48" i="1" s="1"/>
  <c r="J48" i="1"/>
  <c r="F49" i="1"/>
  <c r="Q49" i="1" s="1"/>
  <c r="H49" i="1"/>
  <c r="R49" i="1" s="1"/>
  <c r="S49" i="1" s="1"/>
  <c r="H50" i="1"/>
  <c r="H51" i="1"/>
  <c r="J51" i="1"/>
  <c r="L51" i="1"/>
  <c r="I53" i="1"/>
  <c r="N53" i="1"/>
  <c r="D54" i="1"/>
  <c r="E54" i="1"/>
  <c r="G54" i="1"/>
  <c r="G53" i="1" s="1"/>
  <c r="I54" i="1"/>
  <c r="J54" i="1"/>
  <c r="K54" i="1"/>
  <c r="K53" i="1" s="1"/>
  <c r="L54" i="1"/>
  <c r="M54" i="1"/>
  <c r="N54" i="1"/>
  <c r="O54" i="1"/>
  <c r="O53" i="1" s="1"/>
  <c r="P54" i="1"/>
  <c r="P53" i="1" s="1"/>
  <c r="F55" i="1"/>
  <c r="Q55" i="1" s="1"/>
  <c r="H55" i="1"/>
  <c r="H54" i="1" s="1"/>
  <c r="H56" i="1"/>
  <c r="H57" i="1"/>
  <c r="F58" i="1"/>
  <c r="H58" i="1"/>
  <c r="Q58" i="1"/>
  <c r="R58" i="1"/>
  <c r="F59" i="1"/>
  <c r="H59" i="1"/>
  <c r="Q59" i="1" s="1"/>
  <c r="D60" i="1"/>
  <c r="E60" i="1"/>
  <c r="E53" i="1" s="1"/>
  <c r="G60" i="1"/>
  <c r="I60" i="1"/>
  <c r="J60" i="1"/>
  <c r="K60" i="1"/>
  <c r="L60" i="1"/>
  <c r="M60" i="1"/>
  <c r="M53" i="1" s="1"/>
  <c r="N60" i="1"/>
  <c r="O60" i="1"/>
  <c r="P60" i="1"/>
  <c r="H61" i="1"/>
  <c r="F62" i="1"/>
  <c r="F60" i="1" s="1"/>
  <c r="H62" i="1"/>
  <c r="R62" i="1"/>
  <c r="S62" i="1" s="1"/>
  <c r="F63" i="1"/>
  <c r="H63" i="1"/>
  <c r="Q63" i="1" s="1"/>
  <c r="D64" i="1"/>
  <c r="E64" i="1"/>
  <c r="G64" i="1"/>
  <c r="I64" i="1"/>
  <c r="J64" i="1"/>
  <c r="K64" i="1"/>
  <c r="L64" i="1"/>
  <c r="M64" i="1"/>
  <c r="N64" i="1"/>
  <c r="O64" i="1"/>
  <c r="P64" i="1"/>
  <c r="F65" i="1"/>
  <c r="F64" i="1" s="1"/>
  <c r="H65" i="1"/>
  <c r="H64" i="1" s="1"/>
  <c r="J65" i="1"/>
  <c r="L65" i="1"/>
  <c r="Q65" i="1"/>
  <c r="Q64" i="1" s="1"/>
  <c r="R65" i="1"/>
  <c r="S65" i="1" s="1"/>
  <c r="D66" i="1"/>
  <c r="E66" i="1"/>
  <c r="G66" i="1"/>
  <c r="I66" i="1"/>
  <c r="K66" i="1"/>
  <c r="L66" i="1"/>
  <c r="M66" i="1"/>
  <c r="N66" i="1"/>
  <c r="O66" i="1"/>
  <c r="P66" i="1"/>
  <c r="H67" i="1"/>
  <c r="F68" i="1"/>
  <c r="F66" i="1" s="1"/>
  <c r="H68" i="1"/>
  <c r="R68" i="1"/>
  <c r="S68" i="1" s="1"/>
  <c r="F69" i="1"/>
  <c r="H69" i="1"/>
  <c r="Q69" i="1" s="1"/>
  <c r="F70" i="1"/>
  <c r="Q70" i="1" s="1"/>
  <c r="H70" i="1"/>
  <c r="R70" i="1"/>
  <c r="S70" i="1" s="1"/>
  <c r="F71" i="1"/>
  <c r="H71" i="1"/>
  <c r="Q71" i="1" s="1"/>
  <c r="H72" i="1"/>
  <c r="F73" i="1"/>
  <c r="J73" i="1"/>
  <c r="J66" i="1" s="1"/>
  <c r="F74" i="1"/>
  <c r="Q74" i="1" s="1"/>
  <c r="H74" i="1"/>
  <c r="R74" i="1"/>
  <c r="S74" i="1" s="1"/>
  <c r="F75" i="1"/>
  <c r="H75" i="1"/>
  <c r="Q75" i="1" s="1"/>
  <c r="D77" i="1"/>
  <c r="E77" i="1"/>
  <c r="G77" i="1"/>
  <c r="I77" i="1"/>
  <c r="J77" i="1"/>
  <c r="K77" i="1"/>
  <c r="L77" i="1"/>
  <c r="M77" i="1"/>
  <c r="N77" i="1"/>
  <c r="O77" i="1"/>
  <c r="P77" i="1"/>
  <c r="H78" i="1"/>
  <c r="F79" i="1"/>
  <c r="F77" i="1" s="1"/>
  <c r="H79" i="1"/>
  <c r="R79" i="1"/>
  <c r="F80" i="1"/>
  <c r="H80" i="1"/>
  <c r="Q80" i="1"/>
  <c r="R80" i="1"/>
  <c r="S80" i="1" s="1"/>
  <c r="H81" i="1"/>
  <c r="F82" i="1"/>
  <c r="H82" i="1"/>
  <c r="Q82" i="1"/>
  <c r="R82" i="1"/>
  <c r="S82" i="1" s="1"/>
  <c r="H83" i="1"/>
  <c r="F84" i="1"/>
  <c r="H84" i="1"/>
  <c r="Q84" i="1"/>
  <c r="R84" i="1"/>
  <c r="S84" i="1" s="1"/>
  <c r="F85" i="1"/>
  <c r="Q85" i="1" s="1"/>
  <c r="H85" i="1"/>
  <c r="F86" i="1"/>
  <c r="H86" i="1"/>
  <c r="Q86" i="1"/>
  <c r="R86" i="1"/>
  <c r="S86" i="1" s="1"/>
  <c r="F87" i="1"/>
  <c r="Q87" i="1" s="1"/>
  <c r="H87" i="1"/>
  <c r="R87" i="1" s="1"/>
  <c r="F88" i="1"/>
  <c r="Q88" i="1" s="1"/>
  <c r="H88" i="1"/>
  <c r="R88" i="1"/>
  <c r="F89" i="1"/>
  <c r="H89" i="1"/>
  <c r="Q89" i="1"/>
  <c r="R89" i="1"/>
  <c r="S89" i="1" s="1"/>
  <c r="D91" i="1"/>
  <c r="E91" i="1"/>
  <c r="G91" i="1"/>
  <c r="I91" i="1"/>
  <c r="K91" i="1"/>
  <c r="M91" i="1"/>
  <c r="N91" i="1"/>
  <c r="O91" i="1"/>
  <c r="P91" i="1"/>
  <c r="F92" i="1"/>
  <c r="J92" i="1"/>
  <c r="F93" i="1"/>
  <c r="H93" i="1"/>
  <c r="R93" i="1" s="1"/>
  <c r="S93" i="1" s="1"/>
  <c r="J93" i="1"/>
  <c r="Q93" i="1"/>
  <c r="F94" i="1"/>
  <c r="Q94" i="1" s="1"/>
  <c r="H94" i="1"/>
  <c r="J94" i="1"/>
  <c r="F95" i="1"/>
  <c r="H95" i="1"/>
  <c r="J95" i="1"/>
  <c r="F96" i="1"/>
  <c r="J96" i="1"/>
  <c r="H96" i="1" s="1"/>
  <c r="L96" i="1"/>
  <c r="L91" i="1" s="1"/>
  <c r="F97" i="1"/>
  <c r="J97" i="1"/>
  <c r="H97" i="1" s="1"/>
  <c r="F98" i="1"/>
  <c r="H98" i="1"/>
  <c r="R98" i="1" s="1"/>
  <c r="S98" i="1" s="1"/>
  <c r="J98" i="1"/>
  <c r="Q98" i="1"/>
  <c r="F99" i="1"/>
  <c r="Q99" i="1" s="1"/>
  <c r="H99" i="1"/>
  <c r="R99" i="1" s="1"/>
  <c r="S99" i="1" s="1"/>
  <c r="J99" i="1"/>
  <c r="F100" i="1"/>
  <c r="J100" i="1"/>
  <c r="H100" i="1" s="1"/>
  <c r="F101" i="1"/>
  <c r="J101" i="1"/>
  <c r="H101" i="1" s="1"/>
  <c r="R101" i="1" s="1"/>
  <c r="S101" i="1" s="1"/>
  <c r="Q101" i="1"/>
  <c r="F102" i="1"/>
  <c r="H102" i="1"/>
  <c r="J102" i="1"/>
  <c r="Q102" i="1"/>
  <c r="R102" i="1"/>
  <c r="S102" i="1" s="1"/>
  <c r="F103" i="1"/>
  <c r="J103" i="1"/>
  <c r="H103" i="1" s="1"/>
  <c r="F104" i="1"/>
  <c r="H104" i="1"/>
  <c r="Q104" i="1" s="1"/>
  <c r="R104" i="1"/>
  <c r="S104" i="1" s="1"/>
  <c r="F105" i="1"/>
  <c r="H105" i="1"/>
  <c r="R105" i="1" s="1"/>
  <c r="S105" i="1" s="1"/>
  <c r="J105" i="1"/>
  <c r="F106" i="1"/>
  <c r="Q106" i="1" s="1"/>
  <c r="J106" i="1"/>
  <c r="H106" i="1" s="1"/>
  <c r="F107" i="1"/>
  <c r="H107" i="1"/>
  <c r="J107" i="1"/>
  <c r="Q107" i="1"/>
  <c r="F108" i="1"/>
  <c r="Q108" i="1" s="1"/>
  <c r="J108" i="1"/>
  <c r="H108" i="1" s="1"/>
  <c r="D109" i="1"/>
  <c r="E109" i="1"/>
  <c r="G109" i="1"/>
  <c r="G76" i="1" s="1"/>
  <c r="I109" i="1"/>
  <c r="K109" i="1"/>
  <c r="K76" i="1" s="1"/>
  <c r="L109" i="1"/>
  <c r="M109" i="1"/>
  <c r="N109" i="1"/>
  <c r="O109" i="1"/>
  <c r="O76" i="1" s="1"/>
  <c r="P109" i="1"/>
  <c r="F110" i="1"/>
  <c r="H110" i="1"/>
  <c r="Q110" i="1"/>
  <c r="R110" i="1"/>
  <c r="S110" i="1"/>
  <c r="F111" i="1"/>
  <c r="Q111" i="1" s="1"/>
  <c r="H111" i="1"/>
  <c r="R111" i="1" s="1"/>
  <c r="S111" i="1" s="1"/>
  <c r="H112" i="1"/>
  <c r="H113" i="1"/>
  <c r="H114" i="1"/>
  <c r="F115" i="1"/>
  <c r="Q115" i="1" s="1"/>
  <c r="H115" i="1"/>
  <c r="R115" i="1" s="1"/>
  <c r="S115" i="1" s="1"/>
  <c r="F116" i="1"/>
  <c r="H116" i="1"/>
  <c r="R116" i="1" s="1"/>
  <c r="S116" i="1" s="1"/>
  <c r="Q116" i="1"/>
  <c r="F117" i="1"/>
  <c r="Q117" i="1" s="1"/>
  <c r="H117" i="1"/>
  <c r="R117" i="1" s="1"/>
  <c r="S117" i="1" s="1"/>
  <c r="F118" i="1"/>
  <c r="H118" i="1"/>
  <c r="R118" i="1" s="1"/>
  <c r="S118" i="1" s="1"/>
  <c r="Q118" i="1"/>
  <c r="F119" i="1"/>
  <c r="Q119" i="1" s="1"/>
  <c r="H119" i="1"/>
  <c r="R119" i="1" s="1"/>
  <c r="S119" i="1"/>
  <c r="F120" i="1"/>
  <c r="H120" i="1"/>
  <c r="R120" i="1" s="1"/>
  <c r="S120" i="1" s="1"/>
  <c r="Q120" i="1"/>
  <c r="F121" i="1"/>
  <c r="Q121" i="1" s="1"/>
  <c r="H121" i="1"/>
  <c r="R121" i="1"/>
  <c r="S121" i="1"/>
  <c r="F122" i="1"/>
  <c r="H122" i="1"/>
  <c r="R122" i="1" s="1"/>
  <c r="S122" i="1" s="1"/>
  <c r="Q122" i="1"/>
  <c r="H123" i="1"/>
  <c r="F124" i="1"/>
  <c r="H124" i="1"/>
  <c r="Q124" i="1"/>
  <c r="R124" i="1"/>
  <c r="F125" i="1"/>
  <c r="H125" i="1"/>
  <c r="F126" i="1"/>
  <c r="Q126" i="1" s="1"/>
  <c r="H126" i="1"/>
  <c r="R126" i="1"/>
  <c r="F127" i="1"/>
  <c r="H127" i="1"/>
  <c r="R127" i="1" s="1"/>
  <c r="S127" i="1" s="1"/>
  <c r="Q127" i="1"/>
  <c r="F128" i="1"/>
  <c r="Q128" i="1" s="1"/>
  <c r="H128" i="1"/>
  <c r="R128" i="1"/>
  <c r="S128" i="1"/>
  <c r="F129" i="1"/>
  <c r="H129" i="1"/>
  <c r="R129" i="1" s="1"/>
  <c r="S129" i="1" s="1"/>
  <c r="Q129" i="1"/>
  <c r="F130" i="1"/>
  <c r="Q130" i="1" s="1"/>
  <c r="H130" i="1"/>
  <c r="R130" i="1"/>
  <c r="F131" i="1"/>
  <c r="H131" i="1"/>
  <c r="Q131" i="1" s="1"/>
  <c r="R131" i="1"/>
  <c r="H132" i="1"/>
  <c r="H133" i="1"/>
  <c r="J133" i="1"/>
  <c r="J109" i="1" s="1"/>
  <c r="Q134" i="1"/>
  <c r="G135" i="1"/>
  <c r="G134" i="1" s="1"/>
  <c r="K135" i="1"/>
  <c r="K134" i="1" s="1"/>
  <c r="O135" i="1"/>
  <c r="O134" i="1" s="1"/>
  <c r="D137" i="1"/>
  <c r="D135" i="1" s="1"/>
  <c r="D134" i="1" s="1"/>
  <c r="E137" i="1"/>
  <c r="E135" i="1" s="1"/>
  <c r="E134" i="1" s="1"/>
  <c r="F137" i="1"/>
  <c r="F135" i="1" s="1"/>
  <c r="F134" i="1" s="1"/>
  <c r="G137" i="1"/>
  <c r="I137" i="1"/>
  <c r="I135" i="1" s="1"/>
  <c r="I134" i="1" s="1"/>
  <c r="J137" i="1"/>
  <c r="J135" i="1" s="1"/>
  <c r="J134" i="1" s="1"/>
  <c r="K137" i="1"/>
  <c r="L137" i="1"/>
  <c r="L135" i="1" s="1"/>
  <c r="L134" i="1" s="1"/>
  <c r="M137" i="1"/>
  <c r="M135" i="1" s="1"/>
  <c r="M134" i="1" s="1"/>
  <c r="N137" i="1"/>
  <c r="O137" i="1"/>
  <c r="P137" i="1"/>
  <c r="P135" i="1" s="1"/>
  <c r="P134" i="1" s="1"/>
  <c r="Q137" i="1"/>
  <c r="Q135" i="1" s="1"/>
  <c r="R137" i="1"/>
  <c r="R135" i="1" s="1"/>
  <c r="R134" i="1" s="1"/>
  <c r="H138" i="1"/>
  <c r="D142" i="1"/>
  <c r="E142" i="1"/>
  <c r="L142" i="1"/>
  <c r="M142" i="1"/>
  <c r="P142" i="1"/>
  <c r="D144" i="1"/>
  <c r="E144" i="1"/>
  <c r="G144" i="1"/>
  <c r="G142" i="1" s="1"/>
  <c r="I144" i="1"/>
  <c r="J144" i="1"/>
  <c r="K144" i="1"/>
  <c r="K142" i="1" s="1"/>
  <c r="L144" i="1"/>
  <c r="M144" i="1"/>
  <c r="N144" i="1"/>
  <c r="O144" i="1"/>
  <c r="O142" i="1" s="1"/>
  <c r="P144" i="1"/>
  <c r="R144" i="1"/>
  <c r="S144" i="1" s="1"/>
  <c r="F145" i="1"/>
  <c r="Q145" i="1" s="1"/>
  <c r="Q144" i="1" s="1"/>
  <c r="H145" i="1"/>
  <c r="H144" i="1" s="1"/>
  <c r="R145" i="1"/>
  <c r="S145" i="1"/>
  <c r="D146" i="1"/>
  <c r="E146" i="1"/>
  <c r="F146" i="1"/>
  <c r="G146" i="1"/>
  <c r="I146" i="1"/>
  <c r="J146" i="1"/>
  <c r="K146" i="1"/>
  <c r="L146" i="1"/>
  <c r="M146" i="1"/>
  <c r="N146" i="1"/>
  <c r="O146" i="1"/>
  <c r="P146" i="1"/>
  <c r="R146" i="1"/>
  <c r="S146" i="1" s="1"/>
  <c r="F147" i="1"/>
  <c r="H147" i="1"/>
  <c r="H146" i="1" s="1"/>
  <c r="Q147" i="1"/>
  <c r="Q146" i="1" s="1"/>
  <c r="R147" i="1"/>
  <c r="S147" i="1" s="1"/>
  <c r="F148" i="1"/>
  <c r="Q148" i="1" s="1"/>
  <c r="H148" i="1"/>
  <c r="J148" i="1"/>
  <c r="R148" i="1"/>
  <c r="S148" i="1" s="1"/>
  <c r="D149" i="1"/>
  <c r="E149" i="1"/>
  <c r="G149" i="1"/>
  <c r="I149" i="1"/>
  <c r="I142" i="1" s="1"/>
  <c r="J149" i="1"/>
  <c r="K149" i="1"/>
  <c r="L149" i="1"/>
  <c r="M149" i="1"/>
  <c r="N149" i="1"/>
  <c r="O149" i="1"/>
  <c r="P149" i="1"/>
  <c r="F150" i="1"/>
  <c r="H150" i="1"/>
  <c r="Q150" i="1"/>
  <c r="R150" i="1"/>
  <c r="F151" i="1"/>
  <c r="H151" i="1"/>
  <c r="F152" i="1"/>
  <c r="H152" i="1"/>
  <c r="Q152" i="1"/>
  <c r="R152" i="1"/>
  <c r="S152" i="1" s="1"/>
  <c r="F153" i="1"/>
  <c r="H153" i="1"/>
  <c r="F154" i="1"/>
  <c r="H154" i="1"/>
  <c r="Q154" i="1"/>
  <c r="R154" i="1"/>
  <c r="S154" i="1" s="1"/>
  <c r="F155" i="1"/>
  <c r="Q155" i="1" s="1"/>
  <c r="H155" i="1"/>
  <c r="D157" i="1"/>
  <c r="E157" i="1"/>
  <c r="G157" i="1"/>
  <c r="I157" i="1"/>
  <c r="K157" i="1"/>
  <c r="L157" i="1"/>
  <c r="M157" i="1"/>
  <c r="N157" i="1"/>
  <c r="O157" i="1"/>
  <c r="P157" i="1"/>
  <c r="H158" i="1"/>
  <c r="F159" i="1"/>
  <c r="H159" i="1"/>
  <c r="Q159" i="1"/>
  <c r="R159" i="1"/>
  <c r="F160" i="1"/>
  <c r="H160" i="1"/>
  <c r="R160" i="1" s="1"/>
  <c r="F161" i="1"/>
  <c r="Q161" i="1" s="1"/>
  <c r="H161" i="1"/>
  <c r="R161" i="1"/>
  <c r="F162" i="1"/>
  <c r="H162" i="1"/>
  <c r="Q162" i="1"/>
  <c r="R162" i="1"/>
  <c r="F163" i="1"/>
  <c r="H163" i="1"/>
  <c r="Q163" i="1"/>
  <c r="F164" i="1"/>
  <c r="H164" i="1"/>
  <c r="F165" i="1"/>
  <c r="H165" i="1"/>
  <c r="Q165" i="1"/>
  <c r="R165" i="1"/>
  <c r="F166" i="1"/>
  <c r="H166" i="1"/>
  <c r="F167" i="1"/>
  <c r="H167" i="1"/>
  <c r="R167" i="1" s="1"/>
  <c r="Q167" i="1"/>
  <c r="F168" i="1"/>
  <c r="Q168" i="1" s="1"/>
  <c r="H168" i="1"/>
  <c r="R168" i="1"/>
  <c r="F169" i="1"/>
  <c r="H169" i="1"/>
  <c r="Q169" i="1"/>
  <c r="R169" i="1"/>
  <c r="F170" i="1"/>
  <c r="H170" i="1"/>
  <c r="Q170" i="1"/>
  <c r="F171" i="1"/>
  <c r="H171" i="1"/>
  <c r="R171" i="1" s="1"/>
  <c r="Q171" i="1"/>
  <c r="F172" i="1"/>
  <c r="Q172" i="1" s="1"/>
  <c r="H172" i="1"/>
  <c r="R172" i="1" s="1"/>
  <c r="F173" i="1"/>
  <c r="Q173" i="1" s="1"/>
  <c r="H173" i="1"/>
  <c r="R173" i="1"/>
  <c r="F174" i="1"/>
  <c r="H174" i="1"/>
  <c r="Q174" i="1"/>
  <c r="R174" i="1"/>
  <c r="F175" i="1"/>
  <c r="Q175" i="1" s="1"/>
  <c r="H175" i="1"/>
  <c r="R175" i="1" s="1"/>
  <c r="F176" i="1"/>
  <c r="H176" i="1"/>
  <c r="F177" i="1"/>
  <c r="Q177" i="1" s="1"/>
  <c r="H177" i="1"/>
  <c r="R177" i="1"/>
  <c r="H178" i="1"/>
  <c r="F179" i="1"/>
  <c r="Q179" i="1" s="1"/>
  <c r="H179" i="1"/>
  <c r="R179" i="1" s="1"/>
  <c r="F180" i="1"/>
  <c r="H180" i="1"/>
  <c r="F181" i="1"/>
  <c r="Q181" i="1" s="1"/>
  <c r="H181" i="1"/>
  <c r="R181" i="1"/>
  <c r="F182" i="1"/>
  <c r="H182" i="1"/>
  <c r="R182" i="1"/>
  <c r="F183" i="1"/>
  <c r="H183" i="1"/>
  <c r="F184" i="1"/>
  <c r="H184" i="1"/>
  <c r="R184" i="1"/>
  <c r="L185" i="1"/>
  <c r="H185" i="1" s="1"/>
  <c r="H186" i="1"/>
  <c r="H187" i="1"/>
  <c r="F188" i="1"/>
  <c r="H188" i="1"/>
  <c r="R188" i="1"/>
  <c r="H189" i="1"/>
  <c r="F190" i="1"/>
  <c r="Q190" i="1" s="1"/>
  <c r="H190" i="1"/>
  <c r="F191" i="1"/>
  <c r="Q191" i="1" s="1"/>
  <c r="H191" i="1"/>
  <c r="R191" i="1"/>
  <c r="F192" i="1"/>
  <c r="H192" i="1"/>
  <c r="Q192" i="1"/>
  <c r="R192" i="1"/>
  <c r="F193" i="1"/>
  <c r="H193" i="1"/>
  <c r="R193" i="1" s="1"/>
  <c r="Q193" i="1"/>
  <c r="F194" i="1"/>
  <c r="Q194" i="1" s="1"/>
  <c r="H194" i="1"/>
  <c r="F195" i="1"/>
  <c r="L195" i="1"/>
  <c r="H195" i="1" s="1"/>
  <c r="F196" i="1"/>
  <c r="J196" i="1"/>
  <c r="J157" i="1" s="1"/>
  <c r="F197" i="1"/>
  <c r="H197" i="1"/>
  <c r="J197" i="1"/>
  <c r="F198" i="1"/>
  <c r="H198" i="1"/>
  <c r="R198" i="1" s="1"/>
  <c r="S198" i="1" s="1"/>
  <c r="Q198" i="1"/>
  <c r="F199" i="1"/>
  <c r="Q199" i="1" s="1"/>
  <c r="H199" i="1"/>
  <c r="R199" i="1"/>
  <c r="S199" i="1"/>
  <c r="F200" i="1"/>
  <c r="H200" i="1"/>
  <c r="R200" i="1" s="1"/>
  <c r="S200" i="1" s="1"/>
  <c r="Q200" i="1"/>
  <c r="F201" i="1"/>
  <c r="Q201" i="1" s="1"/>
  <c r="H201" i="1"/>
  <c r="L201" i="1"/>
  <c r="R201" i="1"/>
  <c r="S201" i="1" s="1"/>
  <c r="H202" i="1"/>
  <c r="F203" i="1"/>
  <c r="H203" i="1"/>
  <c r="Q203" i="1"/>
  <c r="R203" i="1"/>
  <c r="S203" i="1" s="1"/>
  <c r="F204" i="1"/>
  <c r="Q204" i="1" s="1"/>
  <c r="H204" i="1"/>
  <c r="H205" i="1"/>
  <c r="F206" i="1"/>
  <c r="H206" i="1"/>
  <c r="Q206" i="1"/>
  <c r="R206" i="1"/>
  <c r="S206" i="1" s="1"/>
  <c r="F207" i="1"/>
  <c r="Q207" i="1" s="1"/>
  <c r="H207" i="1"/>
  <c r="G209" i="1"/>
  <c r="K209" i="1"/>
  <c r="O209" i="1"/>
  <c r="D210" i="1"/>
  <c r="E210" i="1"/>
  <c r="F210" i="1"/>
  <c r="G210" i="1"/>
  <c r="H210" i="1"/>
  <c r="I210" i="1"/>
  <c r="J210" i="1"/>
  <c r="K210" i="1"/>
  <c r="L210" i="1"/>
  <c r="M210" i="1"/>
  <c r="N210" i="1"/>
  <c r="O210" i="1"/>
  <c r="P210" i="1"/>
  <c r="Q210" i="1"/>
  <c r="R210" i="1"/>
  <c r="D213" i="1"/>
  <c r="E213" i="1"/>
  <c r="F213" i="1"/>
  <c r="G213" i="1"/>
  <c r="H213" i="1"/>
  <c r="I213" i="1"/>
  <c r="J213" i="1"/>
  <c r="K213" i="1"/>
  <c r="L213" i="1"/>
  <c r="M213" i="1"/>
  <c r="N213" i="1"/>
  <c r="O213" i="1"/>
  <c r="P213" i="1"/>
  <c r="Q213" i="1"/>
  <c r="R213" i="1"/>
  <c r="D216" i="1"/>
  <c r="G216" i="1"/>
  <c r="K216" i="1"/>
  <c r="L216" i="1"/>
  <c r="O216" i="1"/>
  <c r="P216" i="1"/>
  <c r="D221" i="1"/>
  <c r="E221" i="1"/>
  <c r="E216" i="1" s="1"/>
  <c r="G221" i="1"/>
  <c r="I221" i="1"/>
  <c r="I216" i="1" s="1"/>
  <c r="J221" i="1"/>
  <c r="J216" i="1" s="1"/>
  <c r="J209" i="1" s="1"/>
  <c r="K221" i="1"/>
  <c r="L221" i="1"/>
  <c r="M221" i="1"/>
  <c r="M216" i="1" s="1"/>
  <c r="N221" i="1"/>
  <c r="N216" i="1" s="1"/>
  <c r="O221" i="1"/>
  <c r="P221" i="1"/>
  <c r="F222" i="1"/>
  <c r="H222" i="1"/>
  <c r="H221" i="1" s="1"/>
  <c r="Q222" i="1"/>
  <c r="R222" i="1"/>
  <c r="F223" i="1"/>
  <c r="H223" i="1"/>
  <c r="F224" i="1"/>
  <c r="H224" i="1"/>
  <c r="Q224" i="1"/>
  <c r="R224" i="1"/>
  <c r="F225" i="1"/>
  <c r="H225" i="1"/>
  <c r="F226" i="1"/>
  <c r="Q226" i="1" s="1"/>
  <c r="H226" i="1"/>
  <c r="K228" i="1"/>
  <c r="O228" i="1"/>
  <c r="D229" i="1"/>
  <c r="E229" i="1"/>
  <c r="E228" i="1" s="1"/>
  <c r="G229" i="1"/>
  <c r="I229" i="1"/>
  <c r="I228" i="1" s="1"/>
  <c r="J229" i="1"/>
  <c r="K229" i="1"/>
  <c r="L229" i="1"/>
  <c r="M229" i="1"/>
  <c r="M228" i="1" s="1"/>
  <c r="N229" i="1"/>
  <c r="O229" i="1"/>
  <c r="P229" i="1"/>
  <c r="F230" i="1"/>
  <c r="F229" i="1" s="1"/>
  <c r="H230" i="1"/>
  <c r="D232" i="1"/>
  <c r="E232" i="1"/>
  <c r="G232" i="1"/>
  <c r="I232" i="1"/>
  <c r="J232" i="1"/>
  <c r="K232" i="1"/>
  <c r="L232" i="1"/>
  <c r="M232" i="1"/>
  <c r="N232" i="1"/>
  <c r="O232" i="1"/>
  <c r="P232" i="1"/>
  <c r="F233" i="1"/>
  <c r="F232" i="1" s="1"/>
  <c r="H233" i="1"/>
  <c r="H232" i="1" s="1"/>
  <c r="D234" i="1"/>
  <c r="E234" i="1"/>
  <c r="G234" i="1"/>
  <c r="G228" i="1" s="1"/>
  <c r="I234" i="1"/>
  <c r="J234" i="1"/>
  <c r="J228" i="1" s="1"/>
  <c r="K234" i="1"/>
  <c r="L234" i="1"/>
  <c r="M234" i="1"/>
  <c r="N234" i="1"/>
  <c r="N228" i="1" s="1"/>
  <c r="O234" i="1"/>
  <c r="P234" i="1"/>
  <c r="F235" i="1"/>
  <c r="H235" i="1"/>
  <c r="H234" i="1" s="1"/>
  <c r="F236" i="1"/>
  <c r="H236" i="1"/>
  <c r="R236" i="1" s="1"/>
  <c r="S236" i="1" s="1"/>
  <c r="Q236" i="1"/>
  <c r="F237" i="1"/>
  <c r="Q237" i="1" s="1"/>
  <c r="H237" i="1"/>
  <c r="F238" i="1"/>
  <c r="H238" i="1"/>
  <c r="R238" i="1" s="1"/>
  <c r="S238" i="1" s="1"/>
  <c r="Q238" i="1"/>
  <c r="H239" i="1"/>
  <c r="F240" i="1"/>
  <c r="H240" i="1"/>
  <c r="R240" i="1" s="1"/>
  <c r="S240" i="1" s="1"/>
  <c r="Q240" i="1"/>
  <c r="F241" i="1"/>
  <c r="Q241" i="1" s="1"/>
  <c r="H241" i="1"/>
  <c r="R241" i="1"/>
  <c r="F242" i="1"/>
  <c r="H242" i="1"/>
  <c r="Q242" i="1"/>
  <c r="R242" i="1"/>
  <c r="N243" i="1"/>
  <c r="D244" i="1"/>
  <c r="E244" i="1"/>
  <c r="G244" i="1"/>
  <c r="G243" i="1" s="1"/>
  <c r="I244" i="1"/>
  <c r="J244" i="1"/>
  <c r="J243" i="1" s="1"/>
  <c r="K244" i="1"/>
  <c r="K243" i="1" s="1"/>
  <c r="L244" i="1"/>
  <c r="L243" i="1" s="1"/>
  <c r="M244" i="1"/>
  <c r="N244" i="1"/>
  <c r="O244" i="1"/>
  <c r="O243" i="1" s="1"/>
  <c r="P244" i="1"/>
  <c r="P243" i="1" s="1"/>
  <c r="F245" i="1"/>
  <c r="H245" i="1"/>
  <c r="R245" i="1"/>
  <c r="S245" i="1"/>
  <c r="F246" i="1"/>
  <c r="H246" i="1"/>
  <c r="F247" i="1"/>
  <c r="Q247" i="1" s="1"/>
  <c r="H247" i="1"/>
  <c r="R247" i="1"/>
  <c r="S247" i="1" s="1"/>
  <c r="F248" i="1"/>
  <c r="H248" i="1"/>
  <c r="Q248" i="1"/>
  <c r="R248" i="1"/>
  <c r="S248" i="1" s="1"/>
  <c r="F249" i="1"/>
  <c r="H249" i="1"/>
  <c r="R249" i="1"/>
  <c r="S249" i="1" s="1"/>
  <c r="D252" i="1"/>
  <c r="E252" i="1"/>
  <c r="E243" i="1" s="1"/>
  <c r="G252" i="1"/>
  <c r="I252" i="1"/>
  <c r="I243" i="1" s="1"/>
  <c r="J252" i="1"/>
  <c r="K252" i="1"/>
  <c r="L252" i="1"/>
  <c r="M252" i="1"/>
  <c r="M243" i="1" s="1"/>
  <c r="N252" i="1"/>
  <c r="O252" i="1"/>
  <c r="P252" i="1"/>
  <c r="F253" i="1"/>
  <c r="Q253" i="1" s="1"/>
  <c r="H253" i="1"/>
  <c r="R253" i="1" s="1"/>
  <c r="S253" i="1"/>
  <c r="F254" i="1"/>
  <c r="H254" i="1"/>
  <c r="Q254" i="1"/>
  <c r="R254" i="1"/>
  <c r="S254" i="1" s="1"/>
  <c r="F255" i="1"/>
  <c r="H255" i="1"/>
  <c r="F256" i="1"/>
  <c r="Q256" i="1" s="1"/>
  <c r="H256" i="1"/>
  <c r="R256" i="1"/>
  <c r="S256" i="1"/>
  <c r="F257" i="1"/>
  <c r="Q257" i="1" s="1"/>
  <c r="H257" i="1"/>
  <c r="R257" i="1" s="1"/>
  <c r="S257" i="1"/>
  <c r="F258" i="1"/>
  <c r="H258" i="1"/>
  <c r="Q258" i="1"/>
  <c r="R258" i="1"/>
  <c r="S258" i="1" s="1"/>
  <c r="F259" i="1"/>
  <c r="H259" i="1"/>
  <c r="F260" i="1"/>
  <c r="Q260" i="1" s="1"/>
  <c r="H260" i="1"/>
  <c r="R260" i="1"/>
  <c r="S260" i="1"/>
  <c r="H261" i="1"/>
  <c r="H262" i="1"/>
  <c r="H263" i="1"/>
  <c r="D264" i="1"/>
  <c r="G264" i="1"/>
  <c r="H264" i="1"/>
  <c r="K264" i="1"/>
  <c r="L264" i="1"/>
  <c r="O264" i="1"/>
  <c r="D265" i="1"/>
  <c r="E265" i="1"/>
  <c r="E264" i="1" s="1"/>
  <c r="F265" i="1"/>
  <c r="F264" i="1" s="1"/>
  <c r="G265" i="1"/>
  <c r="H265" i="1"/>
  <c r="I265" i="1"/>
  <c r="I264" i="1" s="1"/>
  <c r="J265" i="1"/>
  <c r="J264" i="1" s="1"/>
  <c r="K265" i="1"/>
  <c r="L265" i="1"/>
  <c r="M265" i="1"/>
  <c r="M264" i="1" s="1"/>
  <c r="N265" i="1"/>
  <c r="O265" i="1"/>
  <c r="P265" i="1"/>
  <c r="P264" i="1" s="1"/>
  <c r="Q265" i="1"/>
  <c r="Q264" i="1" s="1"/>
  <c r="R265" i="1"/>
  <c r="R264" i="1" s="1"/>
  <c r="E271" i="1"/>
  <c r="D275" i="1"/>
  <c r="D271" i="1" s="1"/>
  <c r="E275" i="1"/>
  <c r="G275" i="1"/>
  <c r="G271" i="1" s="1"/>
  <c r="I275" i="1"/>
  <c r="I271" i="1" s="1"/>
  <c r="J275" i="1"/>
  <c r="J271" i="1" s="1"/>
  <c r="K275" i="1"/>
  <c r="K271" i="1" s="1"/>
  <c r="L275" i="1"/>
  <c r="L271" i="1" s="1"/>
  <c r="M275" i="1"/>
  <c r="M271" i="1" s="1"/>
  <c r="N275" i="1"/>
  <c r="N271" i="1" s="1"/>
  <c r="O275" i="1"/>
  <c r="O271" i="1" s="1"/>
  <c r="P275" i="1"/>
  <c r="P271" i="1" s="1"/>
  <c r="F276" i="1"/>
  <c r="H276" i="1"/>
  <c r="H275" i="1" s="1"/>
  <c r="D278" i="1"/>
  <c r="E278" i="1"/>
  <c r="G278" i="1"/>
  <c r="I278" i="1"/>
  <c r="J278" i="1"/>
  <c r="K278" i="1"/>
  <c r="L278" i="1"/>
  <c r="M278" i="1"/>
  <c r="N278" i="1"/>
  <c r="O278" i="1"/>
  <c r="P278" i="1"/>
  <c r="F279" i="1"/>
  <c r="H279" i="1"/>
  <c r="F280" i="1"/>
  <c r="Q280" i="1" s="1"/>
  <c r="H280" i="1"/>
  <c r="R280" i="1"/>
  <c r="S280" i="1" s="1"/>
  <c r="F281" i="1"/>
  <c r="H281" i="1"/>
  <c r="F282" i="1"/>
  <c r="Q282" i="1" s="1"/>
  <c r="H282" i="1"/>
  <c r="R282" i="1" s="1"/>
  <c r="F283" i="1"/>
  <c r="Q283" i="1" s="1"/>
  <c r="H283" i="1"/>
  <c r="R283" i="1"/>
  <c r="S283" i="1" s="1"/>
  <c r="F284" i="1"/>
  <c r="H284" i="1"/>
  <c r="F285" i="1"/>
  <c r="Q285" i="1" s="1"/>
  <c r="H285" i="1"/>
  <c r="R285" i="1"/>
  <c r="S285" i="1" s="1"/>
  <c r="F286" i="1"/>
  <c r="H286" i="1"/>
  <c r="F287" i="1"/>
  <c r="Q287" i="1" s="1"/>
  <c r="H287" i="1"/>
  <c r="R287" i="1" s="1"/>
  <c r="F288" i="1"/>
  <c r="H288" i="1"/>
  <c r="F289" i="1"/>
  <c r="H289" i="1"/>
  <c r="Q289" i="1"/>
  <c r="R289" i="1"/>
  <c r="F290" i="1"/>
  <c r="H290" i="1"/>
  <c r="R290" i="1"/>
  <c r="S290" i="1" s="1"/>
  <c r="F291" i="1"/>
  <c r="Q291" i="1" s="1"/>
  <c r="H291" i="1"/>
  <c r="F292" i="1"/>
  <c r="H292" i="1"/>
  <c r="R292" i="1"/>
  <c r="S292" i="1" s="1"/>
  <c r="F293" i="1"/>
  <c r="Q293" i="1" s="1"/>
  <c r="H293" i="1"/>
  <c r="F294" i="1"/>
  <c r="H294" i="1"/>
  <c r="R294" i="1"/>
  <c r="S294" i="1" s="1"/>
  <c r="E303" i="1"/>
  <c r="E296" i="1" s="1"/>
  <c r="D305" i="1"/>
  <c r="E305" i="1"/>
  <c r="F305" i="1"/>
  <c r="G305" i="1"/>
  <c r="G303" i="1" s="1"/>
  <c r="G296" i="1" s="1"/>
  <c r="I305" i="1"/>
  <c r="I303" i="1" s="1"/>
  <c r="I296" i="1" s="1"/>
  <c r="J305" i="1"/>
  <c r="K305" i="1"/>
  <c r="K303" i="1" s="1"/>
  <c r="K296" i="1" s="1"/>
  <c r="L305" i="1"/>
  <c r="M305" i="1"/>
  <c r="O305" i="1"/>
  <c r="O303" i="1" s="1"/>
  <c r="O296" i="1" s="1"/>
  <c r="P305" i="1"/>
  <c r="F306" i="1"/>
  <c r="H306" i="1"/>
  <c r="Q306" i="1"/>
  <c r="Q305" i="1" s="1"/>
  <c r="R306" i="1"/>
  <c r="R305" i="1" s="1"/>
  <c r="H307" i="1"/>
  <c r="N307" i="1"/>
  <c r="N305" i="1" s="1"/>
  <c r="D309" i="1"/>
  <c r="D303" i="1" s="1"/>
  <c r="D296" i="1" s="1"/>
  <c r="E309" i="1"/>
  <c r="G309" i="1"/>
  <c r="H309" i="1"/>
  <c r="I309" i="1"/>
  <c r="J309" i="1"/>
  <c r="K309" i="1"/>
  <c r="L309" i="1"/>
  <c r="L303" i="1" s="1"/>
  <c r="L296" i="1" s="1"/>
  <c r="M309" i="1"/>
  <c r="N309" i="1"/>
  <c r="O309" i="1"/>
  <c r="P309" i="1"/>
  <c r="P303" i="1" s="1"/>
  <c r="P296" i="1" s="1"/>
  <c r="F310" i="1"/>
  <c r="Q310" i="1" s="1"/>
  <c r="Q309" i="1" s="1"/>
  <c r="H310" i="1"/>
  <c r="R310" i="1"/>
  <c r="R309" i="1" s="1"/>
  <c r="S309" i="1" s="1"/>
  <c r="D311" i="1"/>
  <c r="E311" i="1"/>
  <c r="G311" i="1"/>
  <c r="I311" i="1"/>
  <c r="J311" i="1"/>
  <c r="K311" i="1"/>
  <c r="L311" i="1"/>
  <c r="M311" i="1"/>
  <c r="M303" i="1" s="1"/>
  <c r="M296" i="1" s="1"/>
  <c r="O311" i="1"/>
  <c r="P311" i="1"/>
  <c r="F312" i="1"/>
  <c r="H312" i="1"/>
  <c r="Q312" i="1"/>
  <c r="R312" i="1"/>
  <c r="F313" i="1"/>
  <c r="Q313" i="1" s="1"/>
  <c r="H313" i="1"/>
  <c r="R313" i="1" s="1"/>
  <c r="S313" i="1" s="1"/>
  <c r="F314" i="1"/>
  <c r="Q314" i="1" s="1"/>
  <c r="H314" i="1"/>
  <c r="R314" i="1"/>
  <c r="S314" i="1" s="1"/>
  <c r="F315" i="1"/>
  <c r="H315" i="1"/>
  <c r="R315" i="1" s="1"/>
  <c r="Q315" i="1"/>
  <c r="S315" i="1"/>
  <c r="F316" i="1"/>
  <c r="H316" i="1"/>
  <c r="R316" i="1" s="1"/>
  <c r="S316" i="1" s="1"/>
  <c r="F317" i="1"/>
  <c r="Q317" i="1" s="1"/>
  <c r="H317" i="1"/>
  <c r="R317" i="1"/>
  <c r="S317" i="1" s="1"/>
  <c r="F318" i="1"/>
  <c r="H318" i="1"/>
  <c r="Q318" i="1" s="1"/>
  <c r="N318" i="1"/>
  <c r="N311" i="1" s="1"/>
  <c r="F319" i="1"/>
  <c r="H319" i="1"/>
  <c r="Q319" i="1"/>
  <c r="R319" i="1"/>
  <c r="S319" i="1"/>
  <c r="F320" i="1"/>
  <c r="Q320" i="1" s="1"/>
  <c r="H320" i="1"/>
  <c r="R320" i="1" s="1"/>
  <c r="S320" i="1" s="1"/>
  <c r="F321" i="1"/>
  <c r="N321" i="1"/>
  <c r="H321" i="1" s="1"/>
  <c r="N322" i="1"/>
  <c r="H322" i="1" s="1"/>
  <c r="H323" i="1"/>
  <c r="N323" i="1"/>
  <c r="N324" i="1"/>
  <c r="H324" i="1" s="1"/>
  <c r="H325" i="1"/>
  <c r="N325" i="1"/>
  <c r="N326" i="1"/>
  <c r="H326" i="1" s="1"/>
  <c r="H327" i="1"/>
  <c r="N327" i="1"/>
  <c r="N328" i="1"/>
  <c r="H328" i="1" s="1"/>
  <c r="F329" i="1"/>
  <c r="N329" i="1"/>
  <c r="H329" i="1" s="1"/>
  <c r="D332" i="1"/>
  <c r="E332" i="1"/>
  <c r="E331" i="1" s="1"/>
  <c r="G332" i="1"/>
  <c r="G331" i="1" s="1"/>
  <c r="I332" i="1"/>
  <c r="I331" i="1" s="1"/>
  <c r="J332" i="1"/>
  <c r="K332" i="1"/>
  <c r="K331" i="1" s="1"/>
  <c r="L332" i="1"/>
  <c r="M332" i="1"/>
  <c r="M331" i="1" s="1"/>
  <c r="N332" i="1"/>
  <c r="O332" i="1"/>
  <c r="O331" i="1" s="1"/>
  <c r="P332" i="1"/>
  <c r="F333" i="1"/>
  <c r="F332" i="1" s="1"/>
  <c r="H333" i="1"/>
  <c r="H332" i="1" s="1"/>
  <c r="Q333" i="1"/>
  <c r="Q332" i="1" s="1"/>
  <c r="R333" i="1"/>
  <c r="R332" i="1" s="1"/>
  <c r="S333" i="1"/>
  <c r="H334" i="1"/>
  <c r="D337" i="1"/>
  <c r="D331" i="1" s="1"/>
  <c r="E337" i="1"/>
  <c r="G337" i="1"/>
  <c r="I337" i="1"/>
  <c r="J337" i="1"/>
  <c r="J331" i="1" s="1"/>
  <c r="K337" i="1"/>
  <c r="L337" i="1"/>
  <c r="L331" i="1" s="1"/>
  <c r="M337" i="1"/>
  <c r="O337" i="1"/>
  <c r="P337" i="1"/>
  <c r="P331" i="1" s="1"/>
  <c r="F338" i="1"/>
  <c r="H338" i="1"/>
  <c r="Q338" i="1" s="1"/>
  <c r="N338" i="1"/>
  <c r="F339" i="1"/>
  <c r="F337" i="1" s="1"/>
  <c r="N339" i="1"/>
  <c r="N337" i="1" s="1"/>
  <c r="F340" i="1"/>
  <c r="H340" i="1"/>
  <c r="N340" i="1"/>
  <c r="F341" i="1"/>
  <c r="H341" i="1"/>
  <c r="Q341" i="1" s="1"/>
  <c r="N341" i="1"/>
  <c r="F342" i="1"/>
  <c r="H342" i="1"/>
  <c r="N342" i="1"/>
  <c r="F343" i="1"/>
  <c r="H343" i="1"/>
  <c r="Q343" i="1" s="1"/>
  <c r="N343" i="1"/>
  <c r="D345" i="1"/>
  <c r="E345" i="1"/>
  <c r="E344" i="1" s="1"/>
  <c r="G345" i="1"/>
  <c r="G344" i="1" s="1"/>
  <c r="I345" i="1"/>
  <c r="I344" i="1" s="1"/>
  <c r="J345" i="1"/>
  <c r="K345" i="1"/>
  <c r="L345" i="1"/>
  <c r="M345" i="1"/>
  <c r="M344" i="1" s="1"/>
  <c r="N345" i="1"/>
  <c r="O345" i="1"/>
  <c r="P345" i="1"/>
  <c r="F346" i="1"/>
  <c r="Q346" i="1" s="1"/>
  <c r="H346" i="1"/>
  <c r="R346" i="1"/>
  <c r="S346" i="1"/>
  <c r="F347" i="1"/>
  <c r="H347" i="1"/>
  <c r="R347" i="1" s="1"/>
  <c r="Q347" i="1"/>
  <c r="F348" i="1"/>
  <c r="Q348" i="1" s="1"/>
  <c r="H348" i="1"/>
  <c r="R348" i="1" s="1"/>
  <c r="F349" i="1"/>
  <c r="Q349" i="1" s="1"/>
  <c r="H349" i="1"/>
  <c r="R349" i="1"/>
  <c r="F350" i="1"/>
  <c r="H350" i="1"/>
  <c r="Q350" i="1" s="1"/>
  <c r="R350" i="1"/>
  <c r="S350" i="1" s="1"/>
  <c r="F351" i="1"/>
  <c r="Q351" i="1" s="1"/>
  <c r="H351" i="1"/>
  <c r="R351" i="1" s="1"/>
  <c r="H352" i="1"/>
  <c r="F353" i="1"/>
  <c r="H353" i="1"/>
  <c r="R353" i="1" s="1"/>
  <c r="S353" i="1" s="1"/>
  <c r="Q353" i="1"/>
  <c r="F354" i="1"/>
  <c r="H354" i="1"/>
  <c r="H355" i="1"/>
  <c r="H356" i="1"/>
  <c r="F357" i="1"/>
  <c r="Q357" i="1" s="1"/>
  <c r="H357" i="1"/>
  <c r="R357" i="1"/>
  <c r="S357" i="1"/>
  <c r="H358" i="1"/>
  <c r="F359" i="1"/>
  <c r="Q359" i="1" s="1"/>
  <c r="H359" i="1"/>
  <c r="F360" i="1"/>
  <c r="H360" i="1"/>
  <c r="R360" i="1" s="1"/>
  <c r="Q360" i="1"/>
  <c r="H361" i="1"/>
  <c r="D362" i="1"/>
  <c r="E362" i="1"/>
  <c r="G362" i="1"/>
  <c r="I362" i="1"/>
  <c r="J362" i="1"/>
  <c r="J344" i="1" s="1"/>
  <c r="K362" i="1"/>
  <c r="L362" i="1"/>
  <c r="M362" i="1"/>
  <c r="N362" i="1"/>
  <c r="O362" i="1"/>
  <c r="P362" i="1"/>
  <c r="F363" i="1"/>
  <c r="H363" i="1"/>
  <c r="D364" i="1"/>
  <c r="E364" i="1"/>
  <c r="G364" i="1"/>
  <c r="I364" i="1"/>
  <c r="J364" i="1"/>
  <c r="K364" i="1"/>
  <c r="L364" i="1"/>
  <c r="M364" i="1"/>
  <c r="O364" i="1"/>
  <c r="P364" i="1"/>
  <c r="F365" i="1"/>
  <c r="H365" i="1"/>
  <c r="F366" i="1"/>
  <c r="H366" i="1"/>
  <c r="Q366" i="1"/>
  <c r="R366" i="1"/>
  <c r="S366" i="1" s="1"/>
  <c r="F367" i="1"/>
  <c r="Q367" i="1" s="1"/>
  <c r="H367" i="1"/>
  <c r="F368" i="1"/>
  <c r="H368" i="1"/>
  <c r="Q368" i="1"/>
  <c r="R368" i="1"/>
  <c r="S368" i="1" s="1"/>
  <c r="F369" i="1"/>
  <c r="Q369" i="1" s="1"/>
  <c r="H369" i="1"/>
  <c r="F370" i="1"/>
  <c r="H370" i="1"/>
  <c r="Q370" i="1"/>
  <c r="R370" i="1"/>
  <c r="S370" i="1" s="1"/>
  <c r="F371" i="1"/>
  <c r="H371" i="1"/>
  <c r="F372" i="1"/>
  <c r="N372" i="1"/>
  <c r="F373" i="1"/>
  <c r="Q373" i="1" s="1"/>
  <c r="H373" i="1"/>
  <c r="N373" i="1"/>
  <c r="R373" i="1"/>
  <c r="S373" i="1" s="1"/>
  <c r="F374" i="1"/>
  <c r="H374" i="1"/>
  <c r="N374" i="1"/>
  <c r="F375" i="1"/>
  <c r="N375" i="1"/>
  <c r="H375" i="1" s="1"/>
  <c r="F376" i="1"/>
  <c r="N376" i="1"/>
  <c r="H376" i="1" s="1"/>
  <c r="Q376" i="1"/>
  <c r="F377" i="1"/>
  <c r="Q377" i="1" s="1"/>
  <c r="H377" i="1"/>
  <c r="N377" i="1"/>
  <c r="R377" i="1"/>
  <c r="S377" i="1" s="1"/>
  <c r="F378" i="1"/>
  <c r="Q378" i="1" s="1"/>
  <c r="H378" i="1"/>
  <c r="N378" i="1"/>
  <c r="N379" i="1"/>
  <c r="H379" i="1" s="1"/>
  <c r="F380" i="1"/>
  <c r="N380" i="1"/>
  <c r="H380" i="1" s="1"/>
  <c r="F381" i="1"/>
  <c r="Q381" i="1" s="1"/>
  <c r="H381" i="1"/>
  <c r="F382" i="1"/>
  <c r="N382" i="1"/>
  <c r="H382" i="1" s="1"/>
  <c r="F383" i="1"/>
  <c r="H383" i="1"/>
  <c r="Q383" i="1"/>
  <c r="R383" i="1"/>
  <c r="S383" i="1" s="1"/>
  <c r="F384" i="1"/>
  <c r="H384" i="1"/>
  <c r="F385" i="1"/>
  <c r="H385" i="1"/>
  <c r="R385" i="1" s="1"/>
  <c r="S385" i="1" s="1"/>
  <c r="N385" i="1"/>
  <c r="Q385" i="1"/>
  <c r="D386" i="1"/>
  <c r="E386" i="1"/>
  <c r="G386" i="1"/>
  <c r="I386" i="1"/>
  <c r="J386" i="1"/>
  <c r="K386" i="1"/>
  <c r="L386" i="1"/>
  <c r="M386" i="1"/>
  <c r="O386" i="1"/>
  <c r="P386" i="1"/>
  <c r="H387" i="1"/>
  <c r="F388" i="1"/>
  <c r="H388" i="1"/>
  <c r="R388" i="1" s="1"/>
  <c r="N388" i="1"/>
  <c r="Q388" i="1"/>
  <c r="F389" i="1"/>
  <c r="Q389" i="1" s="1"/>
  <c r="H389" i="1"/>
  <c r="R389" i="1" s="1"/>
  <c r="F390" i="1"/>
  <c r="H390" i="1"/>
  <c r="R390" i="1" s="1"/>
  <c r="S390" i="1" s="1"/>
  <c r="N390" i="1"/>
  <c r="Q390" i="1"/>
  <c r="F391" i="1"/>
  <c r="Q391" i="1" s="1"/>
  <c r="H391" i="1"/>
  <c r="N391" i="1"/>
  <c r="R391" i="1"/>
  <c r="S391" i="1" s="1"/>
  <c r="F392" i="1"/>
  <c r="H392" i="1"/>
  <c r="N392" i="1"/>
  <c r="F393" i="1"/>
  <c r="N393" i="1"/>
  <c r="H393" i="1" s="1"/>
  <c r="F394" i="1"/>
  <c r="Q394" i="1" s="1"/>
  <c r="H394" i="1"/>
  <c r="R394" i="1"/>
  <c r="S394" i="1" s="1"/>
  <c r="F395" i="1"/>
  <c r="H395" i="1"/>
  <c r="F396" i="1"/>
  <c r="H396" i="1"/>
  <c r="R396" i="1" s="1"/>
  <c r="S396" i="1" s="1"/>
  <c r="N396" i="1"/>
  <c r="Q396" i="1"/>
  <c r="F397" i="1"/>
  <c r="Q397" i="1" s="1"/>
  <c r="H397" i="1"/>
  <c r="N397" i="1"/>
  <c r="R397" i="1"/>
  <c r="S397" i="1" s="1"/>
  <c r="F398" i="1"/>
  <c r="H398" i="1"/>
  <c r="N398" i="1"/>
  <c r="F399" i="1"/>
  <c r="H399" i="1"/>
  <c r="Q399" i="1"/>
  <c r="R399" i="1"/>
  <c r="F400" i="1"/>
  <c r="H400" i="1"/>
  <c r="N400" i="1"/>
  <c r="F401" i="1"/>
  <c r="N401" i="1"/>
  <c r="H401" i="1" s="1"/>
  <c r="Q401" i="1" s="1"/>
  <c r="F402" i="1"/>
  <c r="Q402" i="1" s="1"/>
  <c r="H402" i="1"/>
  <c r="N402" i="1"/>
  <c r="R402" i="1"/>
  <c r="S402" i="1" s="1"/>
  <c r="F403" i="1"/>
  <c r="H403" i="1"/>
  <c r="R403" i="1" s="1"/>
  <c r="N403" i="1"/>
  <c r="S403" i="1"/>
  <c r="F404" i="1"/>
  <c r="N404" i="1"/>
  <c r="H404" i="1" s="1"/>
  <c r="Q404" i="1"/>
  <c r="R404" i="1"/>
  <c r="S404" i="1" s="1"/>
  <c r="F405" i="1"/>
  <c r="H405" i="1"/>
  <c r="N405" i="1"/>
  <c r="Q405" i="1"/>
  <c r="F406" i="1"/>
  <c r="H406" i="1"/>
  <c r="R406" i="1" s="1"/>
  <c r="S406" i="1" s="1"/>
  <c r="N406" i="1"/>
  <c r="F407" i="1"/>
  <c r="Q407" i="1" s="1"/>
  <c r="H407" i="1"/>
  <c r="R407" i="1"/>
  <c r="S407" i="1" s="1"/>
  <c r="F408" i="1"/>
  <c r="H408" i="1"/>
  <c r="Q408" i="1" s="1"/>
  <c r="F409" i="1"/>
  <c r="Q409" i="1" s="1"/>
  <c r="H409" i="1"/>
  <c r="R409" i="1"/>
  <c r="F410" i="1"/>
  <c r="H410" i="1"/>
  <c r="R410" i="1" s="1"/>
  <c r="Q410" i="1"/>
  <c r="F411" i="1"/>
  <c r="Q411" i="1" s="1"/>
  <c r="H411" i="1"/>
  <c r="F412" i="1"/>
  <c r="H412" i="1"/>
  <c r="R412" i="1"/>
  <c r="H413" i="1"/>
  <c r="F414" i="1"/>
  <c r="Q414" i="1" s="1"/>
  <c r="H414" i="1"/>
  <c r="R414" i="1"/>
  <c r="H415" i="1"/>
  <c r="F416" i="1"/>
  <c r="Q416" i="1" s="1"/>
  <c r="H416" i="1"/>
  <c r="R416" i="1" s="1"/>
  <c r="F417" i="1"/>
  <c r="Q417" i="1" s="1"/>
  <c r="H417" i="1"/>
  <c r="R417" i="1"/>
  <c r="F418" i="1"/>
  <c r="H418" i="1"/>
  <c r="R418" i="1"/>
  <c r="F419" i="1"/>
  <c r="H419" i="1"/>
  <c r="R419" i="1" s="1"/>
  <c r="Q419" i="1"/>
  <c r="E420" i="1"/>
  <c r="I420" i="1"/>
  <c r="M420" i="1"/>
  <c r="Q420" i="1"/>
  <c r="E421" i="1"/>
  <c r="G421" i="1"/>
  <c r="G420" i="1" s="1"/>
  <c r="I421" i="1"/>
  <c r="K421" i="1"/>
  <c r="K420" i="1" s="1"/>
  <c r="M421" i="1"/>
  <c r="O421" i="1"/>
  <c r="O420" i="1" s="1"/>
  <c r="Q421" i="1"/>
  <c r="D423" i="1"/>
  <c r="D421" i="1" s="1"/>
  <c r="D420" i="1" s="1"/>
  <c r="E423" i="1"/>
  <c r="F423" i="1"/>
  <c r="F421" i="1" s="1"/>
  <c r="F420" i="1" s="1"/>
  <c r="G423" i="1"/>
  <c r="H423" i="1"/>
  <c r="H421" i="1" s="1"/>
  <c r="I423" i="1"/>
  <c r="J423" i="1"/>
  <c r="J421" i="1" s="1"/>
  <c r="J420" i="1" s="1"/>
  <c r="K423" i="1"/>
  <c r="L423" i="1"/>
  <c r="L421" i="1" s="1"/>
  <c r="L420" i="1" s="1"/>
  <c r="M423" i="1"/>
  <c r="N423" i="1"/>
  <c r="N421" i="1" s="1"/>
  <c r="O423" i="1"/>
  <c r="P423" i="1"/>
  <c r="P421" i="1" s="1"/>
  <c r="P420" i="1" s="1"/>
  <c r="Q423" i="1"/>
  <c r="R423" i="1"/>
  <c r="R421" i="1" s="1"/>
  <c r="R420" i="1" s="1"/>
  <c r="D431" i="1"/>
  <c r="D427" i="1" s="1"/>
  <c r="E431" i="1"/>
  <c r="E427" i="1" s="1"/>
  <c r="G431" i="1"/>
  <c r="G427" i="1" s="1"/>
  <c r="I431" i="1"/>
  <c r="I427" i="1" s="1"/>
  <c r="J431" i="1"/>
  <c r="J427" i="1" s="1"/>
  <c r="K431" i="1"/>
  <c r="K427" i="1" s="1"/>
  <c r="L431" i="1"/>
  <c r="L427" i="1" s="1"/>
  <c r="M431" i="1"/>
  <c r="M427" i="1" s="1"/>
  <c r="O431" i="1"/>
  <c r="O427" i="1" s="1"/>
  <c r="P431" i="1"/>
  <c r="P427" i="1" s="1"/>
  <c r="F432" i="1"/>
  <c r="F431" i="1" s="1"/>
  <c r="F427" i="1" s="1"/>
  <c r="N432" i="1"/>
  <c r="H432" i="1" s="1"/>
  <c r="F433" i="1"/>
  <c r="Q433" i="1" s="1"/>
  <c r="H433" i="1"/>
  <c r="D435" i="1"/>
  <c r="E435" i="1"/>
  <c r="G435" i="1"/>
  <c r="I435" i="1"/>
  <c r="J435" i="1"/>
  <c r="K435" i="1"/>
  <c r="L435" i="1"/>
  <c r="M435" i="1"/>
  <c r="O435" i="1"/>
  <c r="P435" i="1"/>
  <c r="F436" i="1"/>
  <c r="H436" i="1"/>
  <c r="N436" i="1"/>
  <c r="F437" i="1"/>
  <c r="N437" i="1"/>
  <c r="F438" i="1"/>
  <c r="H438" i="1"/>
  <c r="R438" i="1"/>
  <c r="F439" i="1"/>
  <c r="H439" i="1"/>
  <c r="R439" i="1" s="1"/>
  <c r="Q439" i="1"/>
  <c r="F440" i="1"/>
  <c r="Q440" i="1" s="1"/>
  <c r="H440" i="1"/>
  <c r="R440" i="1" s="1"/>
  <c r="F441" i="1"/>
  <c r="Q441" i="1" s="1"/>
  <c r="H441" i="1"/>
  <c r="R441" i="1"/>
  <c r="F442" i="1"/>
  <c r="H442" i="1"/>
  <c r="Q442" i="1" s="1"/>
  <c r="R442" i="1"/>
  <c r="S442" i="1" s="1"/>
  <c r="F443" i="1"/>
  <c r="Q443" i="1" s="1"/>
  <c r="H443" i="1"/>
  <c r="F444" i="1"/>
  <c r="H444" i="1"/>
  <c r="Q444" i="1" s="1"/>
  <c r="R444" i="1"/>
  <c r="S444" i="1" s="1"/>
  <c r="F445" i="1"/>
  <c r="H445" i="1"/>
  <c r="N445" i="1"/>
  <c r="F446" i="1"/>
  <c r="H446" i="1"/>
  <c r="R446" i="1" s="1"/>
  <c r="S446" i="1" s="1"/>
  <c r="Q446" i="1"/>
  <c r="F447" i="1"/>
  <c r="Q447" i="1" s="1"/>
  <c r="H447" i="1"/>
  <c r="R447" i="1"/>
  <c r="S447" i="1"/>
  <c r="F448" i="1"/>
  <c r="N448" i="1"/>
  <c r="H448" i="1" s="1"/>
  <c r="F449" i="1"/>
  <c r="H449" i="1"/>
  <c r="Q449" i="1" s="1"/>
  <c r="R449" i="1"/>
  <c r="S449" i="1" s="1"/>
  <c r="F450" i="1"/>
  <c r="Q450" i="1" s="1"/>
  <c r="H450" i="1"/>
  <c r="F451" i="1"/>
  <c r="H451" i="1"/>
  <c r="R451" i="1"/>
  <c r="F452" i="1"/>
  <c r="H452" i="1"/>
  <c r="R452" i="1" s="1"/>
  <c r="S452" i="1" s="1"/>
  <c r="Q452" i="1"/>
  <c r="F453" i="1"/>
  <c r="Q453" i="1" s="1"/>
  <c r="N453" i="1"/>
  <c r="H453" i="1" s="1"/>
  <c r="F454" i="1"/>
  <c r="Q454" i="1" s="1"/>
  <c r="H454" i="1"/>
  <c r="F455" i="1"/>
  <c r="H455" i="1"/>
  <c r="R455" i="1" s="1"/>
  <c r="N455" i="1"/>
  <c r="Q455" i="1"/>
  <c r="F456" i="1"/>
  <c r="H456" i="1"/>
  <c r="N456" i="1"/>
  <c r="F457" i="1"/>
  <c r="H457" i="1"/>
  <c r="R457" i="1"/>
  <c r="F458" i="1"/>
  <c r="H458" i="1"/>
  <c r="R458" i="1" s="1"/>
  <c r="Q458" i="1"/>
  <c r="F459" i="1"/>
  <c r="Q459" i="1" s="1"/>
  <c r="H459" i="1"/>
  <c r="R459" i="1" s="1"/>
  <c r="F460" i="1"/>
  <c r="Q460" i="1" s="1"/>
  <c r="H460" i="1"/>
  <c r="R460" i="1"/>
  <c r="F461" i="1"/>
  <c r="H461" i="1"/>
  <c r="Q461" i="1" s="1"/>
  <c r="R461" i="1"/>
  <c r="S461" i="1" s="1"/>
  <c r="F462" i="1"/>
  <c r="Q462" i="1" s="1"/>
  <c r="H462" i="1"/>
  <c r="F463" i="1"/>
  <c r="H463" i="1"/>
  <c r="Q463" i="1" s="1"/>
  <c r="R463" i="1"/>
  <c r="S463" i="1" s="1"/>
  <c r="F464" i="1"/>
  <c r="H464" i="1"/>
  <c r="N464" i="1"/>
  <c r="F465" i="1"/>
  <c r="H465" i="1"/>
  <c r="R465" i="1" s="1"/>
  <c r="S465" i="1" s="1"/>
  <c r="N465" i="1"/>
  <c r="Q465" i="1"/>
  <c r="F466" i="1"/>
  <c r="Q466" i="1" s="1"/>
  <c r="H466" i="1"/>
  <c r="R466" i="1"/>
  <c r="S466" i="1"/>
  <c r="F467" i="1"/>
  <c r="Q467" i="1" s="1"/>
  <c r="N467" i="1"/>
  <c r="H467" i="1" s="1"/>
  <c r="F468" i="1"/>
  <c r="N468" i="1"/>
  <c r="H468" i="1" s="1"/>
  <c r="F469" i="1"/>
  <c r="H469" i="1"/>
  <c r="H470" i="1"/>
  <c r="F471" i="1"/>
  <c r="H471" i="1"/>
  <c r="R471" i="1" s="1"/>
  <c r="Q471" i="1"/>
  <c r="F472" i="1"/>
  <c r="Q472" i="1" s="1"/>
  <c r="H472" i="1"/>
  <c r="F473" i="1"/>
  <c r="H473" i="1"/>
  <c r="R473" i="1"/>
  <c r="F474" i="1"/>
  <c r="H474" i="1"/>
  <c r="R474" i="1" s="1"/>
  <c r="S474" i="1" s="1"/>
  <c r="Q474" i="1"/>
  <c r="F475" i="1"/>
  <c r="N475" i="1"/>
  <c r="H475" i="1" s="1"/>
  <c r="R475" i="1"/>
  <c r="S475" i="1" s="1"/>
  <c r="F476" i="1"/>
  <c r="H476" i="1"/>
  <c r="F477" i="1"/>
  <c r="H477" i="1"/>
  <c r="R477" i="1" s="1"/>
  <c r="S477" i="1" s="1"/>
  <c r="N477" i="1"/>
  <c r="Q477" i="1"/>
  <c r="F478" i="1"/>
  <c r="N478" i="1"/>
  <c r="H478" i="1" s="1"/>
  <c r="R478" i="1"/>
  <c r="S478" i="1" s="1"/>
  <c r="F479" i="1"/>
  <c r="H479" i="1"/>
  <c r="N479" i="1"/>
  <c r="F480" i="1"/>
  <c r="N480" i="1"/>
  <c r="H480" i="1" s="1"/>
  <c r="F481" i="1"/>
  <c r="H481" i="1"/>
  <c r="Q481" i="1" s="1"/>
  <c r="R481" i="1"/>
  <c r="S481" i="1" s="1"/>
  <c r="F482" i="1"/>
  <c r="H482" i="1"/>
  <c r="N482" i="1"/>
  <c r="F483" i="1"/>
  <c r="H483" i="1"/>
  <c r="R483" i="1" s="1"/>
  <c r="S483" i="1" s="1"/>
  <c r="Q483" i="1"/>
  <c r="F484" i="1"/>
  <c r="Q484" i="1" s="1"/>
  <c r="H484" i="1"/>
  <c r="R484" i="1"/>
  <c r="S484" i="1"/>
  <c r="F485" i="1"/>
  <c r="H485" i="1"/>
  <c r="R485" i="1" s="1"/>
  <c r="S485" i="1" s="1"/>
  <c r="Q485" i="1"/>
  <c r="F486" i="1"/>
  <c r="Q486" i="1" s="1"/>
  <c r="H486" i="1"/>
  <c r="R486" i="1"/>
  <c r="S486" i="1"/>
  <c r="F487" i="1"/>
  <c r="H487" i="1"/>
  <c r="R487" i="1" s="1"/>
  <c r="S487" i="1" s="1"/>
  <c r="Q487" i="1"/>
  <c r="F488" i="1"/>
  <c r="Q488" i="1" s="1"/>
  <c r="H488" i="1"/>
  <c r="R488" i="1"/>
  <c r="S488" i="1"/>
  <c r="F489" i="1"/>
  <c r="H489" i="1"/>
  <c r="R489" i="1" s="1"/>
  <c r="S489" i="1" s="1"/>
  <c r="Q489" i="1"/>
  <c r="F490" i="1"/>
  <c r="Q490" i="1" s="1"/>
  <c r="H490" i="1"/>
  <c r="R490" i="1"/>
  <c r="S490" i="1" s="1"/>
  <c r="F491" i="1"/>
  <c r="H491" i="1"/>
  <c r="R491" i="1" s="1"/>
  <c r="S491" i="1" s="1"/>
  <c r="Q491" i="1"/>
  <c r="F492" i="1"/>
  <c r="Q492" i="1" s="1"/>
  <c r="H492" i="1"/>
  <c r="R492" i="1"/>
  <c r="S492" i="1" s="1"/>
  <c r="F493" i="1"/>
  <c r="H493" i="1"/>
  <c r="R493" i="1" s="1"/>
  <c r="S493" i="1" s="1"/>
  <c r="Q493" i="1"/>
  <c r="F494" i="1"/>
  <c r="Q494" i="1" s="1"/>
  <c r="H494" i="1"/>
  <c r="R494" i="1"/>
  <c r="S494" i="1" s="1"/>
  <c r="F495" i="1"/>
  <c r="H495" i="1"/>
  <c r="R495" i="1" s="1"/>
  <c r="S495" i="1" s="1"/>
  <c r="Q495" i="1"/>
  <c r="F496" i="1"/>
  <c r="Q496" i="1" s="1"/>
  <c r="H496" i="1"/>
  <c r="R496" i="1"/>
  <c r="S496" i="1" s="1"/>
  <c r="F497" i="1"/>
  <c r="H497" i="1"/>
  <c r="R497" i="1" s="1"/>
  <c r="S497" i="1" s="1"/>
  <c r="Q497" i="1"/>
  <c r="F498" i="1"/>
  <c r="Q498" i="1" s="1"/>
  <c r="H498" i="1"/>
  <c r="R498" i="1"/>
  <c r="S498" i="1"/>
  <c r="F499" i="1"/>
  <c r="H499" i="1"/>
  <c r="R499" i="1" s="1"/>
  <c r="S499" i="1" s="1"/>
  <c r="Q499" i="1"/>
  <c r="F500" i="1"/>
  <c r="Q500" i="1" s="1"/>
  <c r="H500" i="1"/>
  <c r="R500" i="1"/>
  <c r="S500" i="1"/>
  <c r="F501" i="1"/>
  <c r="N501" i="1"/>
  <c r="H501" i="1" s="1"/>
  <c r="F502" i="1"/>
  <c r="Q502" i="1" s="1"/>
  <c r="N502" i="1"/>
  <c r="H502" i="1" s="1"/>
  <c r="R502" i="1"/>
  <c r="S502" i="1" s="1"/>
  <c r="F503" i="1"/>
  <c r="Q503" i="1" s="1"/>
  <c r="H503" i="1"/>
  <c r="N503" i="1"/>
  <c r="R503" i="1"/>
  <c r="S503" i="1" s="1"/>
  <c r="F504" i="1"/>
  <c r="H504" i="1"/>
  <c r="R504" i="1" s="1"/>
  <c r="S504" i="1"/>
  <c r="F505" i="1"/>
  <c r="Q505" i="1" s="1"/>
  <c r="N505" i="1"/>
  <c r="H505" i="1" s="1"/>
  <c r="F506" i="1"/>
  <c r="H506" i="1"/>
  <c r="Q506" i="1" s="1"/>
  <c r="R506" i="1"/>
  <c r="F507" i="1"/>
  <c r="H507" i="1"/>
  <c r="R507" i="1" s="1"/>
  <c r="Q507" i="1"/>
  <c r="F508" i="1"/>
  <c r="Q508" i="1" s="1"/>
  <c r="H508" i="1"/>
  <c r="R508" i="1" s="1"/>
  <c r="E510" i="1"/>
  <c r="I510" i="1"/>
  <c r="M510" i="1"/>
  <c r="D511" i="1"/>
  <c r="E511" i="1"/>
  <c r="F511" i="1"/>
  <c r="G511" i="1"/>
  <c r="H511" i="1"/>
  <c r="I511" i="1"/>
  <c r="J511" i="1"/>
  <c r="K511" i="1"/>
  <c r="L511" i="1"/>
  <c r="M511" i="1"/>
  <c r="N511" i="1"/>
  <c r="O511" i="1"/>
  <c r="P511" i="1"/>
  <c r="Q511" i="1"/>
  <c r="R511" i="1"/>
  <c r="E514" i="1"/>
  <c r="F514" i="1"/>
  <c r="G514" i="1"/>
  <c r="G510" i="1" s="1"/>
  <c r="H514" i="1"/>
  <c r="I514" i="1"/>
  <c r="J514" i="1"/>
  <c r="K514" i="1"/>
  <c r="K510" i="1" s="1"/>
  <c r="L514" i="1"/>
  <c r="M514" i="1"/>
  <c r="N514" i="1"/>
  <c r="O514" i="1"/>
  <c r="O510" i="1" s="1"/>
  <c r="P514" i="1"/>
  <c r="Q514" i="1"/>
  <c r="R514" i="1"/>
  <c r="E517" i="1"/>
  <c r="G517" i="1"/>
  <c r="I517" i="1"/>
  <c r="K517" i="1"/>
  <c r="M517" i="1"/>
  <c r="O517" i="1"/>
  <c r="D522" i="1"/>
  <c r="D517" i="1" s="1"/>
  <c r="E522" i="1"/>
  <c r="G522" i="1"/>
  <c r="I522" i="1"/>
  <c r="J522" i="1"/>
  <c r="J517" i="1" s="1"/>
  <c r="K522" i="1"/>
  <c r="L522" i="1"/>
  <c r="L517" i="1" s="1"/>
  <c r="M522" i="1"/>
  <c r="O522" i="1"/>
  <c r="P522" i="1"/>
  <c r="P517" i="1" s="1"/>
  <c r="F523" i="1"/>
  <c r="H523" i="1"/>
  <c r="Q523" i="1" s="1"/>
  <c r="N523" i="1"/>
  <c r="F524" i="1"/>
  <c r="F522" i="1" s="1"/>
  <c r="F517" i="1" s="1"/>
  <c r="N524" i="1"/>
  <c r="N522" i="1" s="1"/>
  <c r="F525" i="1"/>
  <c r="H525" i="1"/>
  <c r="N525" i="1"/>
  <c r="Q525" i="1"/>
  <c r="D528" i="1"/>
  <c r="D527" i="1" s="1"/>
  <c r="E528" i="1"/>
  <c r="G528" i="1"/>
  <c r="I528" i="1"/>
  <c r="J528" i="1"/>
  <c r="J527" i="1" s="1"/>
  <c r="K528" i="1"/>
  <c r="L528" i="1"/>
  <c r="L527" i="1" s="1"/>
  <c r="M528" i="1"/>
  <c r="N528" i="1"/>
  <c r="O528" i="1"/>
  <c r="P528" i="1"/>
  <c r="P527" i="1" s="1"/>
  <c r="H529" i="1"/>
  <c r="F530" i="1"/>
  <c r="Q530" i="1" s="1"/>
  <c r="H530" i="1"/>
  <c r="F531" i="1"/>
  <c r="H531" i="1"/>
  <c r="N531" i="1"/>
  <c r="Q531" i="1"/>
  <c r="F532" i="1"/>
  <c r="Q532" i="1" s="1"/>
  <c r="N532" i="1"/>
  <c r="H532" i="1" s="1"/>
  <c r="H533" i="1"/>
  <c r="H534" i="1"/>
  <c r="H535" i="1"/>
  <c r="D536" i="1"/>
  <c r="E536" i="1"/>
  <c r="E527" i="1" s="1"/>
  <c r="G536" i="1"/>
  <c r="I536" i="1"/>
  <c r="J536" i="1"/>
  <c r="K536" i="1"/>
  <c r="L536" i="1"/>
  <c r="M536" i="1"/>
  <c r="O536" i="1"/>
  <c r="P536" i="1"/>
  <c r="F537" i="1"/>
  <c r="F536" i="1" s="1"/>
  <c r="N537" i="1"/>
  <c r="N536" i="1" s="1"/>
  <c r="D538" i="1"/>
  <c r="E538" i="1"/>
  <c r="G538" i="1"/>
  <c r="I538" i="1"/>
  <c r="J538" i="1"/>
  <c r="K538" i="1"/>
  <c r="L538" i="1"/>
  <c r="M538" i="1"/>
  <c r="O538" i="1"/>
  <c r="P538" i="1"/>
  <c r="F539" i="1"/>
  <c r="F538" i="1" s="1"/>
  <c r="N539" i="1"/>
  <c r="D540" i="1"/>
  <c r="E540" i="1"/>
  <c r="G540" i="1"/>
  <c r="I540" i="1"/>
  <c r="J540" i="1"/>
  <c r="K540" i="1"/>
  <c r="L540" i="1"/>
  <c r="M540" i="1"/>
  <c r="O540" i="1"/>
  <c r="P540" i="1"/>
  <c r="F541" i="1"/>
  <c r="H541" i="1"/>
  <c r="R541" i="1"/>
  <c r="S541" i="1"/>
  <c r="F542" i="1"/>
  <c r="H542" i="1"/>
  <c r="R542" i="1" s="1"/>
  <c r="S542" i="1" s="1"/>
  <c r="Q542" i="1"/>
  <c r="F543" i="1"/>
  <c r="Q543" i="1" s="1"/>
  <c r="H543" i="1"/>
  <c r="R543" i="1"/>
  <c r="S543" i="1"/>
  <c r="F544" i="1"/>
  <c r="N544" i="1"/>
  <c r="E545" i="1"/>
  <c r="G545" i="1"/>
  <c r="I545" i="1"/>
  <c r="K545" i="1"/>
  <c r="M545" i="1"/>
  <c r="O545" i="1"/>
  <c r="D546" i="1"/>
  <c r="E546" i="1"/>
  <c r="F546" i="1"/>
  <c r="G546" i="1"/>
  <c r="I546" i="1"/>
  <c r="J546" i="1"/>
  <c r="K546" i="1"/>
  <c r="L546" i="1"/>
  <c r="M546" i="1"/>
  <c r="N546" i="1"/>
  <c r="O546" i="1"/>
  <c r="P546" i="1"/>
  <c r="F547" i="1"/>
  <c r="H547" i="1"/>
  <c r="F548" i="1"/>
  <c r="H548" i="1"/>
  <c r="N548" i="1"/>
  <c r="Q548" i="1"/>
  <c r="D551" i="1"/>
  <c r="E551" i="1"/>
  <c r="G551" i="1"/>
  <c r="I551" i="1"/>
  <c r="J551" i="1"/>
  <c r="K551" i="1"/>
  <c r="L551" i="1"/>
  <c r="M551" i="1"/>
  <c r="O551" i="1"/>
  <c r="P551" i="1"/>
  <c r="F552" i="1"/>
  <c r="H552" i="1"/>
  <c r="N552" i="1"/>
  <c r="F553" i="1"/>
  <c r="F551" i="1" s="1"/>
  <c r="N553" i="1"/>
  <c r="H553" i="1" s="1"/>
  <c r="R553" i="1"/>
  <c r="S553" i="1" s="1"/>
  <c r="F554" i="1"/>
  <c r="H554" i="1"/>
  <c r="R554" i="1"/>
  <c r="S554" i="1" s="1"/>
  <c r="F555" i="1"/>
  <c r="H555" i="1"/>
  <c r="N555" i="1"/>
  <c r="F556" i="1"/>
  <c r="Q556" i="1" s="1"/>
  <c r="H556" i="1"/>
  <c r="R556" i="1" s="1"/>
  <c r="S556" i="1" s="1"/>
  <c r="F557" i="1"/>
  <c r="Q557" i="1" s="1"/>
  <c r="N557" i="1"/>
  <c r="H557" i="1" s="1"/>
  <c r="R557" i="1"/>
  <c r="S557" i="1" s="1"/>
  <c r="F558" i="1"/>
  <c r="Q558" i="1" s="1"/>
  <c r="H558" i="1"/>
  <c r="R558" i="1"/>
  <c r="S558" i="1" s="1"/>
  <c r="F559" i="1"/>
  <c r="H559" i="1"/>
  <c r="N559" i="1"/>
  <c r="H560" i="1"/>
  <c r="F561" i="1"/>
  <c r="H561" i="1"/>
  <c r="Q561" i="1" s="1"/>
  <c r="N561" i="1"/>
  <c r="F562" i="1"/>
  <c r="N562" i="1"/>
  <c r="H562" i="1" s="1"/>
  <c r="F563" i="1"/>
  <c r="H563" i="1"/>
  <c r="N563" i="1"/>
  <c r="Q563" i="1"/>
  <c r="F564" i="1"/>
  <c r="N564" i="1"/>
  <c r="H564" i="1" s="1"/>
  <c r="D565" i="1"/>
  <c r="E565" i="1"/>
  <c r="G565" i="1"/>
  <c r="I565" i="1"/>
  <c r="K565" i="1"/>
  <c r="M565" i="1"/>
  <c r="O565" i="1"/>
  <c r="Q565" i="1"/>
  <c r="E566" i="1"/>
  <c r="F566" i="1"/>
  <c r="F565" i="1" s="1"/>
  <c r="G566" i="1"/>
  <c r="H566" i="1"/>
  <c r="I566" i="1"/>
  <c r="J566" i="1"/>
  <c r="J565" i="1" s="1"/>
  <c r="K566" i="1"/>
  <c r="L566" i="1"/>
  <c r="L565" i="1" s="1"/>
  <c r="M566" i="1"/>
  <c r="N566" i="1"/>
  <c r="O566" i="1"/>
  <c r="P566" i="1"/>
  <c r="P565" i="1" s="1"/>
  <c r="Q566" i="1"/>
  <c r="R566" i="1"/>
  <c r="R565" i="1" s="1"/>
  <c r="G572" i="1"/>
  <c r="I572" i="1"/>
  <c r="D576" i="1"/>
  <c r="D572" i="1" s="1"/>
  <c r="E576" i="1"/>
  <c r="E572" i="1" s="1"/>
  <c r="G576" i="1"/>
  <c r="I576" i="1"/>
  <c r="J576" i="1"/>
  <c r="J572" i="1" s="1"/>
  <c r="K576" i="1"/>
  <c r="K572" i="1" s="1"/>
  <c r="L576" i="1"/>
  <c r="L572" i="1" s="1"/>
  <c r="M576" i="1"/>
  <c r="M572" i="1" s="1"/>
  <c r="N576" i="1"/>
  <c r="N572" i="1" s="1"/>
  <c r="O576" i="1"/>
  <c r="O572" i="1" s="1"/>
  <c r="P576" i="1"/>
  <c r="P572" i="1" s="1"/>
  <c r="S576" i="1"/>
  <c r="F577" i="1"/>
  <c r="F576" i="1" s="1"/>
  <c r="F572" i="1" s="1"/>
  <c r="H577" i="1"/>
  <c r="H576" i="1" s="1"/>
  <c r="Q577" i="1"/>
  <c r="Q576" i="1" s="1"/>
  <c r="Q572" i="1" s="1"/>
  <c r="R577" i="1"/>
  <c r="R576" i="1" s="1"/>
  <c r="R572" i="1" s="1"/>
  <c r="S577" i="1"/>
  <c r="D579" i="1"/>
  <c r="E579" i="1"/>
  <c r="G579" i="1"/>
  <c r="I579" i="1"/>
  <c r="J579" i="1"/>
  <c r="K579" i="1"/>
  <c r="L579" i="1"/>
  <c r="M579" i="1"/>
  <c r="N579" i="1"/>
  <c r="O579" i="1"/>
  <c r="P579" i="1"/>
  <c r="F580" i="1"/>
  <c r="H580" i="1"/>
  <c r="R580" i="1"/>
  <c r="F581" i="1"/>
  <c r="Q581" i="1" s="1"/>
  <c r="H581" i="1"/>
  <c r="R581" i="1"/>
  <c r="F582" i="1"/>
  <c r="H582" i="1"/>
  <c r="R582" i="1"/>
  <c r="F583" i="1"/>
  <c r="Q583" i="1" s="1"/>
  <c r="H583" i="1"/>
  <c r="R583" i="1" s="1"/>
  <c r="F584" i="1"/>
  <c r="Q584" i="1" s="1"/>
  <c r="H584" i="1"/>
  <c r="N584" i="1"/>
  <c r="F585" i="1"/>
  <c r="H585" i="1"/>
  <c r="F586" i="1"/>
  <c r="H586" i="1"/>
  <c r="R586" i="1" s="1"/>
  <c r="Q586" i="1"/>
  <c r="F587" i="1"/>
  <c r="H587" i="1"/>
  <c r="R587" i="1"/>
  <c r="F588" i="1"/>
  <c r="H588" i="1"/>
  <c r="Q588" i="1"/>
  <c r="R588" i="1"/>
  <c r="F589" i="1"/>
  <c r="H589" i="1"/>
  <c r="Q589" i="1"/>
  <c r="H590" i="1"/>
  <c r="H591" i="1"/>
  <c r="N593" i="1"/>
  <c r="R593" i="1"/>
  <c r="D594" i="1"/>
  <c r="E594" i="1"/>
  <c r="E593" i="1" s="1"/>
  <c r="F594" i="1"/>
  <c r="G594" i="1"/>
  <c r="H594" i="1"/>
  <c r="I594" i="1"/>
  <c r="I593" i="1" s="1"/>
  <c r="J594" i="1"/>
  <c r="K594" i="1"/>
  <c r="L594" i="1"/>
  <c r="M594" i="1"/>
  <c r="M593" i="1" s="1"/>
  <c r="N594" i="1"/>
  <c r="O594" i="1"/>
  <c r="P594" i="1"/>
  <c r="Q594" i="1"/>
  <c r="R594" i="1"/>
  <c r="D597" i="1"/>
  <c r="E597" i="1"/>
  <c r="F597" i="1"/>
  <c r="G597" i="1"/>
  <c r="H597" i="1"/>
  <c r="I597" i="1"/>
  <c r="J597" i="1"/>
  <c r="K597" i="1"/>
  <c r="L597" i="1"/>
  <c r="M597" i="1"/>
  <c r="N597" i="1"/>
  <c r="O597" i="1"/>
  <c r="P597" i="1"/>
  <c r="Q597" i="1"/>
  <c r="R597" i="1"/>
  <c r="D600" i="1"/>
  <c r="E600" i="1"/>
  <c r="I600" i="1"/>
  <c r="L600" i="1"/>
  <c r="P600" i="1"/>
  <c r="D605" i="1"/>
  <c r="E605" i="1"/>
  <c r="F605" i="1"/>
  <c r="F600" i="1" s="1"/>
  <c r="F593" i="1" s="1"/>
  <c r="G605" i="1"/>
  <c r="G600" i="1" s="1"/>
  <c r="G593" i="1" s="1"/>
  <c r="G592" i="1" s="1"/>
  <c r="I605" i="1"/>
  <c r="J605" i="1"/>
  <c r="J600" i="1" s="1"/>
  <c r="J593" i="1" s="1"/>
  <c r="K605" i="1"/>
  <c r="K600" i="1" s="1"/>
  <c r="K593" i="1" s="1"/>
  <c r="L605" i="1"/>
  <c r="M605" i="1"/>
  <c r="M600" i="1" s="1"/>
  <c r="N605" i="1"/>
  <c r="N600" i="1" s="1"/>
  <c r="O605" i="1"/>
  <c r="O600" i="1" s="1"/>
  <c r="P605" i="1"/>
  <c r="Q605" i="1"/>
  <c r="Q600" i="1" s="1"/>
  <c r="Q593" i="1" s="1"/>
  <c r="R605" i="1"/>
  <c r="R600" i="1" s="1"/>
  <c r="H606" i="1"/>
  <c r="G608" i="1"/>
  <c r="K608" i="1"/>
  <c r="O608" i="1"/>
  <c r="D610" i="1"/>
  <c r="D608" i="1" s="1"/>
  <c r="E610" i="1"/>
  <c r="E608" i="1" s="1"/>
  <c r="F610" i="1"/>
  <c r="G610" i="1"/>
  <c r="H610" i="1"/>
  <c r="I610" i="1"/>
  <c r="I608" i="1" s="1"/>
  <c r="J610" i="1"/>
  <c r="K610" i="1"/>
  <c r="L610" i="1"/>
  <c r="L608" i="1" s="1"/>
  <c r="M610" i="1"/>
  <c r="M608" i="1" s="1"/>
  <c r="N610" i="1"/>
  <c r="O610" i="1"/>
  <c r="P610" i="1"/>
  <c r="P608" i="1" s="1"/>
  <c r="Q610" i="1"/>
  <c r="Q608" i="1" s="1"/>
  <c r="R610" i="1"/>
  <c r="H611" i="1"/>
  <c r="D613" i="1"/>
  <c r="E613" i="1"/>
  <c r="F613" i="1"/>
  <c r="F608" i="1" s="1"/>
  <c r="G613" i="1"/>
  <c r="I613" i="1"/>
  <c r="J613" i="1"/>
  <c r="J608" i="1" s="1"/>
  <c r="K613" i="1"/>
  <c r="L613" i="1"/>
  <c r="M613" i="1"/>
  <c r="N613" i="1"/>
  <c r="N608" i="1" s="1"/>
  <c r="O613" i="1"/>
  <c r="P613" i="1"/>
  <c r="F614" i="1"/>
  <c r="H614" i="1"/>
  <c r="H613" i="1" s="1"/>
  <c r="Q614" i="1"/>
  <c r="Q613" i="1" s="1"/>
  <c r="R614" i="1"/>
  <c r="R613" i="1" s="1"/>
  <c r="D619" i="1"/>
  <c r="D615" i="1" s="1"/>
  <c r="E619" i="1"/>
  <c r="E615" i="1" s="1"/>
  <c r="G619" i="1"/>
  <c r="G615" i="1" s="1"/>
  <c r="I619" i="1"/>
  <c r="I615" i="1" s="1"/>
  <c r="J619" i="1"/>
  <c r="J615" i="1" s="1"/>
  <c r="K619" i="1"/>
  <c r="K615" i="1" s="1"/>
  <c r="L619" i="1"/>
  <c r="L615" i="1" s="1"/>
  <c r="M619" i="1"/>
  <c r="M615" i="1" s="1"/>
  <c r="N619" i="1"/>
  <c r="N615" i="1" s="1"/>
  <c r="O619" i="1"/>
  <c r="O615" i="1" s="1"/>
  <c r="P619" i="1"/>
  <c r="P615" i="1" s="1"/>
  <c r="F620" i="1"/>
  <c r="H620" i="1"/>
  <c r="R620" i="1" s="1"/>
  <c r="Q620" i="1"/>
  <c r="F621" i="1"/>
  <c r="F619" i="1" s="1"/>
  <c r="F615" i="1" s="1"/>
  <c r="H621" i="1"/>
  <c r="R621" i="1"/>
  <c r="S621" i="1"/>
  <c r="F622" i="1"/>
  <c r="H622" i="1"/>
  <c r="R622" i="1" s="1"/>
  <c r="S622" i="1" s="1"/>
  <c r="Q622" i="1"/>
  <c r="E623" i="1"/>
  <c r="F623" i="1"/>
  <c r="I623" i="1"/>
  <c r="J623" i="1"/>
  <c r="M623" i="1"/>
  <c r="N623" i="1"/>
  <c r="Q623" i="1"/>
  <c r="R623" i="1"/>
  <c r="E624" i="1"/>
  <c r="F624" i="1"/>
  <c r="G624" i="1"/>
  <c r="G623" i="1" s="1"/>
  <c r="H624" i="1"/>
  <c r="H623" i="1" s="1"/>
  <c r="I624" i="1"/>
  <c r="J624" i="1"/>
  <c r="K624" i="1"/>
  <c r="K623" i="1" s="1"/>
  <c r="L624" i="1"/>
  <c r="L623" i="1" s="1"/>
  <c r="M624" i="1"/>
  <c r="N624" i="1"/>
  <c r="O624" i="1"/>
  <c r="O623" i="1" s="1"/>
  <c r="P624" i="1"/>
  <c r="P623" i="1" s="1"/>
  <c r="Q624" i="1"/>
  <c r="R624" i="1"/>
  <c r="D630" i="1"/>
  <c r="E630" i="1"/>
  <c r="F630" i="1"/>
  <c r="G630" i="1"/>
  <c r="H630" i="1"/>
  <c r="I630" i="1"/>
  <c r="J630" i="1"/>
  <c r="K630" i="1"/>
  <c r="L630" i="1"/>
  <c r="M630" i="1"/>
  <c r="N630" i="1"/>
  <c r="O630" i="1"/>
  <c r="P630" i="1"/>
  <c r="Q630" i="1"/>
  <c r="R630" i="1"/>
  <c r="D636" i="1"/>
  <c r="E636" i="1"/>
  <c r="G636" i="1"/>
  <c r="I636" i="1"/>
  <c r="J636" i="1"/>
  <c r="K636" i="1"/>
  <c r="L636" i="1"/>
  <c r="M636" i="1"/>
  <c r="N636" i="1"/>
  <c r="O636" i="1"/>
  <c r="P636" i="1"/>
  <c r="F637" i="1"/>
  <c r="F636" i="1" s="1"/>
  <c r="H637" i="1"/>
  <c r="H636" i="1" s="1"/>
  <c r="R637" i="1"/>
  <c r="F638" i="1"/>
  <c r="H638" i="1"/>
  <c r="Q638" i="1"/>
  <c r="R638" i="1"/>
  <c r="R636" i="1" s="1"/>
  <c r="F639" i="1"/>
  <c r="H639" i="1"/>
  <c r="R639" i="1" s="1"/>
  <c r="Q639" i="1"/>
  <c r="N592" i="1" l="1"/>
  <c r="K592" i="1"/>
  <c r="S613" i="1"/>
  <c r="R608" i="1"/>
  <c r="S608" i="1" s="1"/>
  <c r="J592" i="1"/>
  <c r="M592" i="1"/>
  <c r="I592" i="1"/>
  <c r="E592" i="1"/>
  <c r="S572" i="1"/>
  <c r="F592" i="1"/>
  <c r="O593" i="1"/>
  <c r="O592" i="1" s="1"/>
  <c r="R619" i="1"/>
  <c r="S620" i="1"/>
  <c r="H608" i="1"/>
  <c r="P593" i="1"/>
  <c r="P592" i="1" s="1"/>
  <c r="L593" i="1"/>
  <c r="L592" i="1" s="1"/>
  <c r="D593" i="1"/>
  <c r="D592" i="1" s="1"/>
  <c r="F579" i="1"/>
  <c r="N565" i="1"/>
  <c r="R563" i="1"/>
  <c r="S563" i="1" s="1"/>
  <c r="N551" i="1"/>
  <c r="R547" i="1"/>
  <c r="P545" i="1"/>
  <c r="L545" i="1"/>
  <c r="H546" i="1"/>
  <c r="D545" i="1"/>
  <c r="O527" i="1"/>
  <c r="R532" i="1"/>
  <c r="S532" i="1" s="1"/>
  <c r="Q528" i="1"/>
  <c r="N517" i="1"/>
  <c r="R501" i="1"/>
  <c r="S501" i="1" s="1"/>
  <c r="Q501" i="1"/>
  <c r="Q637" i="1"/>
  <c r="Q636" i="1" s="1"/>
  <c r="Q621" i="1"/>
  <c r="Q619" i="1" s="1"/>
  <c r="Q615" i="1" s="1"/>
  <c r="Q592" i="1" s="1"/>
  <c r="R585" i="1"/>
  <c r="R584" i="1"/>
  <c r="Q582" i="1"/>
  <c r="H572" i="1"/>
  <c r="Q564" i="1"/>
  <c r="R562" i="1"/>
  <c r="S562" i="1" s="1"/>
  <c r="R559" i="1"/>
  <c r="S559" i="1" s="1"/>
  <c r="R555" i="1"/>
  <c r="S555" i="1" s="1"/>
  <c r="R552" i="1"/>
  <c r="Q547" i="1"/>
  <c r="Q546" i="1" s="1"/>
  <c r="M527" i="1"/>
  <c r="M509" i="1" s="1"/>
  <c r="I527" i="1"/>
  <c r="I509" i="1" s="1"/>
  <c r="J510" i="1"/>
  <c r="F510" i="1"/>
  <c r="R505" i="1"/>
  <c r="S505" i="1" s="1"/>
  <c r="H619" i="1"/>
  <c r="S614" i="1"/>
  <c r="H605" i="1"/>
  <c r="R589" i="1"/>
  <c r="Q587" i="1"/>
  <c r="Q585" i="1"/>
  <c r="R579" i="1"/>
  <c r="H565" i="1"/>
  <c r="R561" i="1"/>
  <c r="S561" i="1" s="1"/>
  <c r="Q553" i="1"/>
  <c r="H551" i="1"/>
  <c r="N545" i="1"/>
  <c r="J545" i="1"/>
  <c r="F545" i="1"/>
  <c r="H540" i="1"/>
  <c r="H539" i="1"/>
  <c r="N538" i="1"/>
  <c r="G527" i="1"/>
  <c r="E509" i="1"/>
  <c r="H579" i="1"/>
  <c r="R564" i="1"/>
  <c r="S564" i="1" s="1"/>
  <c r="Q562" i="1"/>
  <c r="Q559" i="1"/>
  <c r="Q555" i="1"/>
  <c r="Q554" i="1"/>
  <c r="Q552" i="1"/>
  <c r="R548" i="1"/>
  <c r="S548" i="1" s="1"/>
  <c r="N540" i="1"/>
  <c r="H544" i="1"/>
  <c r="Q541" i="1"/>
  <c r="F540" i="1"/>
  <c r="K527" i="1"/>
  <c r="H528" i="1"/>
  <c r="O509" i="1"/>
  <c r="K509" i="1"/>
  <c r="G509" i="1"/>
  <c r="P510" i="1"/>
  <c r="P509" i="1" s="1"/>
  <c r="L510" i="1"/>
  <c r="L509" i="1" s="1"/>
  <c r="D510" i="1"/>
  <c r="D509" i="1" s="1"/>
  <c r="Q580" i="1"/>
  <c r="Q579" i="1" s="1"/>
  <c r="Q539" i="1"/>
  <c r="Q538" i="1" s="1"/>
  <c r="H537" i="1"/>
  <c r="R531" i="1"/>
  <c r="S531" i="1" s="1"/>
  <c r="R525" i="1"/>
  <c r="S525" i="1" s="1"/>
  <c r="N510" i="1"/>
  <c r="Q478" i="1"/>
  <c r="Q476" i="1"/>
  <c r="Q475" i="1"/>
  <c r="R469" i="1"/>
  <c r="S469" i="1" s="1"/>
  <c r="H420" i="1"/>
  <c r="F528" i="1"/>
  <c r="F527" i="1" s="1"/>
  <c r="R480" i="1"/>
  <c r="S480" i="1" s="1"/>
  <c r="R472" i="1"/>
  <c r="S472" i="1" s="1"/>
  <c r="Q469" i="1"/>
  <c r="Q468" i="1"/>
  <c r="R467" i="1"/>
  <c r="R453" i="1"/>
  <c r="S453" i="1" s="1"/>
  <c r="Q537" i="1"/>
  <c r="Q536" i="1" s="1"/>
  <c r="H524" i="1"/>
  <c r="Q524" i="1" s="1"/>
  <c r="Q522" i="1" s="1"/>
  <c r="Q517" i="1" s="1"/>
  <c r="Q510" i="1" s="1"/>
  <c r="R523" i="1"/>
  <c r="Q504" i="1"/>
  <c r="Q480" i="1"/>
  <c r="Q464" i="1"/>
  <c r="R464" i="1"/>
  <c r="R448" i="1"/>
  <c r="S448" i="1" s="1"/>
  <c r="N435" i="1"/>
  <c r="N420" i="1"/>
  <c r="R530" i="1"/>
  <c r="Q482" i="1"/>
  <c r="R482" i="1"/>
  <c r="S482" i="1" s="1"/>
  <c r="Q479" i="1"/>
  <c r="R479" i="1"/>
  <c r="S479" i="1" s="1"/>
  <c r="R476" i="1"/>
  <c r="S476" i="1" s="1"/>
  <c r="R468" i="1"/>
  <c r="S468" i="1" s="1"/>
  <c r="Q448" i="1"/>
  <c r="H431" i="1"/>
  <c r="R432" i="1"/>
  <c r="H435" i="1"/>
  <c r="S388" i="1"/>
  <c r="R384" i="1"/>
  <c r="S384" i="1" s="1"/>
  <c r="R380" i="1"/>
  <c r="S380" i="1" s="1"/>
  <c r="R365" i="1"/>
  <c r="H362" i="1"/>
  <c r="R363" i="1"/>
  <c r="R362" i="1" s="1"/>
  <c r="S332" i="1"/>
  <c r="R329" i="1"/>
  <c r="S329" i="1" s="1"/>
  <c r="N303" i="1"/>
  <c r="G295" i="1"/>
  <c r="Q473" i="1"/>
  <c r="Q457" i="1"/>
  <c r="R456" i="1"/>
  <c r="Q451" i="1"/>
  <c r="R445" i="1"/>
  <c r="S445" i="1" s="1"/>
  <c r="Q438" i="1"/>
  <c r="H437" i="1"/>
  <c r="R436" i="1"/>
  <c r="Q432" i="1"/>
  <c r="Q431" i="1" s="1"/>
  <c r="Q427" i="1" s="1"/>
  <c r="N431" i="1"/>
  <c r="Q418" i="1"/>
  <c r="Q412" i="1"/>
  <c r="Q403" i="1"/>
  <c r="Q395" i="1"/>
  <c r="R395" i="1"/>
  <c r="S395" i="1" s="1"/>
  <c r="Q392" i="1"/>
  <c r="R392" i="1"/>
  <c r="S392" i="1" s="1"/>
  <c r="N386" i="1"/>
  <c r="F386" i="1"/>
  <c r="Q384" i="1"/>
  <c r="Q382" i="1"/>
  <c r="R382" i="1"/>
  <c r="S382" i="1" s="1"/>
  <c r="R376" i="1"/>
  <c r="S376" i="1" s="1"/>
  <c r="R374" i="1"/>
  <c r="S374" i="1" s="1"/>
  <c r="R371" i="1"/>
  <c r="S371" i="1" s="1"/>
  <c r="Q365" i="1"/>
  <c r="Q363" i="1"/>
  <c r="Q362" i="1" s="1"/>
  <c r="D344" i="1"/>
  <c r="N331" i="1"/>
  <c r="Q329" i="1"/>
  <c r="R321" i="1"/>
  <c r="S321" i="1" s="1"/>
  <c r="S305" i="1"/>
  <c r="R462" i="1"/>
  <c r="S462" i="1" s="1"/>
  <c r="Q456" i="1"/>
  <c r="R454" i="1"/>
  <c r="S454" i="1" s="1"/>
  <c r="R450" i="1"/>
  <c r="S450" i="1" s="1"/>
  <c r="Q445" i="1"/>
  <c r="R443" i="1"/>
  <c r="S443" i="1" s="1"/>
  <c r="Q436" i="1"/>
  <c r="F435" i="1"/>
  <c r="R433" i="1"/>
  <c r="S433" i="1" s="1"/>
  <c r="R411" i="1"/>
  <c r="S411" i="1" s="1"/>
  <c r="R408" i="1"/>
  <c r="S408" i="1" s="1"/>
  <c r="Q406" i="1"/>
  <c r="R405" i="1"/>
  <c r="Q374" i="1"/>
  <c r="Q371" i="1"/>
  <c r="R369" i="1"/>
  <c r="S369" i="1" s="1"/>
  <c r="R354" i="1"/>
  <c r="R345" i="1" s="1"/>
  <c r="H345" i="1"/>
  <c r="O344" i="1"/>
  <c r="K344" i="1"/>
  <c r="K295" i="1" s="1"/>
  <c r="E295" i="1"/>
  <c r="Q321" i="1"/>
  <c r="D295" i="1"/>
  <c r="O295" i="1"/>
  <c r="R401" i="1"/>
  <c r="Q400" i="1"/>
  <c r="R400" i="1"/>
  <c r="S400" i="1" s="1"/>
  <c r="Q398" i="1"/>
  <c r="R398" i="1"/>
  <c r="S398" i="1" s="1"/>
  <c r="Q393" i="1"/>
  <c r="Q386" i="1" s="1"/>
  <c r="R393" i="1"/>
  <c r="S393" i="1" s="1"/>
  <c r="H386" i="1"/>
  <c r="Q380" i="1"/>
  <c r="R378" i="1"/>
  <c r="S378" i="1" s="1"/>
  <c r="Q375" i="1"/>
  <c r="R375" i="1"/>
  <c r="S375" i="1" s="1"/>
  <c r="N364" i="1"/>
  <c r="R367" i="1"/>
  <c r="S367" i="1" s="1"/>
  <c r="P344" i="1"/>
  <c r="L344" i="1"/>
  <c r="Q354" i="1"/>
  <c r="Q345" i="1"/>
  <c r="F331" i="1"/>
  <c r="M295" i="1"/>
  <c r="P295" i="1"/>
  <c r="L295" i="1"/>
  <c r="I295" i="1"/>
  <c r="R342" i="1"/>
  <c r="R340" i="1"/>
  <c r="Q316" i="1"/>
  <c r="Q311" i="1" s="1"/>
  <c r="Q303" i="1" s="1"/>
  <c r="Q296" i="1" s="1"/>
  <c r="S310" i="1"/>
  <c r="Q284" i="1"/>
  <c r="R284" i="1"/>
  <c r="S284" i="1" s="1"/>
  <c r="H271" i="1"/>
  <c r="R259" i="1"/>
  <c r="S259" i="1" s="1"/>
  <c r="Q259" i="1"/>
  <c r="R255" i="1"/>
  <c r="S255" i="1" s="1"/>
  <c r="Q255" i="1"/>
  <c r="Q252" i="1" s="1"/>
  <c r="H252" i="1"/>
  <c r="Q245" i="1"/>
  <c r="F244" i="1"/>
  <c r="N209" i="1"/>
  <c r="J208" i="1"/>
  <c r="E25" i="1"/>
  <c r="P24" i="1"/>
  <c r="L24" i="1"/>
  <c r="R381" i="1"/>
  <c r="S381" i="1" s="1"/>
  <c r="F362" i="1"/>
  <c r="R359" i="1"/>
  <c r="S359" i="1" s="1"/>
  <c r="N344" i="1"/>
  <c r="Q342" i="1"/>
  <c r="Q340" i="1"/>
  <c r="H311" i="1"/>
  <c r="F311" i="1"/>
  <c r="H305" i="1"/>
  <c r="Q288" i="1"/>
  <c r="Q276" i="1"/>
  <c r="Q275" i="1" s="1"/>
  <c r="Q271" i="1" s="1"/>
  <c r="F275" i="1"/>
  <c r="F271" i="1" s="1"/>
  <c r="R246" i="1"/>
  <c r="Q246" i="1"/>
  <c r="Q233" i="1"/>
  <c r="Q232" i="1" s="1"/>
  <c r="R233" i="1"/>
  <c r="O208" i="1"/>
  <c r="R195" i="1"/>
  <c r="S195" i="1" s="1"/>
  <c r="Q195" i="1"/>
  <c r="R183" i="1"/>
  <c r="R164" i="1"/>
  <c r="Q160" i="1"/>
  <c r="F157" i="1"/>
  <c r="S159" i="1"/>
  <c r="G27" i="1"/>
  <c r="H372" i="1"/>
  <c r="F364" i="1"/>
  <c r="F345" i="1"/>
  <c r="R343" i="1"/>
  <c r="S343" i="1" s="1"/>
  <c r="R341" i="1"/>
  <c r="H339" i="1"/>
  <c r="H337" i="1" s="1"/>
  <c r="R338" i="1"/>
  <c r="R318" i="1"/>
  <c r="S318" i="1" s="1"/>
  <c r="S312" i="1"/>
  <c r="F309" i="1"/>
  <c r="F303" i="1" s="1"/>
  <c r="F296" i="1" s="1"/>
  <c r="S306" i="1"/>
  <c r="J303" i="1"/>
  <c r="J296" i="1" s="1"/>
  <c r="J295" i="1" s="1"/>
  <c r="Q294" i="1"/>
  <c r="Q292" i="1"/>
  <c r="Q290" i="1"/>
  <c r="Q286" i="1"/>
  <c r="R286" i="1"/>
  <c r="H278" i="1"/>
  <c r="N264" i="1"/>
  <c r="R293" i="1"/>
  <c r="S293" i="1" s="1"/>
  <c r="R291" i="1"/>
  <c r="S291" i="1" s="1"/>
  <c r="R288" i="1"/>
  <c r="Q281" i="1"/>
  <c r="R281" i="1"/>
  <c r="Q279" i="1"/>
  <c r="F278" i="1"/>
  <c r="R279" i="1"/>
  <c r="R278" i="1" s="1"/>
  <c r="S278" i="1" s="1"/>
  <c r="R276" i="1"/>
  <c r="M209" i="1"/>
  <c r="M208" i="1" s="1"/>
  <c r="I209" i="1"/>
  <c r="I208" i="1" s="1"/>
  <c r="E209" i="1"/>
  <c r="E208" i="1" s="1"/>
  <c r="K208" i="1"/>
  <c r="R197" i="1"/>
  <c r="S197" i="1" s="1"/>
  <c r="Q183" i="1"/>
  <c r="Q166" i="1"/>
  <c r="R166" i="1"/>
  <c r="P27" i="1"/>
  <c r="L27" i="1"/>
  <c r="R252" i="1"/>
  <c r="S252" i="1" s="1"/>
  <c r="Q249" i="1"/>
  <c r="Q235" i="1"/>
  <c r="Q234" i="1" s="1"/>
  <c r="F234" i="1"/>
  <c r="F228" i="1" s="1"/>
  <c r="D228" i="1"/>
  <c r="Q225" i="1"/>
  <c r="R225" i="1"/>
  <c r="H216" i="1"/>
  <c r="H209" i="1" s="1"/>
  <c r="P209" i="1"/>
  <c r="P208" i="1" s="1"/>
  <c r="L209" i="1"/>
  <c r="D209" i="1"/>
  <c r="D208" i="1" s="1"/>
  <c r="G208" i="1"/>
  <c r="R204" i="1"/>
  <c r="Q197" i="1"/>
  <c r="R194" i="1"/>
  <c r="S194" i="1" s="1"/>
  <c r="R190" i="1"/>
  <c r="R176" i="1"/>
  <c r="M25" i="1"/>
  <c r="E24" i="1"/>
  <c r="Q24" i="1"/>
  <c r="F252" i="1"/>
  <c r="H244" i="1"/>
  <c r="D243" i="1"/>
  <c r="Q230" i="1"/>
  <c r="Q229" i="1" s="1"/>
  <c r="Q228" i="1" s="1"/>
  <c r="R230" i="1"/>
  <c r="P228" i="1"/>
  <c r="L228" i="1"/>
  <c r="H229" i="1"/>
  <c r="F221" i="1"/>
  <c r="F216" i="1" s="1"/>
  <c r="F209" i="1" s="1"/>
  <c r="Q223" i="1"/>
  <c r="Q221" i="1" s="1"/>
  <c r="Q216" i="1" s="1"/>
  <c r="Q209" i="1" s="1"/>
  <c r="R180" i="1"/>
  <c r="Q151" i="1"/>
  <c r="Q149" i="1" s="1"/>
  <c r="Q142" i="1" s="1"/>
  <c r="Q25" i="1" s="1"/>
  <c r="F149" i="1"/>
  <c r="S150" i="1"/>
  <c r="I25" i="1"/>
  <c r="M24" i="1"/>
  <c r="I24" i="1"/>
  <c r="O24" i="1"/>
  <c r="R237" i="1"/>
  <c r="S237" i="1" s="1"/>
  <c r="R235" i="1"/>
  <c r="R226" i="1"/>
  <c r="S226" i="1" s="1"/>
  <c r="R223" i="1"/>
  <c r="S223" i="1" s="1"/>
  <c r="R207" i="1"/>
  <c r="S207" i="1" s="1"/>
  <c r="Q188" i="1"/>
  <c r="Q180" i="1"/>
  <c r="Q176" i="1"/>
  <c r="Q164" i="1"/>
  <c r="R163" i="1"/>
  <c r="O27" i="1"/>
  <c r="K27" i="1"/>
  <c r="R153" i="1"/>
  <c r="S153" i="1" s="1"/>
  <c r="G25" i="1"/>
  <c r="L25" i="1"/>
  <c r="D25" i="1"/>
  <c r="H137" i="1"/>
  <c r="F24" i="1"/>
  <c r="K24" i="1"/>
  <c r="F109" i="1"/>
  <c r="S222" i="1"/>
  <c r="J27" i="1"/>
  <c r="Q184" i="1"/>
  <c r="Q182" i="1"/>
  <c r="D27" i="1"/>
  <c r="Q153" i="1"/>
  <c r="H149" i="1"/>
  <c r="N142" i="1"/>
  <c r="J142" i="1"/>
  <c r="J25" i="1" s="1"/>
  <c r="O25" i="1"/>
  <c r="K25" i="1"/>
  <c r="F144" i="1"/>
  <c r="R24" i="1"/>
  <c r="N135" i="1"/>
  <c r="J24" i="1"/>
  <c r="G24" i="1"/>
  <c r="Q125" i="1"/>
  <c r="Q109" i="1" s="1"/>
  <c r="R125" i="1"/>
  <c r="S125" i="1" s="1"/>
  <c r="R106" i="1"/>
  <c r="S106" i="1" s="1"/>
  <c r="H196" i="1"/>
  <c r="Q196" i="1" s="1"/>
  <c r="Q157" i="1" s="1"/>
  <c r="R170" i="1"/>
  <c r="R155" i="1"/>
  <c r="S155" i="1" s="1"/>
  <c r="R151" i="1"/>
  <c r="S151" i="1" s="1"/>
  <c r="P25" i="1"/>
  <c r="D24" i="1"/>
  <c r="Q103" i="1"/>
  <c r="R103" i="1"/>
  <c r="S103" i="1" s="1"/>
  <c r="Q100" i="1"/>
  <c r="R100" i="1"/>
  <c r="S100" i="1" s="1"/>
  <c r="H109" i="1"/>
  <c r="R108" i="1"/>
  <c r="S108" i="1" s="1"/>
  <c r="N27" i="1"/>
  <c r="O23" i="1"/>
  <c r="K23" i="1"/>
  <c r="G23" i="1"/>
  <c r="Q105" i="1"/>
  <c r="F91" i="1"/>
  <c r="E76" i="1"/>
  <c r="E23" i="1" s="1"/>
  <c r="J53" i="1"/>
  <c r="J22" i="1" s="1"/>
  <c r="Q54" i="1"/>
  <c r="M27" i="1"/>
  <c r="I27" i="1"/>
  <c r="E27" i="1"/>
  <c r="R107" i="1"/>
  <c r="S107" i="1" s="1"/>
  <c r="Q97" i="1"/>
  <c r="R97" i="1"/>
  <c r="S97" i="1" s="1"/>
  <c r="Q95" i="1"/>
  <c r="R95" i="1"/>
  <c r="S95" i="1" s="1"/>
  <c r="F76" i="1"/>
  <c r="N76" i="1"/>
  <c r="D76" i="1"/>
  <c r="D23" i="1" s="1"/>
  <c r="E22" i="1"/>
  <c r="J91" i="1"/>
  <c r="J76" i="1" s="1"/>
  <c r="J23" i="1" s="1"/>
  <c r="M76" i="1"/>
  <c r="M23" i="1" s="1"/>
  <c r="I76" i="1"/>
  <c r="I23" i="1" s="1"/>
  <c r="P22" i="1"/>
  <c r="G22" i="1"/>
  <c r="Q96" i="1"/>
  <c r="R96" i="1"/>
  <c r="S96" i="1" s="1"/>
  <c r="P76" i="1"/>
  <c r="P23" i="1" s="1"/>
  <c r="L76" i="1"/>
  <c r="L23" i="1" s="1"/>
  <c r="M22" i="1"/>
  <c r="O22" i="1"/>
  <c r="K22" i="1"/>
  <c r="R94" i="1"/>
  <c r="S94" i="1" s="1"/>
  <c r="H77" i="1"/>
  <c r="H60" i="1"/>
  <c r="I22" i="1"/>
  <c r="L44" i="1"/>
  <c r="D21" i="1"/>
  <c r="O29" i="1"/>
  <c r="K29" i="1"/>
  <c r="G21" i="1"/>
  <c r="G20" i="1" s="1"/>
  <c r="G28" i="1"/>
  <c r="H92" i="1"/>
  <c r="R85" i="1"/>
  <c r="S85" i="1" s="1"/>
  <c r="Q79" i="1"/>
  <c r="Q77" i="1" s="1"/>
  <c r="H73" i="1"/>
  <c r="H66" i="1" s="1"/>
  <c r="Q68" i="1"/>
  <c r="R64" i="1"/>
  <c r="S64" i="1" s="1"/>
  <c r="Q62" i="1"/>
  <c r="Q60" i="1" s="1"/>
  <c r="R55" i="1"/>
  <c r="F54" i="1"/>
  <c r="F53" i="1" s="1"/>
  <c r="H47" i="1"/>
  <c r="H45" i="1"/>
  <c r="J44" i="1"/>
  <c r="F36" i="1"/>
  <c r="N29" i="1"/>
  <c r="F29" i="1"/>
  <c r="R75" i="1"/>
  <c r="S75" i="1" s="1"/>
  <c r="R71" i="1"/>
  <c r="R69" i="1"/>
  <c r="S69" i="1" s="1"/>
  <c r="R63" i="1"/>
  <c r="S63" i="1" s="1"/>
  <c r="R59" i="1"/>
  <c r="F44" i="1"/>
  <c r="M29" i="1"/>
  <c r="E28" i="1"/>
  <c r="E21" i="1"/>
  <c r="E20" i="1" s="1"/>
  <c r="L53" i="1"/>
  <c r="L22" i="1" s="1"/>
  <c r="D53" i="1"/>
  <c r="D22" i="1" s="1"/>
  <c r="R48" i="1"/>
  <c r="S48" i="1" s="1"/>
  <c r="R46" i="1"/>
  <c r="S46" i="1" s="1"/>
  <c r="Q46" i="1"/>
  <c r="M36" i="1"/>
  <c r="I36" i="1"/>
  <c r="I29" i="1" s="1"/>
  <c r="J36" i="1"/>
  <c r="J29" i="1" s="1"/>
  <c r="P28" i="1"/>
  <c r="P21" i="1"/>
  <c r="P20" i="1" s="1"/>
  <c r="L36" i="1"/>
  <c r="L29" i="1" s="1"/>
  <c r="H39" i="1"/>
  <c r="R40" i="1"/>
  <c r="H42" i="1"/>
  <c r="Q41" i="1"/>
  <c r="Q40" i="1"/>
  <c r="Q39" i="1" s="1"/>
  <c r="J28" i="1" l="1"/>
  <c r="J21" i="1"/>
  <c r="J20" i="1" s="1"/>
  <c r="I28" i="1"/>
  <c r="I21" i="1"/>
  <c r="I20" i="1" s="1"/>
  <c r="S345" i="1"/>
  <c r="H331" i="1"/>
  <c r="L28" i="1"/>
  <c r="L21" i="1"/>
  <c r="L20" i="1" s="1"/>
  <c r="N21" i="1"/>
  <c r="Q45" i="1"/>
  <c r="H44" i="1"/>
  <c r="R45" i="1"/>
  <c r="R54" i="1"/>
  <c r="S55" i="1"/>
  <c r="K21" i="1"/>
  <c r="K20" i="1" s="1"/>
  <c r="K28" i="1"/>
  <c r="H135" i="1"/>
  <c r="H157" i="1"/>
  <c r="Q278" i="1"/>
  <c r="Q27" i="1" s="1"/>
  <c r="S246" i="1"/>
  <c r="R244" i="1"/>
  <c r="N208" i="1"/>
  <c r="R311" i="1"/>
  <c r="R437" i="1"/>
  <c r="S437" i="1" s="1"/>
  <c r="N296" i="1"/>
  <c r="S432" i="1"/>
  <c r="R431" i="1"/>
  <c r="Q437" i="1"/>
  <c r="S530" i="1"/>
  <c r="R528" i="1"/>
  <c r="H522" i="1"/>
  <c r="R544" i="1"/>
  <c r="M28" i="1"/>
  <c r="M21" i="1"/>
  <c r="M20" i="1" s="1"/>
  <c r="R39" i="1"/>
  <c r="S40" i="1"/>
  <c r="R60" i="1"/>
  <c r="S60" i="1" s="1"/>
  <c r="R47" i="1"/>
  <c r="S47" i="1" s="1"/>
  <c r="Q47" i="1"/>
  <c r="Q66" i="1"/>
  <c r="O21" i="1"/>
  <c r="O20" i="1" s="1"/>
  <c r="O28" i="1"/>
  <c r="R77" i="1"/>
  <c r="N23" i="1"/>
  <c r="Q53" i="1"/>
  <c r="R234" i="1"/>
  <c r="S234" i="1" s="1"/>
  <c r="S235" i="1"/>
  <c r="F142" i="1"/>
  <c r="F25" i="1" s="1"/>
  <c r="R229" i="1"/>
  <c r="S230" i="1"/>
  <c r="H243" i="1"/>
  <c r="L208" i="1"/>
  <c r="R337" i="1"/>
  <c r="S338" i="1"/>
  <c r="F344" i="1"/>
  <c r="F295" i="1" s="1"/>
  <c r="H303" i="1"/>
  <c r="N427" i="1"/>
  <c r="Q551" i="1"/>
  <c r="Q545" i="1" s="1"/>
  <c r="H615" i="1"/>
  <c r="Q544" i="1"/>
  <c r="H36" i="1"/>
  <c r="F28" i="1"/>
  <c r="F21" i="1"/>
  <c r="Q92" i="1"/>
  <c r="Q91" i="1" s="1"/>
  <c r="Q76" i="1" s="1"/>
  <c r="Q23" i="1" s="1"/>
  <c r="R92" i="1"/>
  <c r="H91" i="1"/>
  <c r="H76" i="1" s="1"/>
  <c r="D20" i="1"/>
  <c r="F23" i="1"/>
  <c r="R196" i="1"/>
  <c r="S196" i="1" s="1"/>
  <c r="R109" i="1"/>
  <c r="S109" i="1" s="1"/>
  <c r="H142" i="1"/>
  <c r="H228" i="1"/>
  <c r="R275" i="1"/>
  <c r="S276" i="1"/>
  <c r="R339" i="1"/>
  <c r="S339" i="1" s="1"/>
  <c r="R232" i="1"/>
  <c r="S232" i="1" s="1"/>
  <c r="S233" i="1"/>
  <c r="F243" i="1"/>
  <c r="F208" i="1" s="1"/>
  <c r="Q435" i="1"/>
  <c r="Q364" i="1"/>
  <c r="Q344" i="1" s="1"/>
  <c r="R386" i="1"/>
  <c r="S386" i="1" s="1"/>
  <c r="S523" i="1"/>
  <c r="R537" i="1"/>
  <c r="H536" i="1"/>
  <c r="H527" i="1" s="1"/>
  <c r="R539" i="1"/>
  <c r="H538" i="1"/>
  <c r="F509" i="1"/>
  <c r="S552" i="1"/>
  <c r="R551" i="1"/>
  <c r="S551" i="1" s="1"/>
  <c r="R615" i="1"/>
  <c r="S619" i="1"/>
  <c r="F22" i="1"/>
  <c r="Q73" i="1"/>
  <c r="R73" i="1"/>
  <c r="D28" i="1"/>
  <c r="H53" i="1"/>
  <c r="N134" i="1"/>
  <c r="N28" i="1" s="1"/>
  <c r="R149" i="1"/>
  <c r="R221" i="1"/>
  <c r="R372" i="1"/>
  <c r="S372" i="1" s="1"/>
  <c r="Q372" i="1"/>
  <c r="F27" i="1"/>
  <c r="Q244" i="1"/>
  <c r="Q243" i="1" s="1"/>
  <c r="Q208" i="1" s="1"/>
  <c r="Q339" i="1"/>
  <c r="Q337" i="1" s="1"/>
  <c r="Q331" i="1" s="1"/>
  <c r="Q295" i="1" s="1"/>
  <c r="H364" i="1"/>
  <c r="R435" i="1"/>
  <c r="S435" i="1" s="1"/>
  <c r="S436" i="1"/>
  <c r="R364" i="1"/>
  <c r="S364" i="1" s="1"/>
  <c r="S365" i="1"/>
  <c r="H427" i="1"/>
  <c r="R524" i="1"/>
  <c r="S524" i="1" s="1"/>
  <c r="Q540" i="1"/>
  <c r="Q527" i="1" s="1"/>
  <c r="Q509" i="1" s="1"/>
  <c r="H600" i="1"/>
  <c r="J509" i="1"/>
  <c r="N527" i="1"/>
  <c r="H545" i="1"/>
  <c r="R546" i="1"/>
  <c r="S547" i="1"/>
  <c r="R545" i="1" l="1"/>
  <c r="S545" i="1" s="1"/>
  <c r="S546" i="1"/>
  <c r="R216" i="1"/>
  <c r="S221" i="1"/>
  <c r="S539" i="1"/>
  <c r="R538" i="1"/>
  <c r="S538" i="1" s="1"/>
  <c r="H25" i="1"/>
  <c r="H29" i="1"/>
  <c r="H296" i="1"/>
  <c r="N295" i="1"/>
  <c r="H344" i="1"/>
  <c r="H134" i="1"/>
  <c r="R344" i="1"/>
  <c r="S344" i="1" s="1"/>
  <c r="N22" i="1"/>
  <c r="N24" i="1"/>
  <c r="R271" i="1"/>
  <c r="S271" i="1" s="1"/>
  <c r="S275" i="1"/>
  <c r="N509" i="1"/>
  <c r="R142" i="1"/>
  <c r="S149" i="1"/>
  <c r="S615" i="1"/>
  <c r="R592" i="1"/>
  <c r="S592" i="1" s="1"/>
  <c r="F20" i="1"/>
  <c r="N25" i="1"/>
  <c r="S77" i="1"/>
  <c r="S311" i="1"/>
  <c r="R303" i="1"/>
  <c r="H27" i="1"/>
  <c r="S54" i="1"/>
  <c r="R157" i="1"/>
  <c r="H22" i="1"/>
  <c r="R536" i="1"/>
  <c r="S536" i="1" s="1"/>
  <c r="S537" i="1"/>
  <c r="R522" i="1"/>
  <c r="R91" i="1"/>
  <c r="S91" i="1" s="1"/>
  <c r="S92" i="1"/>
  <c r="Q22" i="1"/>
  <c r="S39" i="1"/>
  <c r="S544" i="1"/>
  <c r="R540" i="1"/>
  <c r="S540" i="1" s="1"/>
  <c r="H517" i="1"/>
  <c r="R427" i="1"/>
  <c r="S427" i="1" s="1"/>
  <c r="S431" i="1"/>
  <c r="R243" i="1"/>
  <c r="S243" i="1" s="1"/>
  <c r="S244" i="1"/>
  <c r="Q44" i="1"/>
  <c r="Q36" i="1" s="1"/>
  <c r="Q29" i="1" s="1"/>
  <c r="H208" i="1"/>
  <c r="H593" i="1"/>
  <c r="S73" i="1"/>
  <c r="R66" i="1"/>
  <c r="S66" i="1" s="1"/>
  <c r="S337" i="1"/>
  <c r="R331" i="1"/>
  <c r="S331" i="1" s="1"/>
  <c r="R228" i="1"/>
  <c r="S228" i="1" s="1"/>
  <c r="S229" i="1"/>
  <c r="S528" i="1"/>
  <c r="R44" i="1"/>
  <c r="S44" i="1" s="1"/>
  <c r="S45" i="1"/>
  <c r="N20" i="1"/>
  <c r="R27" i="1" l="1"/>
  <c r="S27" i="1" s="1"/>
  <c r="S157" i="1"/>
  <c r="H24" i="1"/>
  <c r="Q28" i="1"/>
  <c r="Q21" i="1"/>
  <c r="Q20" i="1" s="1"/>
  <c r="R527" i="1"/>
  <c r="S527" i="1" s="1"/>
  <c r="H592" i="1"/>
  <c r="H510" i="1"/>
  <c r="R76" i="1"/>
  <c r="H23" i="1"/>
  <c r="R36" i="1"/>
  <c r="R517" i="1"/>
  <c r="S522" i="1"/>
  <c r="R53" i="1"/>
  <c r="R296" i="1"/>
  <c r="S303" i="1"/>
  <c r="H28" i="1"/>
  <c r="H21" i="1"/>
  <c r="R209" i="1"/>
  <c r="S216" i="1"/>
  <c r="R25" i="1"/>
  <c r="S25" i="1" s="1"/>
  <c r="S142" i="1"/>
  <c r="H295" i="1"/>
  <c r="R22" i="1" l="1"/>
  <c r="S22" i="1" s="1"/>
  <c r="S53" i="1"/>
  <c r="S517" i="1"/>
  <c r="R510" i="1"/>
  <c r="H509" i="1"/>
  <c r="S209" i="1"/>
  <c r="R208" i="1"/>
  <c r="S208" i="1" s="1"/>
  <c r="H20" i="1"/>
  <c r="R295" i="1"/>
  <c r="S295" i="1" s="1"/>
  <c r="S296" i="1"/>
  <c r="S36" i="1"/>
  <c r="R29" i="1"/>
  <c r="R23" i="1"/>
  <c r="S23" i="1" s="1"/>
  <c r="S76" i="1"/>
  <c r="R28" i="1" l="1"/>
  <c r="S28" i="1" s="1"/>
  <c r="S29" i="1"/>
  <c r="R21" i="1"/>
  <c r="R509" i="1"/>
  <c r="S509" i="1" s="1"/>
  <c r="S510" i="1"/>
  <c r="R20" i="1" l="1"/>
  <c r="S21" i="1"/>
  <c r="S20" i="1" l="1"/>
</calcChain>
</file>

<file path=xl/sharedStrings.xml><?xml version="1.0" encoding="utf-8"?>
<sst xmlns="http://schemas.openxmlformats.org/spreadsheetml/2006/main" count="3153" uniqueCount="1245">
  <si>
    <t>нд</t>
  </si>
  <si>
    <t>Поставка оборудования ранее установленного срока.</t>
  </si>
  <si>
    <t>Поставка оборудования ранее установленного срока</t>
  </si>
  <si>
    <t>H_505-ХТСКб-8-18</t>
  </si>
  <si>
    <t>Покупка. Прибор для определения влаги угля МА25 Speedy 2000, – 1 шт, БТЭЦ</t>
  </si>
  <si>
    <t>5.7</t>
  </si>
  <si>
    <t>Увеличение стоимости по результатам закупочных процедур.Поставка оборудования ранее установленного срока</t>
  </si>
  <si>
    <t>H_505-ХТСКб-8-9</t>
  </si>
  <si>
    <t>Покупка Погрузчик вилочный Амкодор 451А - 1 шт, БТЭЦ</t>
  </si>
  <si>
    <t>H_505-ХТСКб-8-6</t>
  </si>
  <si>
    <t>Покупка Станция АТС - 1 шт, БТЭЦ</t>
  </si>
  <si>
    <t>Г</t>
  </si>
  <si>
    <t>Прочие инвестиционные проекты всего, в том числе:</t>
  </si>
  <si>
    <t>Покупка земельных участков для целей реализации инвестиционных проектов, всего, в том числе:</t>
  </si>
  <si>
    <t>5.6</t>
  </si>
  <si>
    <t>Прочее новое строительство, всего, в том числе:</t>
  </si>
  <si>
    <t>5.5.4</t>
  </si>
  <si>
    <t>Новое строительство тепловых сетей, всего, в том числе:</t>
  </si>
  <si>
    <t>5.5.3</t>
  </si>
  <si>
    <t>Новое строительство котельных, всего, в том числе:</t>
  </si>
  <si>
    <t>5.5.2</t>
  </si>
  <si>
    <t>Новое строительство объектов по производству электрической энергии, всего, в том числе:</t>
  </si>
  <si>
    <t>5.5.1</t>
  </si>
  <si>
    <t>Новое строительство, всего, в том числе:</t>
  </si>
  <si>
    <t>5.5</t>
  </si>
  <si>
    <t>Строительство, реконструкция, модернизация и техническое перевооружение тепловых сетей, всего, в том числе:</t>
  </si>
  <si>
    <t>5.4.2.2</t>
  </si>
  <si>
    <t>Строительство, реконструкция, модернизация и техническое перевооружение источников тепловой энергии, всего, в том числе:</t>
  </si>
  <si>
    <t>5.4.2.1</t>
  </si>
  <si>
    <t>Наименование поселения (городского округа)</t>
  </si>
  <si>
    <t>5.4.2</t>
  </si>
  <si>
    <t>5.4.1.2</t>
  </si>
  <si>
    <t>5.4.1.1</t>
  </si>
  <si>
    <t>5.4.1</t>
  </si>
  <si>
    <t>Инвестиционные проекты, реализация которых обуславливается схемами теплоснабжения, всего, в том числе:</t>
  </si>
  <si>
    <t>5.4</t>
  </si>
  <si>
    <t xml:space="preserve">Отставание от графика производства работ </t>
  </si>
  <si>
    <t>F_505-ХТСКб-2</t>
  </si>
  <si>
    <t>Техническое перевооружение РОУ (редукционно-охладительная установка) (СП БТЭЦ)</t>
  </si>
  <si>
    <t>5.3.4</t>
  </si>
  <si>
    <t>Длительное проведение закупочных процедур</t>
  </si>
  <si>
    <t>I_505-ХТСКб-16</t>
  </si>
  <si>
    <t>Модернизация системы безопасности мазутонасосной котельного цеха (58 м3/ч).  (СП "БТЭЦ")</t>
  </si>
  <si>
    <t>Оплата за выполненные работы</t>
  </si>
  <si>
    <t>F_505-ХТСКб-1</t>
  </si>
  <si>
    <t>Техперевооружение комплекса инженерно-технических средств физической защиты Биробиджанской ТЭЦ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</si>
  <si>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</si>
  <si>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тепловых сетей всего, в том числе:</t>
  </si>
  <si>
    <t>5.3.3</t>
  </si>
  <si>
    <t>Модернизация, техническое перевооружение котельных всего, в том числе:</t>
  </si>
  <si>
    <t>5.3.2</t>
  </si>
  <si>
    <t>Модернизация, техническое перевооружение объектов по производству электрической энергии всего, в том числе:</t>
  </si>
  <si>
    <t>5.3.1</t>
  </si>
  <si>
    <t>Модернизация, техническое перевооружение, всего, в том числе:</t>
  </si>
  <si>
    <t>5.3</t>
  </si>
  <si>
    <t xml:space="preserve">Фактически сложившаяся КЗ </t>
  </si>
  <si>
    <t>F_505-ХТСКб-5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</si>
  <si>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</si>
  <si>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5.2.4</t>
  </si>
  <si>
    <t>Реконструкция прочих объектов основных средств всего, в том числе:</t>
  </si>
  <si>
    <t>Реконструкция тепловых сетей всего, в том числе:</t>
  </si>
  <si>
    <t>5.2.3</t>
  </si>
  <si>
    <t>Погашение КЗ  за 2019г. не предусмотренно в плане 2020г.</t>
  </si>
  <si>
    <t>F_505-ХТСКб-4</t>
  </si>
  <si>
    <t>Реконструкция установок ПСВ-500-14-23 котельного цеха (СП БТЭЦ)</t>
  </si>
  <si>
    <t>5.2.2</t>
  </si>
  <si>
    <t>Реконструкция котельных всего, в том числе:</t>
  </si>
  <si>
    <t>Реконструкция объектов по производству электрической энергии всего, в том числе:</t>
  </si>
  <si>
    <t>5.2.1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</si>
  <si>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</si>
  <si>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5.2</t>
  </si>
  <si>
    <t>Подключение объектов теплоснабжения к системам теплоснабжения, всего, в том числе:</t>
  </si>
  <si>
    <t>5.1.4</t>
  </si>
  <si>
    <t>F_505-ХТСКб-6тп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</si>
  <si>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</si>
  <si>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5.1.3.5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</si>
  <si>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</si>
  <si>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</si>
  <si>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5.1.3.4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</si>
  <si>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</si>
  <si>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5.1.3.3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</si>
  <si>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</si>
  <si>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5.1.3.2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</si>
  <si>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</si>
  <si>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5.1.3.1</t>
  </si>
  <si>
    <t>Подключение теплопотребляющих установок потребителей тепловой энергии к системе теплоснабжения, всего, в том числе:</t>
  </si>
  <si>
    <t>5.1.3</t>
  </si>
  <si>
    <t>Наименование объекта по производству электрической энергии, всего, в том числе:</t>
  </si>
  <si>
    <t>5.1.2.2</t>
  </si>
  <si>
    <t>Наименование объекта по производству электрической энергии,  всего, в том числе:</t>
  </si>
  <si>
    <t>5.1.2.1</t>
  </si>
  <si>
    <t>Технологическое присоединение объектов по производству электрической энергии к электрическим сетям, всего, в том числе:</t>
  </si>
  <si>
    <t>5.1.2</t>
  </si>
  <si>
    <t>5.1.1.2</t>
  </si>
  <si>
    <t>5.1.1.1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</si>
  <si>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</si>
  <si>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5.1.1</t>
  </si>
  <si>
    <t>Технологическое присоединение (подключение), всего, в том числе:</t>
  </si>
  <si>
    <t>5.1</t>
  </si>
  <si>
    <t>Еврейская автономная область</t>
  </si>
  <si>
    <t>5</t>
  </si>
  <si>
    <t>Новый проект. Включен в ИПР для обеспечения производственного процесса современным специализированным оборудованием.</t>
  </si>
  <si>
    <t>K_505-НГ-24-71</t>
  </si>
  <si>
    <t>Покупка оборудования радиофикации подъездных путей НГРЭС</t>
  </si>
  <si>
    <t>4.7</t>
  </si>
  <si>
    <t>Внеплановый проект. Проект включен в ИПР для обеспечения производственного процесса современным специализированным оборудованием на основании акта технического освидетельствования №11/2019 от 22.11.2019 года.</t>
  </si>
  <si>
    <t>K_505-НГ-24-75</t>
  </si>
  <si>
    <t>Покупка ультразвукового дефектоскопа, 1 шт. НГРЭС</t>
  </si>
  <si>
    <t>J_505-НГ-24-69</t>
  </si>
  <si>
    <t>Покупка рефлектомера ВОК (волокнисто-оптический кабель  НГРЭС   кол-во 1 шт.</t>
  </si>
  <si>
    <t>Финансирование оборудования, поставленного ранее установленного срока. Увеличение стоимости по результатам закупочных процедур</t>
  </si>
  <si>
    <t>J_505-НГ-24-68</t>
  </si>
  <si>
    <t>Покупка стенда для испытания отрезных кругов НГРЭС  кол-во 1 шт.</t>
  </si>
  <si>
    <t>J_505-НГ-24-67</t>
  </si>
  <si>
    <t>Покупка проборазделочной машины МПЛ-300 НГРЭС    кол-во 1 шт.</t>
  </si>
  <si>
    <t>J_505-НГ-24-65</t>
  </si>
  <si>
    <t>Покупка  высоковольтного моста переменного тока "СА7100-3)  НГРЭС    кол-во 1 шт.</t>
  </si>
  <si>
    <t>J_505-НГ-24-64</t>
  </si>
  <si>
    <t>Покупка  измерителя параметров изоляции "Вектор-2.0М"  НГРЭС    кол-во 1 шт.</t>
  </si>
  <si>
    <t>Финансирование оборудования, поставленного ранее установленного срока.</t>
  </si>
  <si>
    <t>J_505-НГ-24-63</t>
  </si>
  <si>
    <t xml:space="preserve"> Покупка стенда высоковольтного стационарного "СВС-100" НГРЭС   кол-во 1 шт.</t>
  </si>
  <si>
    <t>J_505-НГ-24-62</t>
  </si>
  <si>
    <t>Покупка системы оперативно- розыскных мероприятий НГРЭС   кол-во 1 шт.</t>
  </si>
  <si>
    <t>H_505-НГ-24-26</t>
  </si>
  <si>
    <t>Покупка бульдозера Т-35.01 НГРЭС   Кол-во: 2018-1шт, 2019-1шт, 2020-1шт</t>
  </si>
  <si>
    <t>I_505-НГ-24-51</t>
  </si>
  <si>
    <t>Покупка пожарной автоцистерны,  НГРЭС  1 шт.</t>
  </si>
  <si>
    <t>H_505-НГ-24-24</t>
  </si>
  <si>
    <t>Покупка автобуса ПАЗ НГРЭС Кол-во: 2017г.-1 шт., 2018г.-1шт., 2019г.-2шт., 2020г.-1 шт, 2022г.-1шт)</t>
  </si>
  <si>
    <t>4.6</t>
  </si>
  <si>
    <t>Неисполнение обязательст подрядчика. Расторжение договора.</t>
  </si>
  <si>
    <t>F_505-НГ-21</t>
  </si>
  <si>
    <t>Строительство ШЗО № 2 НГРЭС (емкость - 54,5 млн. м3)</t>
  </si>
  <si>
    <t>4.5.4</t>
  </si>
  <si>
    <t>4.5.3</t>
  </si>
  <si>
    <t>4.5.2</t>
  </si>
  <si>
    <t>4.5.1</t>
  </si>
  <si>
    <t>4.5</t>
  </si>
  <si>
    <t>4.4.2.2</t>
  </si>
  <si>
    <t>4.4.2.1</t>
  </si>
  <si>
    <t>4.4.2</t>
  </si>
  <si>
    <t>4.4.1.2</t>
  </si>
  <si>
    <t>4.4.1.1</t>
  </si>
  <si>
    <t>4.4.1</t>
  </si>
  <si>
    <t>4.4</t>
  </si>
  <si>
    <t>Нарушение подрядчиком сроков выполнения работ.</t>
  </si>
  <si>
    <t>I_505-НГ-59</t>
  </si>
  <si>
    <t>Установка  лифтов зав. №6077, г/п 1000 кг.,зав. №5363, г/п 1000 кг. в котельном отделении НГРЭС</t>
  </si>
  <si>
    <t>4.3.4</t>
  </si>
  <si>
    <t>Отсутствие обязательств для финансирования по факту заключенного договора</t>
  </si>
  <si>
    <t>J_505-НГ-79</t>
  </si>
  <si>
    <t>Установка дифференциальной защиты шин на Чульманской ТЭЦ</t>
  </si>
  <si>
    <t>Отсутствие обязательств для финансирования</t>
  </si>
  <si>
    <t>J_505-НГ-78</t>
  </si>
  <si>
    <t>Установка системы непрерывного контроля газовых выбросов на Нерюнгринской ГРЭС</t>
  </si>
  <si>
    <t>Изменение сроков реализации проекта по результатам заключения договорных соглашений.</t>
  </si>
  <si>
    <t>J_505-НГ-76</t>
  </si>
  <si>
    <t>Установка локальной системы оповещения НГРЭС</t>
  </si>
  <si>
    <t>K_505-НГ-88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</si>
  <si>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</si>
  <si>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J_505-НГ-73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</si>
  <si>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</si>
  <si>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Отсутствие обязательств для финансирования,торги не состоялись(Протокол от 14.08.2020 №839),объявлены повторно.</t>
  </si>
  <si>
    <t>I_505-НГ-72</t>
  </si>
  <si>
    <t>Установка системы мониторинга переходных режимов (СМПР) на Нерюнгринской ГРЭС</t>
  </si>
  <si>
    <t>I_505-НГ-71</t>
  </si>
  <si>
    <t>Установка автоматики ликвидации асинхронного режима (АЛАР) на Нерюнгринской ГРЭС</t>
  </si>
  <si>
    <t>H_505-НГ-54</t>
  </si>
  <si>
    <t xml:space="preserve">Монтаж азотной  установки НГРЭС, 1 шт.  </t>
  </si>
  <si>
    <t>F_505-НГ-14</t>
  </si>
  <si>
    <t>Замена масляных выключателей на Нерюнгринской ГРЭС</t>
  </si>
  <si>
    <t>F_505-НГ-12</t>
  </si>
  <si>
    <t>Техперевооружение комплекса инженерно-технических средств физической защиты ЧТЭЦ</t>
  </si>
  <si>
    <t>Опережение графика производства работ.</t>
  </si>
  <si>
    <t>F_505-НГ-11</t>
  </si>
  <si>
    <t>Техперевооружение комплекса инженерно-технических средств физической защиты НГРЭС</t>
  </si>
  <si>
    <t>F_505-НГ-4</t>
  </si>
  <si>
    <t>Техперевооружение комплекса инженерно-технических средств физической защиты НГВК</t>
  </si>
  <si>
    <t>4.3.3</t>
  </si>
  <si>
    <t>4.3.2</t>
  </si>
  <si>
    <t>F_505-НГ-16</t>
  </si>
  <si>
    <t>Установка системы автоматического регулирования мощности энергоблоков № 1, 2, 3 Нерюнгринской ГРЭС</t>
  </si>
  <si>
    <t>4.3.1</t>
  </si>
  <si>
    <t>Длительное согласование с проектной организацией основных технический решений по проекту.</t>
  </si>
  <si>
    <t>J_505-НГ-83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</si>
  <si>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</si>
  <si>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4.3</t>
  </si>
  <si>
    <t>Изменение сроков реализации проекта в связи с распространением коронавирусной инфекции (COVID-19). Приняты затраты службы Заказчика.</t>
  </si>
  <si>
    <t>H_505-НГ-48</t>
  </si>
  <si>
    <t>Реконструкция системы оборотного водоснабжения осветленной воды ШЗО Нерюнгринской ГРЭС</t>
  </si>
  <si>
    <t>4.2.4</t>
  </si>
  <si>
    <t>Отмена закупки в связи с переносом выполнения работ на 2021 год</t>
  </si>
  <si>
    <t>J_505-НГ-75</t>
  </si>
  <si>
    <t>Наращивание дамбы шлакозолоотвала №1 НГРЭС</t>
  </si>
  <si>
    <t>Влияние фактически сложившейся КЗ на 01.01.2020</t>
  </si>
  <si>
    <t>H_505-НГ-43</t>
  </si>
  <si>
    <t>Реконструкция вагоноопрокидывателя НГРЭС</t>
  </si>
  <si>
    <t>Изменение условий финансирования по результатам заключения договорных соглашений.</t>
  </si>
  <si>
    <t>F_505-НГ-19</t>
  </si>
  <si>
    <t>Реконструкция сооружений СБО (станция биологической очистки)  пос. Чульман, СП   ЧТЭЦ</t>
  </si>
  <si>
    <t>J_505-НГ-84</t>
  </si>
  <si>
    <t>Реконструкция  II очереди МТС г. Нерюнгри" НГРЭС</t>
  </si>
  <si>
    <t>4.2.3</t>
  </si>
  <si>
    <t xml:space="preserve">Отставание от графика производства работ. </t>
  </si>
  <si>
    <t>F_505-НГ-1-15</t>
  </si>
  <si>
    <t>Реконструкция энергооборудования КВТК№5 НГВК</t>
  </si>
  <si>
    <t>4.2.2</t>
  </si>
  <si>
    <t>H_505-НГ-41</t>
  </si>
  <si>
    <t>Реконструкция котлоагрегата ст. №6 БКЗ-75-39 ЧТЭЦ</t>
  </si>
  <si>
    <t>4.2.1</t>
  </si>
  <si>
    <t>H_505-НГ-40</t>
  </si>
  <si>
    <t>Реконструкция котлоагрегата ст. №4 БКЗ-75-39 ЧТЭЦ</t>
  </si>
  <si>
    <t>H_505-НГ-49</t>
  </si>
  <si>
    <t>Реконструкция водогрейного котла ст. №2 КВТК-100-150 НГРЭС</t>
  </si>
  <si>
    <t>J_505-НГ-74</t>
  </si>
  <si>
    <t>Реконструкция горелочных устройств котлоагрегатов  НГРЭС</t>
  </si>
  <si>
    <t>Из-за отсутствия резерва по котлам (продление ремонтных работ котла ст №2 ЦКТИ) выполнение работ по реконструкции котла ст №5 БКЗ было невозможным осуществить.</t>
  </si>
  <si>
    <t>F_505-НГ-2</t>
  </si>
  <si>
    <t xml:space="preserve">Реконструкция котлоагрегата БКЗ 75/39 ст.№5 ЧТЭЦ </t>
  </si>
  <si>
    <t>H_505-НГ-31</t>
  </si>
  <si>
    <t>Реконструкция энергоблока ст №1 НГРЭС</t>
  </si>
  <si>
    <t>H_505-НГ-32</t>
  </si>
  <si>
    <t>Реконструкция э/б ст. №2 НГРЭС</t>
  </si>
  <si>
    <t>4.2</t>
  </si>
  <si>
    <t>4.1.4</t>
  </si>
  <si>
    <t>Изменение объемов финансирования в связи с переносом работ в 2020г.</t>
  </si>
  <si>
    <t>I_505-НГ-70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</si>
  <si>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</si>
  <si>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4.1.3.5</t>
  </si>
  <si>
    <t>I_505-НГ-69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</si>
  <si>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</si>
  <si>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I_505-НГ-68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</si>
  <si>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</si>
  <si>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4.1.3.4</t>
  </si>
  <si>
    <t>4.1.3.3</t>
  </si>
  <si>
    <t>4.1.3.2</t>
  </si>
  <si>
    <t>4.1.3.1</t>
  </si>
  <si>
    <t>4.1.3</t>
  </si>
  <si>
    <t>4.1.2.2</t>
  </si>
  <si>
    <t>4.1.2.1</t>
  </si>
  <si>
    <t>4.1.2</t>
  </si>
  <si>
    <t>Нерюнгринская ГРЭС, всего, в том числе:</t>
  </si>
  <si>
    <t>4.1.1.2</t>
  </si>
  <si>
    <t xml:space="preserve"> Чульманская ТЭЦ, всего, в том числе:</t>
  </si>
  <si>
    <t>4.1.1.1</t>
  </si>
  <si>
    <t>4.1.1</t>
  </si>
  <si>
    <t>4.1</t>
  </si>
  <si>
    <t>Республика САХА (Якутия)</t>
  </si>
  <si>
    <t>4</t>
  </si>
  <si>
    <t>F_505-ЛуТЭК-42на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</si>
  <si>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</si>
  <si>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3.7</t>
  </si>
  <si>
    <t>Финансирование работ с опережением графика производства.</t>
  </si>
  <si>
    <t>I_505-ПГг-75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</si>
  <si>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</si>
  <si>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I_505-ЛуТЭК-30-65</t>
  </si>
  <si>
    <t>Покупка экскаватора ЕК-18-20 (TWEX 180W), 1 шт. (ПримГРЭС)</t>
  </si>
  <si>
    <t>J_505-ПГт-11-72</t>
  </si>
  <si>
    <t>Покупка муфельной печи «ЭКПС-10»,  1шт. Приморские тепловые сети</t>
  </si>
  <si>
    <t>Задержка поставки оборудования.</t>
  </si>
  <si>
    <t>J_505-ПГт-11-71</t>
  </si>
  <si>
    <t>Покупка установки для катодной обработки «УКО-72»,  1шт. Приморские тепловые сети</t>
  </si>
  <si>
    <t xml:space="preserve"> Экономия по итогам закупочной деятельности.</t>
  </si>
  <si>
    <t>J_505-ПГт-11-70</t>
  </si>
  <si>
    <t>Покупка кондуктометра «МАРК-603»,  1шт. Приморские тепловые сети</t>
  </si>
  <si>
    <t>J_505-ПГт-11-69</t>
  </si>
  <si>
    <t>Покупка анализатора кислорода в воде «МАРК-3010»,  3 шт. Приморские тепловые сети</t>
  </si>
  <si>
    <t>J_505-ПГт-11-68</t>
  </si>
  <si>
    <t>Покупка ДГУ GPM 21С Рамного исполнения с АВР,  1шт. Приморские тепловые сети</t>
  </si>
  <si>
    <t>Увеличение стоимости по результатам закупочных процедур.</t>
  </si>
  <si>
    <t>J_505-ПГт-11-67</t>
  </si>
  <si>
    <t>Покупка кондиционера Daikin FAQ71B,  1шт. Приморские тепловые сети</t>
  </si>
  <si>
    <t>J_505-ПГт-11-66</t>
  </si>
  <si>
    <t>Покупка виброплиты для брусчатки,  1шт. Приморские тепловые сети</t>
  </si>
  <si>
    <t>Консолидированные закупки АО «ДГК», поставка в соответствии с условиями договора.</t>
  </si>
  <si>
    <t>J_505-ПГт-11-65</t>
  </si>
  <si>
    <t>Покупка помпы для сильнозагрязненной воды,  1шт. Приморские тепловые сети</t>
  </si>
  <si>
    <t>J_505-ПГт-11-64</t>
  </si>
  <si>
    <t>Покупка инверторной электростанции FUBAG TI 7000 A ES 6,5кВт,  1шт. Приморские тепловые сети</t>
  </si>
  <si>
    <t>J_505-ПГт-11-63</t>
  </si>
  <si>
    <t>Покупка автоподъемника POWERREX SL-2500ВР, 1шт. 
Приморские тепловые сети</t>
  </si>
  <si>
    <t>J_505-ПГт-11-62</t>
  </si>
  <si>
    <t>Покупка электрического отбойного молотка, 2 шт. 
Приморские тепловые сети</t>
  </si>
  <si>
    <t>J_505-ПГт-11-61</t>
  </si>
  <si>
    <t>Покупка комплекта гидравлических насосов Power team RPS556B (съемник). Приморские тепловые сети 1 шт</t>
  </si>
  <si>
    <t>J_505-ПГт-11-82</t>
  </si>
  <si>
    <t>Покупка станка для резки труб электрического ПТМ 14-60 Приморские тепловые сети 2 шт.</t>
  </si>
  <si>
    <t>J_505-ПГт-11-53</t>
  </si>
  <si>
    <t xml:space="preserve">Покупка экскаватора Caterpillar 428Е, 1шт. Приморские тепловые сети </t>
  </si>
  <si>
    <t>J_505-ПГт-11-52</t>
  </si>
  <si>
    <t xml:space="preserve">Покупка самосвала 5 тонн Газон  NEXT,  5шт. (2шт - 2020г, 3шт, 2023г.) Приморские тепловые сети </t>
  </si>
  <si>
    <t>J_505-ПГт-11-51</t>
  </si>
  <si>
    <t xml:space="preserve">Покупка полуприцепа ATLANT 12метров, 1шт. Приморские тепловые сети </t>
  </si>
  <si>
    <t>J_505-ПГт-11-50</t>
  </si>
  <si>
    <t xml:space="preserve">Покупка автомобиля Хино 700, 1шт. Приморские тепловые сети </t>
  </si>
  <si>
    <t>J_505-ПГт-11-49</t>
  </si>
  <si>
    <t>Покупка грузового бортового автомобиля ГАЗ 330273 (Газель), 3 шт (1шт - 2020г, 2шт - 2021г.) Приморские тепловые сети</t>
  </si>
  <si>
    <t>J_505-ПГт-11-48</t>
  </si>
  <si>
    <t>Покупка грузового фургона  УАЗ 390995, 2шт. Приморские тепловые сети</t>
  </si>
  <si>
    <t>J_505-ПГт-11-47</t>
  </si>
  <si>
    <t>Покупка крана самоходного Kobelko RK160, 140л.с.  1шт. Приморские тепловые сети</t>
  </si>
  <si>
    <t>I_505-ПГг-39-77</t>
  </si>
  <si>
    <t>Покупка ультразвукового дефектоскопа А1214 EXPERT Партизанская  ГРЭС 1 шт.</t>
  </si>
  <si>
    <t>I_505-ПГг-39-76</t>
  </si>
  <si>
    <t>Покупка системы контроля дыхательных аппаратов с муляжом головы "СКАД-1" Партизанская ГРЭС 1 шт.</t>
  </si>
  <si>
    <t>I_505-ПГг-39-75</t>
  </si>
  <si>
    <t>Покупка выпрямительного силового блока питания электролизной установки ТПЕ-400-75 Партизанская ГРЭС 1 шт.</t>
  </si>
  <si>
    <t>I_505-ПГг-39-74</t>
  </si>
  <si>
    <t>Покупка оборудования для опто-волоконных линий связи Партизанская ГРЭС       1 шт.</t>
  </si>
  <si>
    <t>I_505-ПГг-39-73</t>
  </si>
  <si>
    <t>Покупка ультразвукового толщинометра TT 310 Партизанская ГРЭС 1. шт.</t>
  </si>
  <si>
    <t>I_505-ПГг-39-72</t>
  </si>
  <si>
    <t>Покупка  криостата Внешнего LOIP FT-311-25 Партизанская ГРЭС 1 шт.</t>
  </si>
  <si>
    <t>I_505-ПГг-39-71</t>
  </si>
  <si>
    <t>Покупка печи муфельной СНОЛ 1,6.2,5.1/11-И2М Партизанская ГРЭС 1 шт.</t>
  </si>
  <si>
    <t>Экономия по итогам закупочной деятельности.</t>
  </si>
  <si>
    <t>I_505-ПГг-39-70</t>
  </si>
  <si>
    <t>Покупка аспиратора с ЗУ, аккумуляторным блоком, фильтродержателем «ИРА», штуцерами.ПА-300М-2 Партизанская ГРЭС 1 шт.</t>
  </si>
  <si>
    <t>I_505-ПГг-39-69</t>
  </si>
  <si>
    <t>Покупка шумомера, виброметра АССИСТЕНТ TOTAL +  Партизанская ГРЭС 1 шт.</t>
  </si>
  <si>
    <t>I_505-ПГг-39-68</t>
  </si>
  <si>
    <t>Покупка лабораторных  весов ВЛТЭ-210/510С Партизанская ГРЭС 1 шт.</t>
  </si>
  <si>
    <t>I_505-ПГг-39-67</t>
  </si>
  <si>
    <t>Покупка лабораторных аналитических весов ВЛ-224В Партизанская ГРЭС 1 шт.</t>
  </si>
  <si>
    <t>I_505-ПГг-39-66</t>
  </si>
  <si>
    <t>Покупка спектрофотометра ПЭ-5400ВИ или аналога Партизанская ГРЭС 1 шт.</t>
  </si>
  <si>
    <t>I_505-ПГг-39-65</t>
  </si>
  <si>
    <t>Покупка рентгенофлюорисцентного портативного анализатора  OXFORD INSTRUMENTS X-MET 8000 Владивостокская ТЭЦ-2  1 шт.</t>
  </si>
  <si>
    <t>I_505-ПГг-39-64</t>
  </si>
  <si>
    <t>Покупка управляемого видеоэндоскопа jProbe GX Партизанская ГРЭС 1 шт.</t>
  </si>
  <si>
    <t>I_505-ПГг-39-63</t>
  </si>
  <si>
    <t>Покупка управляемого видеоэндоскопа jProbe GX Владивостокская ТЭЦ-2  1 шт.</t>
  </si>
  <si>
    <t xml:space="preserve"> Стоимость оборудования свыше 40 тыс. руб.</t>
  </si>
  <si>
    <t>K_505-ПГг-39-148</t>
  </si>
  <si>
    <t>Покупка весов крановых КВ-10Т-М, Артемовской ТЭЦ, 1 шт</t>
  </si>
  <si>
    <t>I_505-ПГг-39-62</t>
  </si>
  <si>
    <t>Покупка управляемого видеоэндоскопа jProbe GX Артемовской ТЭЦ 1 шт.</t>
  </si>
  <si>
    <t>I_505-ПГг-39-61</t>
  </si>
  <si>
    <t>Покупка дефектоскопа ультразвукового дефектоскопа УД 9812 УРАЛЕЦ Партизанская ГРЭС 2 шт.</t>
  </si>
  <si>
    <t>I_505-ПГг-39-60</t>
  </si>
  <si>
    <t>Покупка дефектоскопа ультразвукового дефектоскопа УД 9812 УРАЛЕЦ Владивостокская ТЭЦ-2  2 шт.</t>
  </si>
  <si>
    <t xml:space="preserve">Увеличение стоимости по результатам закупочных процедур. </t>
  </si>
  <si>
    <t>I_505-ПГг-39-59</t>
  </si>
  <si>
    <t>Покупка дефектоскопа А1214 "EXPERT"  Артемовской ТЭЦ 2 шт.</t>
  </si>
  <si>
    <t>I_505-ПГг-39-58</t>
  </si>
  <si>
    <t>Покупка толщиномера ультразвукового УТ-907 Партизанская ГРЭС 2 шт.</t>
  </si>
  <si>
    <t>I_505-ПГг-39-57</t>
  </si>
  <si>
    <t>Покупка толщиномера ультразвукового УТ-907 Владивостокская ТЭЦ-2  2 шт.</t>
  </si>
  <si>
    <t>J_505-ПГг-39-132</t>
  </si>
  <si>
    <t>Покупка твердомера с ультразвуковым методом измерения твердости ТКМ-459 С Партизанская ГРЭС 1 шт</t>
  </si>
  <si>
    <t>J_505-ПГг-39-131</t>
  </si>
  <si>
    <t>Покупка дефектоскопа - трещиномера ГАЛС ВД-103 Партизанская ГРЭС 1 шт.</t>
  </si>
  <si>
    <t>J_505-ПГг-39-130</t>
  </si>
  <si>
    <t>Покупка ультразвукового прибора УТ907 для измерения толщины металла Артемовской ТЭЦ 1 шт.</t>
  </si>
  <si>
    <t>J_505-ПГг-39-126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</si>
  <si>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</si>
  <si>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J_505-ПГг-39-125</t>
  </si>
  <si>
    <t>Покупка кондиционера, канальной  сплит-системы настенного типа для помещения S=100 м2  Владивостокская ТЭЦ-2 - 1шт.</t>
  </si>
  <si>
    <t>Увеличение стоимости по результатам закупочных процедур. Поставка оборудования ранее установленного срока.</t>
  </si>
  <si>
    <t>J_505-ПГг-39-123</t>
  </si>
  <si>
    <t>Покупка электронного микроомметра "МИКО-1" Владивостокской ТЭЦ-2  1 шт.</t>
  </si>
  <si>
    <t>J_505-ПГг-39-122</t>
  </si>
  <si>
    <t>Покупка прибора для определения класса промышленной чистоты ГРАН-152.1  Владивостокской ТЭЦ-2  1 шт.</t>
  </si>
  <si>
    <t>J_505-ПГг-39-121</t>
  </si>
  <si>
    <t>Покупка компрессора ВВПЭ-7/7 для выполнения технологических процессов водоподготовки-Владивостокская ТЭЦ-2 1 шт</t>
  </si>
  <si>
    <t>J_505-ПГг-39-120</t>
  </si>
  <si>
    <t>Покупка стационарного газоанализатора ГАНК-4-Владивостокская ТЭЦ-2 1 шт</t>
  </si>
  <si>
    <t>J_505-ПГг-39-119</t>
  </si>
  <si>
    <t>Покупка установки для термообработки сварных швов УИНТ-50-2,4  Артемовской ТЭЦ 1 шт</t>
  </si>
  <si>
    <t>J_505-ПГг-39-117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</si>
  <si>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</si>
  <si>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J_505-ПГг-39-116</t>
  </si>
  <si>
    <t>Покупка стенда испытания газопламенного оборудования Артемовской ТЭЦ 1 шт</t>
  </si>
  <si>
    <t>J_505-ПГг-39-115</t>
  </si>
  <si>
    <t>Покупка стенда для испытаний на прочность абразивных кругов Владивостокской ТЭЦ-2 1 шт</t>
  </si>
  <si>
    <t>J_505-ПГг-39-114</t>
  </si>
  <si>
    <t>Покупка стенда для испытаний на прочность абразивных кругов Артемовской ТЭЦ 1 шт</t>
  </si>
  <si>
    <t>J_505-ПГг-39-113</t>
  </si>
  <si>
    <t>Покупка производственной Сплит системы Toshiba RAS-22S3KV-E/RAS-22S3AV-E или аналог Партизанская ГРЭС – 3 шт.</t>
  </si>
  <si>
    <t>J_505-ПГг-39-112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</si>
  <si>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</si>
  <si>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J_505-ПГг-39-111</t>
  </si>
  <si>
    <t>Покупка станка для испытания абразивных шлифовальных кругов СИП 800К1 СП Партизанская ГРЭС 1 шт</t>
  </si>
  <si>
    <t>J_505-ПГг-39-110</t>
  </si>
  <si>
    <t>Покупка виброметра-балансировщик «BALTECH» VP-3470 для СП Партизанской ГРЭС 1.шт.</t>
  </si>
  <si>
    <t>J_505-ПГг-39-109</t>
  </si>
  <si>
    <t>Покупка сварочного генератора мощностью до 6 кВ  Партизанская ГРЭС 1 шт.</t>
  </si>
  <si>
    <t>J_505-ПГг-39-108</t>
  </si>
  <si>
    <t xml:space="preserve">Покупка аппарата для стыковой сварки полиэтиленовых труб  СП Партизанская ГРЭС 1 шт. </t>
  </si>
  <si>
    <t>J_505-ПГг-39-107</t>
  </si>
  <si>
    <t>Покупка газоаналитического оборудования по КР-4311А  Партизанская ГРЭС 1 шт.</t>
  </si>
  <si>
    <t>H_505-ПГг-39-45</t>
  </si>
  <si>
    <t>Покупка делителя роторного ДЛР-4, СП Артемовская ТЭЦ, 1 шт.</t>
  </si>
  <si>
    <t>J_505-ПГг-39-127</t>
  </si>
  <si>
    <t>Покупка УАЗ (фермер) 390995-04 СП Владивостокской ТЭЦ-2  1 шт</t>
  </si>
  <si>
    <t>H_505-ПГг-39-2</t>
  </si>
  <si>
    <t>Покупка автокрана  TADANO GR-300EX, СП ВТЭЦ-2 кол-во 1 шт.</t>
  </si>
  <si>
    <t>H_505-ПГг-39-3</t>
  </si>
  <si>
    <t>Покупка углеперегружателя Sennebogen 840R-HD  , СП Партизанская ГРЭС кол-во  3 шт.</t>
  </si>
  <si>
    <t>I_505-ПГг-39-90</t>
  </si>
  <si>
    <t>Покупка грузового автомобиля с манипулятором грузоподъемностью 8тн, СП Владивостокской ТЭЦ-2  1 шт</t>
  </si>
  <si>
    <t>В ходе исполнения договора возникли объективные причины, которые негативно повлияли на ход проектирования (отсутствие решения по земле для строительства АТЭЦ-2, изменение основного вида топлива на природный газ), что привело к решению заказчика о расторжении договора с 01.08.2020.</t>
  </si>
  <si>
    <t>J_505-ПГг-113</t>
  </si>
  <si>
    <t>Разработка проектно-изыскательских работ для строительства Артемовской ТЭЦ №2 с внеплощадочной инфраструктурой</t>
  </si>
  <si>
    <t>Изменение сроков проектирования проекта в соответствии с заключенным доп. соглашением к договору на проектирование. Первоначально ИП предусматривал реконструкцию турбоагрегатов ст.№№2,3, но учитывая, что Владивостокская ТЭЦ-2 с 1990-х годов работает на пониженных параметрах, было принято решение о переводе ТЭЦ на проектные параметры пара котлов 1-8, в связи с чем, необходимо выполнить дополнительные объемы работ: реконструкция турбоагрегата ст.№1, замена элементов котлоагрегатов ст.№№1-8. Корректировка сроков и дополнительных объемов выполнения работ (т/а №1 и котлов ст№№1-8) принята Правительством РФ в июле 2019 года (от 15.07.2019 № 1544-р).</t>
  </si>
  <si>
    <t>J_505-ПГг-96</t>
  </si>
  <si>
    <t xml:space="preserve">Разработка проектно-изыскательских работ для реконструкции турбоагрегатов ст. №№ 2, 3, Владивостокской ТЭЦ-2 </t>
  </si>
  <si>
    <t>3.6</t>
  </si>
  <si>
    <t>Приостановлена раелизация проекта по решению СД от сентября 2019 г и проработка вопроса по передаче проекта для дальнейшей реалиазции в ООО "Приморская ГРЭС"</t>
  </si>
  <si>
    <t>F_505-ЛуТЭК-29</t>
  </si>
  <si>
    <t>Строительство Золоотвала №2 Приморской ГРЭС,строительство  3 яруса (емкость - 24,7 млн. м3)</t>
  </si>
  <si>
    <t>3.5.4</t>
  </si>
  <si>
    <t>Договор заключен без условий авансирования</t>
  </si>
  <si>
    <t>F_505-ПГг-36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</si>
  <si>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</si>
  <si>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3.5.3</t>
  </si>
  <si>
    <t>3.5.2</t>
  </si>
  <si>
    <t>3.5.1</t>
  </si>
  <si>
    <t>3.5</t>
  </si>
  <si>
    <t>3.4.2.2</t>
  </si>
  <si>
    <t>3.4.2.1</t>
  </si>
  <si>
    <t>3.4.2</t>
  </si>
  <si>
    <t>3.4.1.2</t>
  </si>
  <si>
    <t>3.4.1.1</t>
  </si>
  <si>
    <t>г.Владивосток</t>
  </si>
  <si>
    <t>3.4.1</t>
  </si>
  <si>
    <t>3.4</t>
  </si>
  <si>
    <t>J_505-ЛуТЭК-94</t>
  </si>
  <si>
    <t>Установка  кондиционеров крановых КК2-1, 2-01М (исп.2, 4,5 квт, R 134а), 6 шт.  (ПримГРЭС)</t>
  </si>
  <si>
    <t>3.3.4</t>
  </si>
  <si>
    <t>Финансирование фактически поставленной продукции</t>
  </si>
  <si>
    <t>J_505-ЛуТЭК-93</t>
  </si>
  <si>
    <t>Замена маслоочистительных установок МОУ, 4 шт., СП Приморская ГРЭС</t>
  </si>
  <si>
    <t>J_505-ЛуТЭК-88</t>
  </si>
  <si>
    <t>Установка автоматизированной системы учета выбросов загрязняющих веществ  в атмосферу на дымовых трубах Приморской ГРЭС</t>
  </si>
  <si>
    <t>I_505-ЛуТЭК-84</t>
  </si>
  <si>
    <t>Замена лифтов бл. 100, 200, 7 шт.   (ПримГРЭС)</t>
  </si>
  <si>
    <t>I_505-ЛуТЭК-81</t>
  </si>
  <si>
    <t>Замена аккумуляторной батареи, 1 штт.  (ПримГРЭС)</t>
  </si>
  <si>
    <t>F_505-ЛуТЭК-20</t>
  </si>
  <si>
    <t>Замена масляных выключателей У-110, 220 (ОРУ-110,220) на элегазовые (27 шт.)   (ПримГРЭС)</t>
  </si>
  <si>
    <t>K_505-ПГг-118</t>
  </si>
  <si>
    <t>Замена трансформатора ст. № Т-3 ТДЦ-125000/110/10 на ТДЦ-175000/110/10 Владивостокской ТЭЦ-2, 1 шт</t>
  </si>
  <si>
    <t>H_505-ЛуТЭК-17</t>
  </si>
  <si>
    <t>Расширение железнодорожной станции "Угольная"    (ПримГРЭС)</t>
  </si>
  <si>
    <t>F_505-ЛуТЭК-16</t>
  </si>
  <si>
    <t>Техперевооружение комплекса инженерно-технических средств физической защиты СП Приморская ГРЭС</t>
  </si>
  <si>
    <t>F_505-ЛуТЭК-15</t>
  </si>
  <si>
    <t>Оборудование системой пожарной сигнализации помещений станции   (ПримГРЭС)</t>
  </si>
  <si>
    <t>F_505-ЛуТЭК-14</t>
  </si>
  <si>
    <t>Установка автоматизированной системы пожаротушения топливоподачи   (ПримГРЭС)</t>
  </si>
  <si>
    <t>F_505-ЛуТЭК-10</t>
  </si>
  <si>
    <t>Модернизация тепловоза    (ПримГРЭС)</t>
  </si>
  <si>
    <t>H_505-ПГт-19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</si>
  <si>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</si>
  <si>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Отставание подрядчика от графика производства работ</t>
  </si>
  <si>
    <t>J_505-ПГт-124</t>
  </si>
  <si>
    <t>Замена бака аккумулятора 5000 м3 ТЦ "Северная" Приморские тепловые сети</t>
  </si>
  <si>
    <t>Фактически принятые затраты по договору  с РусГидроСнабжение - услуги по закупкам и затраты служб Заказчика.</t>
  </si>
  <si>
    <t>J_505-ПГт-123</t>
  </si>
  <si>
    <t>Устройство системы автоматизации ж/д переезда перед ТЦ "Северная"  Приморские тепловые сети</t>
  </si>
  <si>
    <t>H_505-ПГт-27</t>
  </si>
  <si>
    <t>Замена масляных (воздушных) выключателей на вакуумные (элегазовые) напряжением 6 кВ и выше. (СП ПТС) (14 шт.)</t>
  </si>
  <si>
    <t>Договор на проведение работ расторгнут</t>
  </si>
  <si>
    <t>H_505-ПГт-4</t>
  </si>
  <si>
    <t xml:space="preserve">Техперевооружение комплекса инженерно-технических средств физической защиты КЦ №1. (СП ПТС) </t>
  </si>
  <si>
    <t>F_505-ПГт-3</t>
  </si>
  <si>
    <t xml:space="preserve">Техперевооружение комплекса инженерно-технических средств физической защиты КЦ №2 (участок 1 и 2). (СП ПТС) </t>
  </si>
  <si>
    <t>Опережение графика выдачи проектной документации</t>
  </si>
  <si>
    <t>J_505-ПГг-117</t>
  </si>
  <si>
    <t xml:space="preserve">Установка систем противопожарной защиты в зданиях СП "Владивостокская ТЭЦ-2 </t>
  </si>
  <si>
    <t>J_505-ПГг-112</t>
  </si>
  <si>
    <t>Установка АОПО для ВЛ 110 кВ Артемовская ТЭЦ – Западная –Кролевцы – Штыкова №1,2.  Артемовской ТЭЦ</t>
  </si>
  <si>
    <t>J_505-ПГг-111</t>
  </si>
  <si>
    <t>Установка АОПО для ВЛ 110 кВ Партизанская ГРЭС – Находка тяговая СП Партизанская ГРЭС</t>
  </si>
  <si>
    <t>J_505-ПГг-103</t>
  </si>
  <si>
    <t>Модернизация участка холодного водоснабжения (2 очередь) Партизанской ГРЭС</t>
  </si>
  <si>
    <t>J_505-ПГг-109</t>
  </si>
  <si>
    <t>Установка расходомеров - счетчиков типа "Стрим"  Партизанская ГРЭС 4 шт.</t>
  </si>
  <si>
    <t>J_505-ПГг-108</t>
  </si>
  <si>
    <t>Установка  БРКУ №1 РАС "Нева" для СП Партизанской ГРЭС 1.шт.</t>
  </si>
  <si>
    <t>J_505-ПГг-107</t>
  </si>
  <si>
    <t>Техперевооружение поверхностей напорных участков циркводоводов ТГ№ 3, протяженностью-10 м. Владивостокской ТЭЦ-2.</t>
  </si>
  <si>
    <t>J_505-ПГг-105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</si>
  <si>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</si>
  <si>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Возникновение обязательств для финансирования</t>
  </si>
  <si>
    <t>J_505-ПГг-98</t>
  </si>
  <si>
    <t>Техперевооружение мазутонасосной станции с заменой насосов  на  Партизанской ГРЭС 2 шт</t>
  </si>
  <si>
    <t>F_505-ПГг-19</t>
  </si>
  <si>
    <t>Техперевооружение комплекса инженерно-технических средств физической защиты СП "Владивостокская ТЭЦ-2"</t>
  </si>
  <si>
    <t>H_505-ПГг-18</t>
  </si>
  <si>
    <t>Техперевооружение комплекса инженерно-технических средств физической защиты СП "Артемовская ТЭЦ"</t>
  </si>
  <si>
    <t>H_505-ПГг-17</t>
  </si>
  <si>
    <t>Техперевооружение комплекса инженерно-технических средств физической защиты СП "Партизанская ГРЭС"</t>
  </si>
  <si>
    <t>I_505-ПГг-83</t>
  </si>
  <si>
    <t>Установка автоматических средств измерения и учета выбросов загрязняющих веществ  СП Артемовской ТЭЦ</t>
  </si>
  <si>
    <t>Опережение графика производства работ</t>
  </si>
  <si>
    <t xml:space="preserve">Финансирование фактически выполненных работ </t>
  </si>
  <si>
    <t>I_505-ПГг-25-3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</si>
  <si>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</si>
  <si>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I_505-ПГг-72</t>
  </si>
  <si>
    <t>Модернизация участка холодного водоснабжения Партизанской ГРЭС</t>
  </si>
  <si>
    <t>H_505-ПГт-18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</si>
  <si>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</si>
  <si>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3.3.3</t>
  </si>
  <si>
    <t>I_505-ПГт-105</t>
  </si>
  <si>
    <t>Техперевооружение теплосетевого комплекса в г.Партизанск (СП ПТС) (инвестиционное обеспечение)</t>
  </si>
  <si>
    <t>I_505-ПГт-115тп</t>
  </si>
  <si>
    <t>Техперевооружение теплотрассы УТ0705 - УТ0707 ул.Хабаровскакя Дн 325х8 L=352 пм</t>
  </si>
  <si>
    <t>Перенос невыполненных объемов 2019г в 2020г. повлиял на фактич.объемы  финансирования</t>
  </si>
  <si>
    <t>I_505-ПГт-114тп</t>
  </si>
  <si>
    <t xml:space="preserve"> Техперевооружение теплотрассы УТ0521 в сторону УТ0525 ул.Уткинская Дн 325х8 L=209 п.м.</t>
  </si>
  <si>
    <t>I_505-ПГт-113тп</t>
  </si>
  <si>
    <t xml:space="preserve">Техперевооружение теплотрассы УТ2415А (т.Б) в сторону УТ2416 (т.А) ул.Набережная  Дн 820х9 L=172 п.м.(СП ПТС) </t>
  </si>
  <si>
    <t>I_505-ПГт-112тп</t>
  </si>
  <si>
    <t xml:space="preserve">Техперевооружение теплотрассы УТ0301 - УТ0303 Лесной переулок - ул.Пограничная Дн 630х8 L=232 п.м.(СП ПТС) </t>
  </si>
  <si>
    <t>Внеплановый проект. Включение в ИПР на основании заключенного договора о подключении к системам теплоснабжения.</t>
  </si>
  <si>
    <t>K_505-ПГт-133тп</t>
  </si>
  <si>
    <t>Техперевооружение тепловой сети от УТ-01097 в сторону УТ-01101 ул.Лазо г.Артем с 2Ду 500 на 2Ду 700</t>
  </si>
  <si>
    <t>Своевременное проведение закупочных процедур. 100% поставка давальческих материалов и готовность подрядной организации к выполнению договорных обязательств.</t>
  </si>
  <si>
    <t>J_505-ПГт-5-72</t>
  </si>
  <si>
    <t>Техперевооружение теплотрассы УТ 1025 - УТ 1028 ул.Лазо,  Дн 720х9 L=2х115м.п. Приморские тепловые сети</t>
  </si>
  <si>
    <t>Финансирование фактически поставленной продукции, выполненных работ по договору.</t>
  </si>
  <si>
    <t>J_505-ПГт-5-71</t>
  </si>
  <si>
    <t>Техперевооружение теплотрассы УТ1251-УТ1252 ул.Калинина,  Дн 630х8 L=2х109м.п.  Приморские тепловые сети</t>
  </si>
  <si>
    <t>J_505-ПГт-5-70</t>
  </si>
  <si>
    <t>Техперевооружение теплотрассы УТ1011-УТ1014 ул.Фокина,  Дн 530 L=2х112м.п. Приморские тепловые сети</t>
  </si>
  <si>
    <t>J_505-ПГт-5-68</t>
  </si>
  <si>
    <t>Техперевооружение теплотрассы УТ1036-УТ1037 ул. Пушкинская,  Дн 720х9 L=2х76,4м.п.   Приморские тепловые сети</t>
  </si>
  <si>
    <t>J_505-ПГт-5-67</t>
  </si>
  <si>
    <t>Техперевооружение теплотрассы УТ1125-УТ1126 ул. Посьетская,  Дн 530х8 L=2х60м.п.  Приморские тепловые сети</t>
  </si>
  <si>
    <t>H_505-ПГт-5-40</t>
  </si>
  <si>
    <t>Техперевооружение теплотрассы УТ1423-УТ1425 ул.Печерская -пр-т 100 лет Владивостоку,  Дн 720х10 L=500м.п.   (СП ПТС)</t>
  </si>
  <si>
    <t>Пролонгация сроков реализации проекта с учетом факта затрат 2019 года, согласно которому часть объема работ перенесена на 2020 год в связи с поздней поставкой МТР.</t>
  </si>
  <si>
    <t>I_505-ПГт-5-65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</si>
  <si>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</si>
  <si>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I_505-ПГт-5-64</t>
  </si>
  <si>
    <t>Техперевооружение теплоагистрали № 10  УТ 1055 - УТ 1054А  ул. Светланская, Дн 720х9-60 ППМИ L= 64п.м (СП ПТС)</t>
  </si>
  <si>
    <t>I_505-ПГт-5-63</t>
  </si>
  <si>
    <t>Техперевооружение теплотрассы  УТ 2622 - УП-1 ул. Героев Хасана, Дн 820х9 L=219 п.м. (СП ПТС)</t>
  </si>
  <si>
    <t>I_505-ПГт-5-53</t>
  </si>
  <si>
    <t>Техперевооружение теплотрассы УТ 0215 - УТ 0217 ул. Ильичева,  Дн630х8 L= 481 м.п.   (СП ПТС)</t>
  </si>
  <si>
    <t>I_505-ПГт-5-52</t>
  </si>
  <si>
    <t>Техперевооружение теплотрассы УТ 0208 - УТ 0209 пр-к 100 лет Владивостоку,  Дн 530х9 L=302 м.п.   (СП ПТС)</t>
  </si>
  <si>
    <t>I_505-ПГт-5-51</t>
  </si>
  <si>
    <t>Техперевооружение теплотрассы УТ 0409/2 - УТ 0409/3 ул. Семеновская,  Дн 143/200 L=208 м.п.   Приморские тепловые сети</t>
  </si>
  <si>
    <t>I_505-ПГт-5-50</t>
  </si>
  <si>
    <t>Техперевооружение теплотрассы УТ 1031 - УТ 1033 ул. Пушкинская,  Дн 720х9 L= 322 м.п.   Приморские тепловые сети</t>
  </si>
  <si>
    <t>H_505-ПГт-5-32</t>
  </si>
  <si>
    <t xml:space="preserve">Техперевооружение теплотрассы УТ0319-УТ0320 пр-т Красного знамени,  Дн 426х9 L=193,4 м.п. (СП ПТС) </t>
  </si>
  <si>
    <t>I_505-ПГт-104</t>
  </si>
  <si>
    <t>Модернизация АСУ и ТП котельного оборудования  СП Приморские тепловые сети</t>
  </si>
  <si>
    <t>3.3.2</t>
  </si>
  <si>
    <t>I_505-ЛуТЭК-83</t>
  </si>
  <si>
    <t>Замена ВН-4  (воздухонагнетатель), 1 шт  (ПримГРЭС)</t>
  </si>
  <si>
    <t>3.3.1</t>
  </si>
  <si>
    <t>J_505-ЛуТЭК-85</t>
  </si>
  <si>
    <t xml:space="preserve">Модернизация системы вибромониторинга турбогенераторов энергоблока 100 МВт Приморской ГРЭС </t>
  </si>
  <si>
    <t>Влияние фактически сложившейся КЗ на 01.01.2020. Финансирование фактически поставленной продукции</t>
  </si>
  <si>
    <t>I_505-ЛуТЭК-80</t>
  </si>
  <si>
    <t>Модернизация турбоагрегата №7  (ПримГРЭС)</t>
  </si>
  <si>
    <t>H_505-ЛуТЭК-37</t>
  </si>
  <si>
    <t>Замена подвесных кубов ВЗП к/а ст. №6,№7, №8, №9  (ПримГРЭС)</t>
  </si>
  <si>
    <t>H_505-ЛуТЭК-66</t>
  </si>
  <si>
    <t>Модернизация котлоагрегата ст. №7 БКЗ-670-130 ПримГРЭС</t>
  </si>
  <si>
    <t>H_505-ЛуТЭК-65</t>
  </si>
  <si>
    <t>Модернизация генератора энергоблока ст. №5 ПримГРЭС</t>
  </si>
  <si>
    <t>H_505-ЛуТЭК-63</t>
  </si>
  <si>
    <t>Модернизация котлоагрегата ст. №4А БКЗ-220-100 ПримГРЭС</t>
  </si>
  <si>
    <t>H_505-ЛуТЭК-62</t>
  </si>
  <si>
    <t>Модернизация двигателей ДС (дымососов), ДВ (дутьевых вентиляторов) бл. 200 Приморской ГРЭС</t>
  </si>
  <si>
    <t>H_505-ЛуТЭК-61</t>
  </si>
  <si>
    <t>Модернизация проточной части ДС к/а бл. 200 (ПримГРЭС)</t>
  </si>
  <si>
    <t>H_505-ЛуТЭК-58</t>
  </si>
  <si>
    <t>Модернизация котлоагрегатов э/бл. Ст. №3А,Б  БКЗ-220-100 ПримГРЭС</t>
  </si>
  <si>
    <t>H_505-ЛуТЭК-36</t>
  </si>
  <si>
    <t>Модернизация котлоагрегата № 9 (К-5) (ПримГРЭС)</t>
  </si>
  <si>
    <t>Влияние фактически сложившейся КЗ на 01.01.2020. Финансирование работ согласно условий договора</t>
  </si>
  <si>
    <t>F_505-ЛуТЭК-6</t>
  </si>
  <si>
    <t>Модернизация МВ, КПСУ бл. 100,200 (ПримГРЭС)</t>
  </si>
  <si>
    <t>I_505-ПГг-80</t>
  </si>
  <si>
    <t>Модернизация АСУ и ТП турбинного и котельного оборудования Артемовской ТЭЦ</t>
  </si>
  <si>
    <t>I_505-ПГг-79</t>
  </si>
  <si>
    <t>Модернизация АСУ и ТП турбинного и котельного оборудования Владивостокской ТЭЦ-2</t>
  </si>
  <si>
    <t>I_505-ПГг-78</t>
  </si>
  <si>
    <t>Модернизация АСУ и ТП турбинного и котельного оборудования Партизанской ГРЭС</t>
  </si>
  <si>
    <t>F_505-ПГг-10</t>
  </si>
  <si>
    <t>Техперевооружение турбоагрегата ст.№6 с организацией промотбора и теплоприготовительной установки №3 Артемовской ТЭЦ</t>
  </si>
  <si>
    <t>3.3</t>
  </si>
  <si>
    <t>Возникновение обязательств для финансирования на основании заключенного договора</t>
  </si>
  <si>
    <t>J_505-ПГт-125</t>
  </si>
  <si>
    <t>Реконструкция охранно-пожарной  и тревожной сигнализации СП ПТС</t>
  </si>
  <si>
    <t>3.2.4</t>
  </si>
  <si>
    <t>J_505-ПГг-116</t>
  </si>
  <si>
    <t>Реконструкция охранно-пожарной  и тревожной сигнализации СП Партизанская</t>
  </si>
  <si>
    <t>J_505-ПГг-115</t>
  </si>
  <si>
    <t>Реконструкция охранно-пожарной  и тревожной сигнализации СП Артемовская ТЭЦ</t>
  </si>
  <si>
    <t>J_505-ПГг-114</t>
  </si>
  <si>
    <t>Реконструкция охранно-пожарной  и тревожной сигнализации СП Владивостокская-2</t>
  </si>
  <si>
    <t>Отсутствие обязательств для финансирования в связи с изменением стоимости проекта после получения проектно-сметной документации</t>
  </si>
  <si>
    <t>F_505-ПГг-29</t>
  </si>
  <si>
    <t>Рекультивация золоотвала Партизанской ГРЭС, S=72 га</t>
  </si>
  <si>
    <t>Длительное проведение закупочных процедур, внесение изменений в проект.</t>
  </si>
  <si>
    <t>F_505-ПГг-24</t>
  </si>
  <si>
    <t>Наращивание дамб  золоотвала №1 Артемовской ТЭЦ  на 1778 тыс. м3</t>
  </si>
  <si>
    <t>3.2.3</t>
  </si>
  <si>
    <t>3.2.2</t>
  </si>
  <si>
    <t>H_505-ЛуТЭК-73</t>
  </si>
  <si>
    <t>Реконструкция системы возбуждения бл.100,200  (ПримГРЭС)</t>
  </si>
  <si>
    <t>3.2.1</t>
  </si>
  <si>
    <t>F_505-ЛуТЭК-24</t>
  </si>
  <si>
    <t>Реконструкция системы общего первичного регулирования частоты бл. 200 (ПримГРЭС)</t>
  </si>
  <si>
    <t>3.2</t>
  </si>
  <si>
    <t>3.1.4</t>
  </si>
  <si>
    <t>I_505-ПГт-116тп</t>
  </si>
  <si>
    <t>Техперевооружение теплотрассы УТ1229 до УТ1230 ул.Вилкова - ул.Калинина Дн 720х9 L=524 пм</t>
  </si>
  <si>
    <t>3.1.3.5</t>
  </si>
  <si>
    <t>K_505-ПГт-135тп</t>
  </si>
  <si>
    <t>Техперевооружение тепловой сети от  УТ-0108 т. А в сторону УТ-0110 ул.Русская с 2Ду 700 на 2Ду 800 L=2х178м.п</t>
  </si>
  <si>
    <t>K_505-ПГт-132тп</t>
  </si>
  <si>
    <t>Техперевооружение тепловой сети от УТ-1721 - УТ-1722 ул.К.Жигура с 2Ду 700 На 2Ду 800</t>
  </si>
  <si>
    <t>K_505-ПГт-131тп</t>
  </si>
  <si>
    <t>Техперевооружение тепловой сети от УТ-0118 - УТ-0121 пр. 100 лет Владивостоку с 2Ду 500 мм до 2Ду 700 мм</t>
  </si>
  <si>
    <t>K_505-ПГт-130тп</t>
  </si>
  <si>
    <t xml:space="preserve">Техперевооружение тепловой сети от УТ-1055 до УТ-1056 ул. Экипажная c 2Ду 700 мм на 2Ду 800 мм </t>
  </si>
  <si>
    <t>K_505-ПГт-129тп</t>
  </si>
  <si>
    <t>Техперевооружение тепловой сети от УТ-1214 в сторону УТ-1216  ул.Борисенко c 2Ду 700 мм на 2Ду 1000 мм</t>
  </si>
  <si>
    <t>K_505-ПГт-128тп</t>
  </si>
  <si>
    <t>Техперевооружение тепловой сети от т. "Б" (в районе УТ-2415А) в сторону УТ2416 ул.Набережная с 2Ду 700 мм на 2Ду 800 мм</t>
  </si>
  <si>
    <t>K_505-ПГт-127тп</t>
  </si>
  <si>
    <t>Техперевооружение тепловой сети от УТ-1113/02 до УТ-1113/03   ул. Адм.Фокина с 2Ду 500 мм на 2Ду 600 мм</t>
  </si>
  <si>
    <t>I_505-ПГт-118тп</t>
  </si>
  <si>
    <t>Техперевооружение тепловой сети  от УТ0213 - УТ0214 стадион "Строитель" Дн 720х9 L=360 пм</t>
  </si>
  <si>
    <t>I_505-ПГт-117тп</t>
  </si>
  <si>
    <t>Техперевооружение теплотрассы УТ0105 - УТ0107  ул.Багратиона Дн 820х9 L=370 пм</t>
  </si>
  <si>
    <t>I_505-ПГт-120тп</t>
  </si>
  <si>
    <t>Техперевооружение тепловой сети   УТ 1071 -  Узел "Б" ул.Новоивановская Дн 1020х11-60 ППМИ L=2х63,2п.м. Приморские тепловые сети</t>
  </si>
  <si>
    <t>Корректировка срока выполнения работ, связанных с обемами работ.</t>
  </si>
  <si>
    <t>J_505-ПГт-126тп</t>
  </si>
  <si>
    <t>Техперевооружение тепломагистрали № 11 участок от УТ-1140 в сторону УТ-1143 ул. Станюковича</t>
  </si>
  <si>
    <t>J_505-ПГт-121тп</t>
  </si>
  <si>
    <t>Техперевооружение теплотрассы   УТ2416А - УТ2416 (т.А) ул.Набережная (Аквамарин) Дн 820х8 L=2х120п.м.  Приморские тепловые сети</t>
  </si>
  <si>
    <t>I_505-ПГт-119тп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</si>
  <si>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</si>
  <si>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I_505-ПГт-108тп</t>
  </si>
  <si>
    <t>Техперевооружение тепловой сети от УП-2 (между УТ2605 и УТ2606) до УТ2607 ул.Борисенко с 2Ду 800мм на 2Ду 1000мм</t>
  </si>
  <si>
    <t>I_505-ПГт-107тп</t>
  </si>
  <si>
    <t>Техперевооружение тепловой сети от УТ1129 - УТ1130 УП-1 ул.Посьетская с 2Ду 400мм на 2Ду 500мм</t>
  </si>
  <si>
    <t>I_505-ПГт-105тп</t>
  </si>
  <si>
    <t>Техперевооружение тепловой сети УТ01111Б - УТ01114/1 по ул.Ульяновская с 2Ду 500мм на 2Ду 700мм г. Артем</t>
  </si>
  <si>
    <t>H_505-ПГт-67тп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</si>
  <si>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</si>
  <si>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Отсутствие обязательств для финансирования в связи с переносом сроков реализалиции проекта в 2022г.</t>
  </si>
  <si>
    <t>F_505-ПГт-1тп</t>
  </si>
  <si>
    <t xml:space="preserve">Расширение котельной "Северная" с установкой котла КВГМ-100. (СП ПТС) </t>
  </si>
  <si>
    <t>3.1.3.4</t>
  </si>
  <si>
    <t>3.1.3.3</t>
  </si>
  <si>
    <t>K_505-ПГт-134тп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</si>
  <si>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</si>
  <si>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3.1.3.2</t>
  </si>
  <si>
    <t>J_505-ПГт-122тп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</si>
  <si>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</si>
  <si>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3.1.3.1</t>
  </si>
  <si>
    <t>3.1.3</t>
  </si>
  <si>
    <t>3.1.2.2</t>
  </si>
  <si>
    <t>3.1.2.1</t>
  </si>
  <si>
    <t>3.1.2</t>
  </si>
  <si>
    <t>3.1.1.2</t>
  </si>
  <si>
    <t>3.1.1.1</t>
  </si>
  <si>
    <t>3.1.1</t>
  </si>
  <si>
    <t>3.1</t>
  </si>
  <si>
    <t>Приморский край</t>
  </si>
  <si>
    <t>3</t>
  </si>
  <si>
    <t>J_505-АГ-27-188</t>
  </si>
  <si>
    <t>Приобретение железнодорожной лебедки электрической маневровой двухбарабанной ТЛ-8М СП БТЭЦ  (1 щт)</t>
  </si>
  <si>
    <t>2.7</t>
  </si>
  <si>
    <t>Увеличение стоимости по результатам закупочных процедур</t>
  </si>
  <si>
    <t>J_505-АГ-27-177</t>
  </si>
  <si>
    <t>Покупка Аппарат высокого давления Karcher HD 5/17C СП БТЭЦ  (1 щт)</t>
  </si>
  <si>
    <t>J_505-АГ-27-173</t>
  </si>
  <si>
    <t>Покупка Переносной калибратор давления СП РГРЭС (1 шт)</t>
  </si>
  <si>
    <t>I_505-АГ-27-126</t>
  </si>
  <si>
    <t>Покупка сварочного агрегата АДД 2*25002П  СП  БТЭЦ (1 шт)</t>
  </si>
  <si>
    <t>I_505-АГ-27-125</t>
  </si>
  <si>
    <t>Покупка Дефектоскоп ультразвуковой УДЗ-307ВД РГРЭС (1 шт)</t>
  </si>
  <si>
    <t>H_505-АГ-27-91</t>
  </si>
  <si>
    <t>Покупка Прибор контроля тока щеток ПКТЩ (РГРЭС) (1шт)</t>
  </si>
  <si>
    <t>H_505-АГ-27-90</t>
  </si>
  <si>
    <t>Покупка Испытательная установка АИ-70 (РГРЭС) (1шт)</t>
  </si>
  <si>
    <t>H_505-АГ-27-89</t>
  </si>
  <si>
    <t>Покупка Термостат «LOIP» LT-810 (Россия)  РГРЭС (1шт)</t>
  </si>
  <si>
    <t>H_505-АГ-27-88</t>
  </si>
  <si>
    <t>Покупка Бомбовый калориметр IKA-С 2000 РГРЭС (1шт)</t>
  </si>
  <si>
    <t>Поставка оборудования позже установленного срока</t>
  </si>
  <si>
    <t>F_505-АГ-27-17</t>
  </si>
  <si>
    <t>Покупка видеоскопа  PCEVE 340 РГРЭС, кол-во  2 шт.</t>
  </si>
  <si>
    <t>F_505-АГ-27-14</t>
  </si>
  <si>
    <t>Покупка миллиомметра МИКО-7 РГРЭС, кол-во  2 шт.</t>
  </si>
  <si>
    <t>I_505-АГ-27-124</t>
  </si>
  <si>
    <t>Покупка автомобиль бортовой ГАЗель Next БТЭЦ 1 шт.</t>
  </si>
  <si>
    <t>I_505-АГ-27-123</t>
  </si>
  <si>
    <t>Покупка бульдозер ДЭТ 400Б1Р2 (2 шт.) СП БТЭЦ 2 шт.</t>
  </si>
  <si>
    <t>I_505-АГ-27-122</t>
  </si>
  <si>
    <t>Покупка автобус среднего класса на 50(30) п/м ПАЗ-4234-04 (2 шт.) СП БТЭЦ 2 шт.</t>
  </si>
  <si>
    <t>I_505-АГ-27-121</t>
  </si>
  <si>
    <t>Покупка автобус Газель NEXT ГАЗ-A65R32 РГРЭС 1 шт.</t>
  </si>
  <si>
    <t>I_505-АГ-27-120</t>
  </si>
  <si>
    <t>Покупка бульдозер Б14 СП РГРЭС 3 шт.</t>
  </si>
  <si>
    <t>2.6</t>
  </si>
  <si>
    <t>Изменение стоимости аренды</t>
  </si>
  <si>
    <t>F_505-АГ-26</t>
  </si>
  <si>
    <t>Строительство Новый золоотвал БТЭЦ, емкость - 7,5 млн. м3 (аренда земли)</t>
  </si>
  <si>
    <t>2.5.4</t>
  </si>
  <si>
    <t>2.5.3</t>
  </si>
  <si>
    <t>2.5.2</t>
  </si>
  <si>
    <t>2.5.1</t>
  </si>
  <si>
    <t>2.5</t>
  </si>
  <si>
    <t>2.4.2.2</t>
  </si>
  <si>
    <t>2.4.2.1</t>
  </si>
  <si>
    <t>2.4.2</t>
  </si>
  <si>
    <t>2.4.1.2</t>
  </si>
  <si>
    <t>2.4.1.1</t>
  </si>
  <si>
    <t>г. Благовещенск</t>
  </si>
  <si>
    <t>2.4.1</t>
  </si>
  <si>
    <t>2.4</t>
  </si>
  <si>
    <t>I_505-АГ-77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</si>
  <si>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</si>
  <si>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2.3.4</t>
  </si>
  <si>
    <t>I_505-АГ-62</t>
  </si>
  <si>
    <t xml:space="preserve">Установка 2-х комплектов кондиционеров в помещения центральных тепловых  щитов управления №1,2 СП БТЭЦ </t>
  </si>
  <si>
    <t>I_505-АГ-60</t>
  </si>
  <si>
    <t>Монтаж  весов  конвейерных АКВС-1 РГРЭС (1 шт)</t>
  </si>
  <si>
    <t>Ведутся закупочные процедуры</t>
  </si>
  <si>
    <t>J_505-АГ-79</t>
  </si>
  <si>
    <t>Установка автоматизированной системы учета выброса загрязняющих веществ в атмостферу СП БТЭЦ</t>
  </si>
  <si>
    <t>Финансирование фактически сложившихся затрат</t>
  </si>
  <si>
    <t>H_505-АГ-52</t>
  </si>
  <si>
    <t>Замена аккумуляторной батареи СК-20-2 с устройством подзарядки и стабилизации напряжения постоянного тока  РГРЭС, 1 шт.</t>
  </si>
  <si>
    <t>прочие затраты, связанные с закупочной деятельностью</t>
  </si>
  <si>
    <t>H_505-АГ-50</t>
  </si>
  <si>
    <t>Монтаж вагоноопрокидователя ВРС 125 с зубчатым приводом СП БТЭЦ, 1 шт.</t>
  </si>
  <si>
    <t>I_505-АГ-64</t>
  </si>
  <si>
    <t>Установка частотно-регулируемого привода на питательный электронасос №5 РГРЭС</t>
  </si>
  <si>
    <t xml:space="preserve">Отставание от графика производства работ в связи с поздним заключением договора </t>
  </si>
  <si>
    <t>H_505-АГ-49</t>
  </si>
  <si>
    <t>Прокладка ВОЛС к объектам ЦТС СП РГРЭС</t>
  </si>
  <si>
    <t>F_505-АГ-12</t>
  </si>
  <si>
    <t>Установка резервного трансформатора собственных нужд РГРЭС, 1 шт.</t>
  </si>
  <si>
    <t>H_505-АГ-48</t>
  </si>
  <si>
    <t>Техперевооружение комплекса инженерно-технических средств  физической защиты объектов БТЭЦ</t>
  </si>
  <si>
    <t>F_505-АГ-10</t>
  </si>
  <si>
    <t>Техперевооружение комплекса инженерно-технических средств  физической защиты объектов РГРЭС</t>
  </si>
  <si>
    <t>2.3.3</t>
  </si>
  <si>
    <t>2.3.2</t>
  </si>
  <si>
    <t>Проект исключен из программы на 2020 год</t>
  </si>
  <si>
    <t>H_505-АГ-34</t>
  </si>
  <si>
    <t>Модернизация узлов турбоагрегата и/с ст №3 БТЭЦ</t>
  </si>
  <si>
    <t>2.3.1</t>
  </si>
  <si>
    <t xml:space="preserve">Изменение  графика реализации проекта из-за длительных закупочных процедкр по факту 2019 года. </t>
  </si>
  <si>
    <t>I_505-АГ-59</t>
  </si>
  <si>
    <t>Модернизация котлоагрегата ст. №4 .БТЭЦ</t>
  </si>
  <si>
    <t>H_505-АГ-43</t>
  </si>
  <si>
    <t>Установка частотнорегулируемого привода на КЭН ТА ст. № 6, № 7 СП РГРЭС</t>
  </si>
  <si>
    <t>H_505-АГ-29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</si>
  <si>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</si>
  <si>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Изменение стоимости проекта на основании заключенных договоров.</t>
  </si>
  <si>
    <t>F_505-АГ-16</t>
  </si>
  <si>
    <t>Модернизация электрофильтра  КА ст. № 4 БТЭЦ</t>
  </si>
  <si>
    <t>2.3</t>
  </si>
  <si>
    <t>H_505-АГ-41</t>
  </si>
  <si>
    <t xml:space="preserve">Наращивание дамбы золоотвала № 2 СП РГРЭС </t>
  </si>
  <si>
    <t>2.2.4</t>
  </si>
  <si>
    <t>Оплата пза фактически поставленное оборудование</t>
  </si>
  <si>
    <t>I_505-АГ-58</t>
  </si>
  <si>
    <t>Реконструкция фильтров Н1 ,Н2 ХВО БТЭЦ</t>
  </si>
  <si>
    <t>Отставания от графика производства работ</t>
  </si>
  <si>
    <t>I_505-АГ-57</t>
  </si>
  <si>
    <t>Реконструкция электродвигателей 6 кВ   собственных нужд станции  СП БТЭЦ</t>
  </si>
  <si>
    <t>I_505-АГ-56</t>
  </si>
  <si>
    <t>Реконструкция паропроводов к ПБ-1,2 с изменением трассировки БТЭЦ</t>
  </si>
  <si>
    <t>Оплата за фактически выполненные работы и пставленное оборудование</t>
  </si>
  <si>
    <t>I_505-АГ-55</t>
  </si>
  <si>
    <t>Реконструкция мостового крана №2 ТЦ г/п 50/10т с применением индустриального комплектного привода СП БТЭЦ</t>
  </si>
  <si>
    <t>I_505-АГ-54</t>
  </si>
  <si>
    <t>Реконструкция главного корпуса с усилением несущих конструкций СП РГРЭС</t>
  </si>
  <si>
    <t>I_505-АГ-53</t>
  </si>
  <si>
    <t>Реконструкция оборудования ОРУ-110 кВ с заменой МВ на элегазовые СП БТЭЦ</t>
  </si>
  <si>
    <t>H_505-АГ-35</t>
  </si>
  <si>
    <t>Реконструкция схемы мазутопроводов котельного цеха II очереди СП РГРЭС</t>
  </si>
  <si>
    <t>Длительное согласование технического задания на закупку.</t>
  </si>
  <si>
    <t>J_505-АГ-78</t>
  </si>
  <si>
    <t>Реконструкция магистрального трубопровода № 6 тепловой сети СП РГРЭС</t>
  </si>
  <si>
    <t>2.2.3</t>
  </si>
  <si>
    <t>2.2.2</t>
  </si>
  <si>
    <t>H_505-АГ-33</t>
  </si>
  <si>
    <t xml:space="preserve">Реконструкция  главного паропровода ТА ст. № 6 типа К50-90 СП РГРЭС </t>
  </si>
  <si>
    <t>2.2.1</t>
  </si>
  <si>
    <t>2.2</t>
  </si>
  <si>
    <t>2.1.4</t>
  </si>
  <si>
    <t>Наращивание темпов выполнения работ, по которым было отставание в 2019 году</t>
  </si>
  <si>
    <t>F_505-АГ-24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</si>
  <si>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</si>
  <si>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2.1.3.5</t>
  </si>
  <si>
    <t>H_505-АГ-31</t>
  </si>
  <si>
    <t>Реконструкция ТМ № 3 г. Благовещенска с увеличением Ду 700 на Ду 1000, СП БТЭЦ. (Перекладка участка ТМ №3 от УТ-10 до ТК-30АЦ с заменой трубопроводов Ду 700 мм на Ду 1000).</t>
  </si>
  <si>
    <t>H_505-АГ-47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</si>
  <si>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</si>
  <si>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J_505-АГ-81тп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</si>
  <si>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</si>
  <si>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Перенос оплат между объектами (материалы)</t>
  </si>
  <si>
    <t>F_505-АГ-21тп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</si>
  <si>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</si>
  <si>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2.1.3.4</t>
  </si>
  <si>
    <t>2.1.3.3</t>
  </si>
  <si>
    <t>2.1.3.2</t>
  </si>
  <si>
    <t>2.1.3.1</t>
  </si>
  <si>
    <t>2.1.3</t>
  </si>
  <si>
    <t>2.1.2.2</t>
  </si>
  <si>
    <t>2.1.2.1</t>
  </si>
  <si>
    <t>2.1.2</t>
  </si>
  <si>
    <t>2.1.1.2</t>
  </si>
  <si>
    <t>2.1.1.1</t>
  </si>
  <si>
    <t>2.1.1</t>
  </si>
  <si>
    <t>2.1</t>
  </si>
  <si>
    <t>Амурская область</t>
  </si>
  <si>
    <t>2</t>
  </si>
  <si>
    <t>услуги патентного поверенного</t>
  </si>
  <si>
    <t>H_505-ХГ-54на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</si>
  <si>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</si>
  <si>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1.7</t>
  </si>
  <si>
    <t xml:space="preserve">Отсутствие обязательств для финансирования </t>
  </si>
  <si>
    <t>H_505-ХГ-53на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</si>
  <si>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</si>
  <si>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F_505-ХГ-50на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</si>
  <si>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</si>
  <si>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I_505-ИА-1-57</t>
  </si>
  <si>
    <t>Выкуп легковых автомобилей,  5 штук, Исполнительный аппарат АО "ДГК"</t>
  </si>
  <si>
    <t>H_505-ИА-1-50</t>
  </si>
  <si>
    <t>Покупка легковых автомобилей повышенной проходимости (2020г.-1 шт, 2022г. - 1 шт), Исполнительный аппарат АО "ДГК"</t>
  </si>
  <si>
    <t>Внеплановый проект. Включен в ИПР для подключения к системе межведомственного взаимодействия Хабаровского края согласно письма Министерства информационных технологий и связи Хабаровского края "О реализации услуг ресурсоснабжающих организаций на РПГУ" вх.12982 от 12.09.2019 года.</t>
  </si>
  <si>
    <t>K_505-ИА-1-63</t>
  </si>
  <si>
    <t>Покупка программно-аппаратного комплекса защиты сетей (1 компл.), Исполнительный аппарат АО "ДГК"</t>
  </si>
  <si>
    <t>H_505-ИА-1-48</t>
  </si>
  <si>
    <t>Покупка системы  гарантированного электропитания (2020 г. - 1 компл.), Исполнительный аппарат АО "ДГК"</t>
  </si>
  <si>
    <t>H_505-ИА-1-47</t>
  </si>
  <si>
    <t>Покупка системы удаленного доступа (1 компл.), Исполнительный аппарат АО "ДГК"</t>
  </si>
  <si>
    <t>H_505-ИА-1-46</t>
  </si>
  <si>
    <t>Покупка оборудования защиты сетей (2020 г. - 16 шт., 2022 г. - 8 шт.), Исполнительный аппарат АО "ДГК"</t>
  </si>
  <si>
    <t>H_505-ИА-1-45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</si>
  <si>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</si>
  <si>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H_505-ИА-1-41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</si>
  <si>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</si>
  <si>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H_505-ИА-1-40</t>
  </si>
  <si>
    <t>Покупка серверного шкафа (1 шт.), Исполнительный аппарат АО "ДГК"</t>
  </si>
  <si>
    <t>H_505-ИА-1-25</t>
  </si>
  <si>
    <t>Покупка серверного оборудования (блейд-система) (2020 г. - 1 шт., 2022 г. - 1 шт.), Исполнительный аппарат АО "ДГК"</t>
  </si>
  <si>
    <t>H_505-ИА-1-16</t>
  </si>
  <si>
    <t>Покупка сетевого оборудования локальных вычислительных сетей (2020 г. - 9 шт., 2021 г. - 9 шт.), Исполнительный аппарат АО "ДГК"</t>
  </si>
  <si>
    <t>Поставка ранее планового срока</t>
  </si>
  <si>
    <t>H_505-ХТСКх-34-31</t>
  </si>
  <si>
    <t>Покупка Сварочный агрегат DLW-400ESW, 2 шт, СП КТС</t>
  </si>
  <si>
    <t>H_505-ХТСКх-34-30</t>
  </si>
  <si>
    <t>Покупка Кондиционер промышленный-1 шт, СП ХТЭЦ-2</t>
  </si>
  <si>
    <t>Изменение стоимости и срока поставки оборудования на основании заключенного договра</t>
  </si>
  <si>
    <t>H_505-ХТСКх-34-27</t>
  </si>
  <si>
    <t>Покупка КФК-3-1 шт, СП ХТЭЦ-2</t>
  </si>
  <si>
    <t>F_505-ХТСКх-34-13</t>
  </si>
  <si>
    <t>Покупка автомобиля Тягач с полуприцепом, г.п. 32 т., СП ХТС кол-во   3 шт.</t>
  </si>
  <si>
    <t>Внеплановый проект (исключение проекта F_505-ХТСКх-34-11 и разбивка его на структурные подразделения)</t>
  </si>
  <si>
    <t>K_505-ХТСКх-34-11-3</t>
  </si>
  <si>
    <t>Покупка  автомобиля УАЗ-39094 КТС, 3 шт.</t>
  </si>
  <si>
    <t>F_505-ХТСКх-34-11</t>
  </si>
  <si>
    <t>Покупка  автомобиля УАЗ-39094 КТС, 3 шт.,ХТС-3 шт, ХТЭЦ-2 - 1 шт</t>
  </si>
  <si>
    <t>K_505-ХГ-45-309</t>
  </si>
  <si>
    <t>Покупка установки леспожарной ранцевой  "Ангара" СП Николаевская ТЭЦ, кол-во 1 шт.</t>
  </si>
  <si>
    <t>I_505-ХГ-45-269</t>
  </si>
  <si>
    <t>Покупка мобильной установки регенерации турбинных и трансформаторных масел  (КСОР-1) КТЭЦ-2, 1 шт.</t>
  </si>
  <si>
    <t>Внеплановый проект (исключение проекта H_505-ХТСКх-34-23 и разбивка его на структурные подразделения)</t>
  </si>
  <si>
    <t>K_505-ХТСКх-34-23-3</t>
  </si>
  <si>
    <t>Покупка Покупка МФУ, 1 шт (СП КТС)</t>
  </si>
  <si>
    <t>H_505-ХТСКх-34-23</t>
  </si>
  <si>
    <t>Покупка Покупка МФУ, 3 шт (СП ХТС, КТС, ХТЭЦ-2)</t>
  </si>
  <si>
    <t>J_505-ХГ-45-306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</si>
  <si>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</si>
  <si>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J_505-ХГ-45-305</t>
  </si>
  <si>
    <t>Покупка стенда для испытания отрезных кругов СП Хабаровская ТЭЦ-3-1 шт.</t>
  </si>
  <si>
    <t>J_505-ХГ-45-304</t>
  </si>
  <si>
    <t>Покупка газоанализатора Анкат 7664-1 М-09, СП Хабаровская ТЭЦ-1, 1 шт.</t>
  </si>
  <si>
    <t>J_505-ХГ-45-303</t>
  </si>
  <si>
    <t>Покупка шкаф сушильный CNOL 67/350 СП Хабаровская ТЭЦ-3, 1 шт.</t>
  </si>
  <si>
    <t>J_505-ХГ-45-302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</si>
  <si>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</si>
  <si>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Стоимость оборудования свыше 40 тыс. руб.</t>
  </si>
  <si>
    <t>К_505-ХГ-45-329</t>
  </si>
  <si>
    <t>Покупка Виброручка BALTECH VP-3407-3, СП Комсомольская ТЭЦ-3, 1 шт.</t>
  </si>
  <si>
    <t>H_505-ХГ-45-184</t>
  </si>
  <si>
    <t>Покупка Газоанализатор водорода переносной АВП-02Г, СП Комсомолськая ТЭЦ-3, 1 шт.</t>
  </si>
  <si>
    <t>H_505-ХГ-45-183</t>
  </si>
  <si>
    <t>Покупка Аналитические весы ВЛ-224В, СП Хабаровская ТЭЦ-3, 1 шт.</t>
  </si>
  <si>
    <t>H_505-ХГ-45-182</t>
  </si>
  <si>
    <t>Покупка Шкаф вытяжной 1500 НШВ-КгО Квадро
с мойкой МО нерж. (160 мм), СП Хабаровская ТЭЦ-3, 1 шт.</t>
  </si>
  <si>
    <t>H_505-ХГ-45-181</t>
  </si>
  <si>
    <t>Покупка Электропечь камерная лабораторная СНОЛ-1,6.2,5.1/10-И4М, СП Хабаровская ТЭЦ-3, 1 шт.</t>
  </si>
  <si>
    <t>Увеличение стоимости по результатам закупочных процедур. Поставка ранее планового срока</t>
  </si>
  <si>
    <t>H_505-ХГ-45-179</t>
  </si>
  <si>
    <t>Покупка Аппарат "АДИМ", СП Амурская ЭЦ, 1 шт.</t>
  </si>
  <si>
    <t>H_505-ХГ-45-178</t>
  </si>
  <si>
    <t>Покупка Шкаф вытяжной для нагревательных печей, СП Амурская ТЭЦ, 1 шт.</t>
  </si>
  <si>
    <t>H_505-ХГ-45-177</t>
  </si>
  <si>
    <t>Покупка анализатор ПКЖ 904, СП Комсомольская ТЭЦ-2, 1 шт.</t>
  </si>
  <si>
    <t>H_505-ХГ-45-176</t>
  </si>
  <si>
    <t>Покупка Спектрофотометр ПЭ-5400ВИ, СП Комсомольская ТЭЦ-2, 1 шт.</t>
  </si>
  <si>
    <t>H_505-ХГ-45-172</t>
  </si>
  <si>
    <t>Покупка весы аналитические, СП Хабаровская ТЭЦ-1, 1 шт.</t>
  </si>
  <si>
    <t>H_505-ХГ-45-169</t>
  </si>
  <si>
    <t>Покупка Микроомметр MMR-630, СП Николаевская ТЭЦ, 1 шт.</t>
  </si>
  <si>
    <t>H_505-ХГ-45-166</t>
  </si>
  <si>
    <t>Покупка Измерительный комплекс для проверки ВЧ-аппаратуры РЕТОМ-ВЧ/64, СП Амурская ТЭЦ, 1 шт.</t>
  </si>
  <si>
    <t>H_505-ХГ-45-164</t>
  </si>
  <si>
    <t>Покупка Установка поверочная переносная УПП8531М/1, Комсомольская ТЭЦ-3, 1 шт.</t>
  </si>
  <si>
    <t>H_505-ХГ-45-163</t>
  </si>
  <si>
    <t>Покупка Многофункциональный измеритель параметров электроустановок MI 3102H, СП Комсомольская ТЭЦ-1, 1 шт.</t>
  </si>
  <si>
    <t>H_505-ХГ-45-160</t>
  </si>
  <si>
    <t>Покупка Комплекс испытательный Ретом-21, СП Хабаровская ТЭЦ-3, 1 шт.</t>
  </si>
  <si>
    <t>H_505-ХГ-45-159</t>
  </si>
  <si>
    <t>Покупка Комплекс для проверки высоковольтной аппаратуры, СП Хабаровская ТЭЦ-1, 1 шт.</t>
  </si>
  <si>
    <t>F_505-ХГ-45-68</t>
  </si>
  <si>
    <t>Покупка  вытяжного шкафа 1800 НШВ,  Хабаровская ТЭЦ-1, кол-во 4шт.</t>
  </si>
  <si>
    <t>F_505-ХГ-45-65</t>
  </si>
  <si>
    <t>Покупка  спектрофотометра Юника, СП Хабаровская ТЭЦ-1, кол-во 4 шт.</t>
  </si>
  <si>
    <t>H_505-ХГ-45-152</t>
  </si>
  <si>
    <t>Покупка Весы электронные HR-250AZG, СП Комсомольская ТЭЦ-2 2 шт.</t>
  </si>
  <si>
    <t>J_505-ХГ-146</t>
  </si>
  <si>
    <t>Разработка проектно-изыскательских работ для строительства Хабаровской ТЭЦ-4 с внеплощадочной инфраструктурой</t>
  </si>
  <si>
    <t>J_505-ХГ-142</t>
  </si>
  <si>
    <t xml:space="preserve">Разработка проектно-изыскательских работ для реконструкции турбоагрегатов  ст.№№ 7,8 Комсомольской ТЭЦ-2 </t>
  </si>
  <si>
    <t>1.6</t>
  </si>
  <si>
    <t>H_505-ХГ-86</t>
  </si>
  <si>
    <t>Строительство нового золоотвала Хабаровской ТЭЦ-1 (ёмкость - 3200 тыс. м3)</t>
  </si>
  <si>
    <t>1.5.4</t>
  </si>
  <si>
    <t xml:space="preserve">Финансирование выполненных работ </t>
  </si>
  <si>
    <t>I_505-ХГ-130</t>
  </si>
  <si>
    <t>Строительство жилого комплекса для работников Совгаванской ТЭЦ (S=9121,15 м2)</t>
  </si>
  <si>
    <t>Финансирование прочих затрат</t>
  </si>
  <si>
    <t>F_505-ХГ-43</t>
  </si>
  <si>
    <t>Строительство береговой насосной Хабаровской ТЭЦ-3 с внедрением инновационных конструкций водозаборных оголовков, 0,5 км.</t>
  </si>
  <si>
    <t>Финансирование фактических затрат по аренде земельного участка. Перерасчет размера аренды по договору</t>
  </si>
  <si>
    <t>F_505-ХГ-35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</si>
  <si>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</si>
  <si>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Позднее заключение договора в связи с длительностью закупочных процедур</t>
  </si>
  <si>
    <t>F_505-ХГ-42</t>
  </si>
  <si>
    <t>Строительство золоотвала Амурской ТЭЦ (ёмкость 3189 тыс. м3, производительность 1200 т/час)</t>
  </si>
  <si>
    <t>F_505-ХГ-41</t>
  </si>
  <si>
    <t>Строительство 2 пускового комплекса золоотвала №2 Хабаровской ТЭЦ-3 (ёмкость - 2250 тыс. м3)</t>
  </si>
  <si>
    <t>Отставание от графика производства работ подрядной организацией, в связи с отсутствием материалов подрядчика.</t>
  </si>
  <si>
    <t>H_505-ХТСКх-48</t>
  </si>
  <si>
    <t>Строительство подкачивающей насосной станции "Таежная" в г.Комсомольске-на-Амуре (производительность - 580 т/час) (СП КТС)</t>
  </si>
  <si>
    <t>1.5.3</t>
  </si>
  <si>
    <t>Финансирование в связи с наращиванием темпов работ подрядчиком</t>
  </si>
  <si>
    <t>H_505-ХТСКх-54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</si>
  <si>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</si>
  <si>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Отставание проектировщиком от графика проектирования. Отстутвие заключенного договора на выполнение строительно-монтажных работ.</t>
  </si>
  <si>
    <t>F_505-ХГ-44</t>
  </si>
  <si>
    <t xml:space="preserve">Строительство котельной для отопления поселения "Рабочий поселок Майский" СП Майской ГРЭС, 16  Гкал/ч (18.56 МВт). </t>
  </si>
  <si>
    <t>1.5.2</t>
  </si>
  <si>
    <t>1.5.1</t>
  </si>
  <si>
    <t>1.5</t>
  </si>
  <si>
    <t>1.4.2.2</t>
  </si>
  <si>
    <t>1.4.2.1</t>
  </si>
  <si>
    <t>1.4.2</t>
  </si>
  <si>
    <t>I_505-ХТСКх-69тп</t>
  </si>
  <si>
    <t>Реконструкция головного участка ТМ-25 от Хабаровской ТЭЦ-2 с увеличением диаметра с 800/1000 мм на 1200 мм протяженностью 130х2 м</t>
  </si>
  <si>
    <t>1.4.1.2</t>
  </si>
  <si>
    <t>1.4.1.1</t>
  </si>
  <si>
    <t>г. Хабаровск</t>
  </si>
  <si>
    <t>1.4.1</t>
  </si>
  <si>
    <t>1.4</t>
  </si>
  <si>
    <t>Погашение КЗ  за 2019г. не предусмотренно в плане 2020г. Изменение потребности финансирования   в связи с корректировкой графика реализации проекта по причине необходимости проведения дополнительных проектно-изыскательских работ .</t>
  </si>
  <si>
    <t>F_505-ХТСКх-27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</si>
  <si>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</si>
  <si>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1.3.4</t>
  </si>
  <si>
    <t>H_505-ХТСКх-37</t>
  </si>
  <si>
    <t>Монтаж частотного привода на подпиточные насосы теплосети Хабаровской ТЭЦ-2</t>
  </si>
  <si>
    <t>J_505-ИА-7</t>
  </si>
  <si>
    <t>Замена систем кондиционирования в здании Исполнительного аппарата АО "ДГК", 12 ШТ.</t>
  </si>
  <si>
    <t>J_505-ИА-6</t>
  </si>
  <si>
    <t>Замена 2 лифтов в здании Исполнительного аппарата АО "ДГК"</t>
  </si>
  <si>
    <t>Закупочные процедуры не состоялись.  Для вынесения вопроса на решение ЦЗК АО "ДГК"  ведутся переговорыс с единственным Участником</t>
  </si>
  <si>
    <t>F_505-ХТСКх-32</t>
  </si>
  <si>
    <t>Техперевооружение дымовой трубы СП Хабаровская ТЭЦ-2</t>
  </si>
  <si>
    <t xml:space="preserve">Длительное проведение закупочных процедур. </t>
  </si>
  <si>
    <t>H_505-ХТСКх-35</t>
  </si>
  <si>
    <t>Техперевооружение комплекса инженерно-технических средств физической защиты Котельный цех №2 Ургал.СП Хабаровская ТЭЦ-2</t>
  </si>
  <si>
    <t>Позднее заключение договоров, в связи с длительной закупочной процедурой</t>
  </si>
  <si>
    <t>F_505-ХТСКх-5</t>
  </si>
  <si>
    <t>Техперевооружение комплекса инженерно-технических средств физической защиты Хабаровской ТЭЦ-2</t>
  </si>
  <si>
    <t>H_505-ХГ-115</t>
  </si>
  <si>
    <t>Установка приборов учета сточных вод Амурской ТЭЦ (выпуск № 1, № 2), 2 шт.</t>
  </si>
  <si>
    <t xml:space="preserve">Проект исключен из инвестиционной программы в связи с изменившимися производственными потребностями, в том числе с учетом решения по строительству Хабаровской ТЭЦ-4 для замещения Хабаровской ТЭЦ-1. </t>
  </si>
  <si>
    <t>J_505-ХГ-145</t>
  </si>
  <si>
    <t>Модернизация редукционо-охладительной установки 14/10 Мпа на ХТЭЦ-1</t>
  </si>
  <si>
    <t>Финансирование фактически  выполненных работ</t>
  </si>
  <si>
    <t>J_505-ХГ-144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</si>
  <si>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</si>
  <si>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Влияние фактически сложившейся КЗ на 01.01.2020.Финансирование фактически  выполненных работ</t>
  </si>
  <si>
    <t>K_505-ХГ-147</t>
  </si>
  <si>
    <t>Замена трансформатора ТДЦ-125000/110 на трансформатор ТДЦ-160000/110 ХТЭЦ-1, 1 шт.</t>
  </si>
  <si>
    <t>I_505-ХГ-127</t>
  </si>
  <si>
    <t>Замена узлов учета газа на ПК-0 магистрального газопровода "Газопровод-отвод до ТЭЦ г. Николаевска-на-Амуре"</t>
  </si>
  <si>
    <t>H_505-ХГ-81</t>
  </si>
  <si>
    <t xml:space="preserve">Техперевооружение комплекса инженерно-технических средств физической защиты СП "Хабаровской ТЭЦ-3" </t>
  </si>
  <si>
    <t>H_505-ХГ-80</t>
  </si>
  <si>
    <t>Техперевооружение комплекса инженерно-технических средств физической защиты СП "Хабаровской ТЭЦ-1"</t>
  </si>
  <si>
    <t>Оплата услуг подрядчика</t>
  </si>
  <si>
    <t>F_505-ХГ-30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</si>
  <si>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</si>
  <si>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F_505-ХГ-29</t>
  </si>
  <si>
    <t>Техперевооружение комплекса инженерно-технических средств физической защиты СП  Амурская ТЭЦ</t>
  </si>
  <si>
    <t>F_505-ХГ-27</t>
  </si>
  <si>
    <t>Техперевооружение комплекса инженерно-технических средств физической защиты СП "Комсомольская ТЭЦ-1"</t>
  </si>
  <si>
    <t>F_505-ХГ-26</t>
  </si>
  <si>
    <t>Техперевооружение комплекса инженерно-технических средств физической защиты СП "Комсомольская ТЭЦ-2"</t>
  </si>
  <si>
    <t>F_505-ХГ-25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</si>
  <si>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</si>
  <si>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Оплата поставленного оборудования и фактически сложившейся КЗ на 01.01.2020</t>
  </si>
  <si>
    <t>K_505-ХГ-34-3</t>
  </si>
  <si>
    <t>Замена измерительных трансформаторов тока на КТЭЦ-3</t>
  </si>
  <si>
    <t>K_505-ХГ-34-2</t>
  </si>
  <si>
    <t>Замена измерительных трансформаторов тока на КТЭЦ-2</t>
  </si>
  <si>
    <t>K_505-ХГ-34-1</t>
  </si>
  <si>
    <t>Замена измерительных трансформаторов тока на КТЭЦ-1</t>
  </si>
  <si>
    <t>F_505-ХГ-34</t>
  </si>
  <si>
    <t>Замена измерительных трансформаторов тока на ХТЭЦ-3, КТЭЦ-1, КТЭЦ-2, КТЭЦ-3, МГРЭС</t>
  </si>
  <si>
    <t>F_505-ХГ-2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</si>
  <si>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</si>
  <si>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Финансирование по факту заключенного договора  с учетом проведенных гарантийных удержаний.</t>
  </si>
  <si>
    <t>H_505-ХТСКх-10-26</t>
  </si>
  <si>
    <t>Техперевооружение тепломагистрали ТМ-31 г.Хабаровск</t>
  </si>
  <si>
    <t>1.3.3</t>
  </si>
  <si>
    <t>H_505-ХТСКх-10-25</t>
  </si>
  <si>
    <t>Техперевооружение тепломагистрали №17 г. Хабаровск. СП ХТС</t>
  </si>
  <si>
    <t>H_505-ХТСКх-10-23</t>
  </si>
  <si>
    <t>Техперевооружение тепломагистрали №32 г. Хабаровск. СП ХТС</t>
  </si>
  <si>
    <t>H_505-ХТСКх-10-21</t>
  </si>
  <si>
    <t>Техперевооружение тепломагистрали№19 г. Хабаровск. СП ХТС</t>
  </si>
  <si>
    <t>Финансирование досрочно предъявленных работ.</t>
  </si>
  <si>
    <t>H_505-ХТСКх-10-20</t>
  </si>
  <si>
    <t>Техперевооружение тепломагистрали №18 г. Хабаровск. СП ХТС</t>
  </si>
  <si>
    <t>Отставание подрядчиком от графика производства работ, и как следствие предъявленние актов освидетельствования, которые  не является документом, свидетельствующим о приемке Заказчиком Работ, и являются только основанием для проведения платежей в адрес контрагента до момента ввода в эксплуатацию</t>
  </si>
  <si>
    <t>H_505-ХТСКх-10-18</t>
  </si>
  <si>
    <t>Техперевооружение тепломагистрали №11 г. Хабаровск. СП ХТС</t>
  </si>
  <si>
    <t>Фактически сложившаяся КЗ за 2019г. меньше запланированной</t>
  </si>
  <si>
    <t>H_505-ХТСКх-10-17</t>
  </si>
  <si>
    <t>Техперевооружение тепломагистрали "Горьковская" г. Хабаровск. СП ХТС</t>
  </si>
  <si>
    <t>H_505-ХТСКх-9-47</t>
  </si>
  <si>
    <t>Техперевооружение теплотрассы №2 г. Комсомольск-на-Амуре</t>
  </si>
  <si>
    <t>H_505-ХТСКх-9-46</t>
  </si>
  <si>
    <t>Техперевооружение теплотрассы №11 г. Комсомольск-на-Амуре.(СП КТС)</t>
  </si>
  <si>
    <t>H_505-ХТСКх-9-45</t>
  </si>
  <si>
    <t>Техперевооружение теплотрассы №8 г. Комсомольск-на-Амуре.(СП КТС)</t>
  </si>
  <si>
    <t>H_505-ХТСКх-9-44</t>
  </si>
  <si>
    <t>Техперевооружение теплофикационного вывода Комсомольской ТЭЦ-2.(СП КТС)</t>
  </si>
  <si>
    <t>H_505-ХТСКх-9-43</t>
  </si>
  <si>
    <t>Техперевооружение теплотрассы №19 г. Комсомольск-на-Амуре.(СП КТС)</t>
  </si>
  <si>
    <t>Длительное проведение закупочных процедур по выбору подрядной организации, в связи с отсутствием участников, договор подряда был заключен 07.07.2020г.</t>
  </si>
  <si>
    <t>H_505-ХТСКх-9-42</t>
  </si>
  <si>
    <t>Техперевооружение теплотрассы №16 г. Амурск.(СП КТС)</t>
  </si>
  <si>
    <t>H_505-ХТСКх-9-41</t>
  </si>
  <si>
    <t>Техперевооружение теплотрассы №15 г. Амурск.(СП КТС)</t>
  </si>
  <si>
    <t>Проведено авансирование подрядных работ согласно условиям по договору</t>
  </si>
  <si>
    <t>H_505-ХТСКх-9-39</t>
  </si>
  <si>
    <t>Техперевооружение теплотрассы №9 г. Комсомольск-на-Амуре.(СП КТС)</t>
  </si>
  <si>
    <t>Длительное проведение закупочных процедур по выбору подрядной организации, в связи с отсутствием участников, договор подряда был заключен 17.06.2020г.</t>
  </si>
  <si>
    <t>H_505-ХТСКх-9-37</t>
  </si>
  <si>
    <t>Техперевооружение теплотрассы №4 г. Комсомольск-на-Амуре.(СП КТС)</t>
  </si>
  <si>
    <t>H_505-ХТСКх-9-36</t>
  </si>
  <si>
    <t>Техперевооружение теплотрассы №3 г. Комсомольск-на-Амуре.(СП КТС)</t>
  </si>
  <si>
    <t>1.3.2</t>
  </si>
  <si>
    <t>уточнение графика выполнения СМР</t>
  </si>
  <si>
    <t>Влияние фактически сложившейся КЗ на 01.01.2020.Финансирование фактически поставленной продукции и выполненных работ</t>
  </si>
  <si>
    <t>F_505-ХГ-38</t>
  </si>
  <si>
    <t>Техперевооружение Хабаровской ТЭЦ-3 с переводом на сжигание природного газа пиковой котельной (ПВК), 3 шт.</t>
  </si>
  <si>
    <t>1.3.1</t>
  </si>
  <si>
    <t>Финансирование согласно договорным условиям</t>
  </si>
  <si>
    <t>J_505-ХГ-143</t>
  </si>
  <si>
    <t xml:space="preserve">Техперевооружение Николаевской ТЭЦ с переводом котлоагрегата ст. № 1, ст. № 4  на сжигание природного газа </t>
  </si>
  <si>
    <t>I_505-ХГ-133</t>
  </si>
  <si>
    <t>Модернизация воздухоподогревателей котлоагрегата  энергоблока № 2 СП "Комсомольская ТЭЦ-3".</t>
  </si>
  <si>
    <t>Финансирование фактически поставленной продукции и выполненных работ</t>
  </si>
  <si>
    <t>I_505-ХГ-132</t>
  </si>
  <si>
    <t>Модернизация воздухоподогревателей котлоагрегатов СП "Хабаровская ТЭЦ-3"- КА энергоблоков №1, 2, 3</t>
  </si>
  <si>
    <t xml:space="preserve"> Отставание  от графика производства работ подрядной организацией.</t>
  </si>
  <si>
    <t>I_505-ХГ-131</t>
  </si>
  <si>
    <t xml:space="preserve">Модернизация воздухоподогревателей котлоагрегатов СП "Хабаровская ТЭЦ-1"- КА- 1, 6, 7, 9,12, 13, 14, 15; 16 </t>
  </si>
  <si>
    <t>Изменение графика производства работ по факту недовыполнения по итогам 2019 года.</t>
  </si>
  <si>
    <t>H_505-ХГ-91</t>
  </si>
  <si>
    <t>Модернизация котлоагрегата к/а ст. № 8 БКЗ-220-100 Хабаровской ТЭЦ-1</t>
  </si>
  <si>
    <t>I_505-ХГ-126</t>
  </si>
  <si>
    <t>Модернизация газового оборудования котлоагрегата ТП-150 ст. № 4-а КТЭЦ-2</t>
  </si>
  <si>
    <t>I_505-ХГ-125</t>
  </si>
  <si>
    <t>Модернизация газового оборудования котлоагрегата БВ-120 ст. № 1-а КТЭЦ-2</t>
  </si>
  <si>
    <t>I_505-ХГ-124</t>
  </si>
  <si>
    <t>Модернизация газового оборудования котлоагрегата БКЗ-210-140 ст. № 9 КТЭЦ-2</t>
  </si>
  <si>
    <t>I_505-ХГ-123</t>
  </si>
  <si>
    <t>Модернизация газового оборудования котлоагрегата БКЗ-210-140 ст. № 8 КТЭЦ-2</t>
  </si>
  <si>
    <t>H_505-ХГ-60</t>
  </si>
  <si>
    <t>Модернизация э/б ст. №1 Хабаровской ТЭЦ-3</t>
  </si>
  <si>
    <t>I_505-ХГ-119</t>
  </si>
  <si>
    <t>Модернизация турбоагрегата ст. № 8 Т-100/130 Хабаровской ТЭЦ-1</t>
  </si>
  <si>
    <t>1.3</t>
  </si>
  <si>
    <t>Увеличение стоимости по результатам закупочных процедур (удорожание стоимости оборудования).</t>
  </si>
  <si>
    <t>H_505-ХТСКх-43</t>
  </si>
  <si>
    <t>Реконструкция распредустройств 6,0 кВ Хабаровской ТЭЦ-2  с заменой масляных выключателей  на ваккумные в секциях  5Р</t>
  </si>
  <si>
    <t>1.2.4</t>
  </si>
  <si>
    <t>H_505-ХТСКх-42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</si>
  <si>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</si>
  <si>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Заполненность баков водой для подпитки ТЭЦ, не позволила подрядчику своевременно осуществить работы согласно графику</t>
  </si>
  <si>
    <t>F_505-ХТСКх-15</t>
  </si>
  <si>
    <t>Реконструкция баков  аккумуляторов на ПНС-922 и ПНС-315 (СП ХТС)</t>
  </si>
  <si>
    <t>I_505-ХТСКх-65</t>
  </si>
  <si>
    <t>Реконструкция обводной линии с  грязевиком вокруг существующего грязевика сетевой насосной (СП "ХТЭЦ-2")</t>
  </si>
  <si>
    <t>Погашение КЗ  за 2019г. (гарантийных обязательств) не предусмотренных в плане 2020г.</t>
  </si>
  <si>
    <t>F_505-ХТСКх-2</t>
  </si>
  <si>
    <t>Реконструкция обьекта  "Дамба берега Амура" (берегоукрепление Хабаровской ТЭЦ-2)</t>
  </si>
  <si>
    <t>H_505-ХГ-117</t>
  </si>
  <si>
    <t xml:space="preserve"> Рекультвация золоотвала  № 2     Амурской ТЭЦ, S=35 га      </t>
  </si>
  <si>
    <t>I_505-ХГ-90</t>
  </si>
  <si>
    <t>Реконструкция системы сброса сточных вод золоотвала Комсомольской ТЭЦ-2</t>
  </si>
  <si>
    <t>H_505-ХГ-57</t>
  </si>
  <si>
    <t>Наращивание золоотвала №2 (1 очередь) Хабаровской ТЭЦ-3 на 1800 тыс. м3</t>
  </si>
  <si>
    <t>F_505-ХГ-1-1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</si>
  <si>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</si>
  <si>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Договор подряда расторгнут. За отчетный период 2020 года объявлена и проведена внеплановая закупка, заключен новый договор с подрядной организацией для выполнение строительно-монтажных работ.</t>
  </si>
  <si>
    <t>F_505-ХТСКх-12</t>
  </si>
  <si>
    <t>Реконструкция теплотрассы № 2 от ТК 3-17 до ТК 2-12б, от ТК 9-14 до ТК «пр. Мира, 29 в г.Комсомольске-на-Амуре.(СП КТС)</t>
  </si>
  <si>
    <t>1.2.3</t>
  </si>
  <si>
    <t>Позднее заключение договора подряда</t>
  </si>
  <si>
    <t>H_505-ХТСКх-30-1</t>
  </si>
  <si>
    <t>Расширение автоматической котельной в п. Некрасовка с приростом мощности на 5,59 Гкал/ч</t>
  </si>
  <si>
    <t>1.2.2</t>
  </si>
  <si>
    <t>F_505-ХТСКх-1</t>
  </si>
  <si>
    <t>Перевод котла № 4 Хабаровской ТЭЦ-2 на газовое топливо</t>
  </si>
  <si>
    <t>H_505-ХТСКх-41</t>
  </si>
  <si>
    <t>Реконструкция котла ПТВМ-100 ст№6 КЦ №1 Хабаровской ТЭЦ-2</t>
  </si>
  <si>
    <t>I_505-ХГ-138</t>
  </si>
  <si>
    <t>Реконструкция ПЭН (питательных электронасосов) на СП  "Комсомольская ТЭЦ-3" (2 шт)</t>
  </si>
  <si>
    <t>1.2.1</t>
  </si>
  <si>
    <t>Влияние фактически сложившейся КЗ на 01.01.2020. Финансирование услуг по регламентированным закупкам, материалам и оборудованию.</t>
  </si>
  <si>
    <t>I_505-ХГ-137</t>
  </si>
  <si>
    <t>Реконструкция ПЭН (питательных электронасосов) на СП "Хабаровская ТЭЦ-3"  (2 шт)</t>
  </si>
  <si>
    <t>H_505-ХГ-122</t>
  </si>
  <si>
    <t>Реконструкция градирни № 5 Хабаровской ТЭЦ-1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</si>
  <si>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</t>
  </si>
  <si>
    <t>I_505-ХГ-136</t>
  </si>
  <si>
    <t>Реконструкция градирни ст. №3 Хабаровской ТЭЦ-3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</si>
  <si>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 В связи с нарушением сроков проектирования на объекте не начаты запланированные строительно-монтажные работы.</t>
  </si>
  <si>
    <t>H_505-ХГ-104</t>
  </si>
  <si>
    <t>Реконструкция градирни ст. № 2 Хабаровской ТЭЦ-3</t>
  </si>
  <si>
    <t>1.2</t>
  </si>
  <si>
    <t>1.1.4</t>
  </si>
  <si>
    <t>Внеплановый проект (старнирование затрат в отчетном периоде из-за техничекой ошибкой в распределении затрат по страхованию объекта в 1 квартале 2020)</t>
  </si>
  <si>
    <t>F_505-ХТСКх-20тп</t>
  </si>
  <si>
    <t>Строительство ПНС-324 (450 Гкал/час) ХТС</t>
  </si>
  <si>
    <t>1.1.3.5</t>
  </si>
  <si>
    <t>I_505-ХТСКх-66тп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</si>
  <si>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</si>
  <si>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Отсутствие по факту  КЗ за 2019г.  Планировалось гарантийное обяхательство</t>
  </si>
  <si>
    <t>I_505-ХТСКх-68тп</t>
  </si>
  <si>
    <t>Реконструкция ТМ-31 от ТК 319.11  в направлении  ТК 319.13,  Ду 1000 мм L=514 м, в г. Хабаровске</t>
  </si>
  <si>
    <t>Фактически сложившаяся КЗ за 2019г. меньше, чем планировалось</t>
  </si>
  <si>
    <t>F_505-ХТСКх-14</t>
  </si>
  <si>
    <t>Реконструкция ТМ-31 блок 394 от узла 393 (ул.Карла-Маркса) до узла 199 (ул. Промышленная), 2Ду800/1000 мм, L=2,8 км. ХТС</t>
  </si>
  <si>
    <t>F_505-ХТСКх-19тп</t>
  </si>
  <si>
    <t>Реконструкция ТМ-33 от ХТЭЦ-3 с применением инновационных технологий ППУ и ОДК. ХТС</t>
  </si>
  <si>
    <t>F_505-ХТСКх-18тп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</si>
  <si>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</si>
  <si>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F_505-ХТСКх-17тп</t>
  </si>
  <si>
    <t>Тех. присоединение Реконструкция ТМ-25 от ХТЭЦ-2 и ПНС № 813 "Прибрежная"  ХТС</t>
  </si>
  <si>
    <t>Гашение КЗ за 2019г., изменение графика работ в 2019 г. повляло на образование КЗ на начало 2020г. И возникновению обязательств для финансирования</t>
  </si>
  <si>
    <t>F_505-ХТСКх-31тп</t>
  </si>
  <si>
    <t>Строительство котельной в Волочаевском городке г. Хабаровска (мощность - 26,31 Гкал/ч)</t>
  </si>
  <si>
    <t>1.1.3.4</t>
  </si>
  <si>
    <t xml:space="preserve">Финансирование услуг по регламентированным закупкам </t>
  </si>
  <si>
    <t>J_505-ХТСКх-70тп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</si>
  <si>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</si>
  <si>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1.1.3.3</t>
  </si>
  <si>
    <t>I_505-ХТСКх-61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</si>
  <si>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</si>
  <si>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1.1.3.2</t>
  </si>
  <si>
    <t>1.1.3.1</t>
  </si>
  <si>
    <t>1.1.3</t>
  </si>
  <si>
    <t>1.1.2.2</t>
  </si>
  <si>
    <t>1.1.2.1</t>
  </si>
  <si>
    <t>1.1.2</t>
  </si>
  <si>
    <t>1.1.1.2</t>
  </si>
  <si>
    <t>Хабаровская ТЭЦ-1, всего, в том числе:</t>
  </si>
  <si>
    <t>1.1.1.1</t>
  </si>
  <si>
    <t>1.1.1</t>
  </si>
  <si>
    <t>1.1</t>
  </si>
  <si>
    <t>Хабаровский край</t>
  </si>
  <si>
    <t>1</t>
  </si>
  <si>
    <t>Прочие инвестиционные проекты, всего</t>
  </si>
  <si>
    <t>0.7</t>
  </si>
  <si>
    <t>Покупка земельных участков для целей реализации инвестиционных проектов, всего</t>
  </si>
  <si>
    <t>0.6</t>
  </si>
  <si>
    <t>Новое строительство, всего</t>
  </si>
  <si>
    <t>0.5</t>
  </si>
  <si>
    <t>Инвестиционные проекты, реализация которых обуславливается схемами теплоснабжения, всего</t>
  </si>
  <si>
    <t>0.4</t>
  </si>
  <si>
    <t>Модернизация, техническое перевооружение, всего</t>
  </si>
  <si>
    <t>0.3</t>
  </si>
  <si>
    <t>Реконструкция, всего</t>
  </si>
  <si>
    <t>0.2</t>
  </si>
  <si>
    <t>Технологическое присоединение (подключение), всего</t>
  </si>
  <si>
    <t>0.1</t>
  </si>
  <si>
    <t>ВСЕГО по инвестиционной программе, в том числе:</t>
  </si>
  <si>
    <t>0</t>
  </si>
  <si>
    <t>Факт</t>
  </si>
  <si>
    <t>План</t>
  </si>
  <si>
    <t>%</t>
  </si>
  <si>
    <t>млн рублей
 (с НДС)</t>
  </si>
  <si>
    <t>IV кв.</t>
  </si>
  <si>
    <t>III кв.</t>
  </si>
  <si>
    <t>II кв.</t>
  </si>
  <si>
    <t>I кв.</t>
  </si>
  <si>
    <t xml:space="preserve">Всего </t>
  </si>
  <si>
    <t>Причины отклонений</t>
  </si>
  <si>
    <t>Отклонение от плана финансирования по итогам отчетного квартала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</si>
  <si>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</si>
  <si>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Финансирование капитальных вложений года 2020 года, млн рублей (с НДС)</t>
  </si>
  <si>
    <t xml:space="preserve">Остаток финансирования капитальных вложений 
на  01.01.2020 года  в прогнозных ценах соответствующих лет,  млн рублей (с НДС) </t>
  </si>
  <si>
    <t xml:space="preserve">Фактический объем финансирования капитальных вложений на  01.01.2020 года, млн рублей 
(с НДС) </t>
  </si>
  <si>
    <t xml:space="preserve">Оценка полной стоимости инвестиционного проекта  в прогнозных ценах соответствующих лет, млн рублей (с НДС) </t>
  </si>
  <si>
    <t>Идентификатор инвестиционного проекта</t>
  </si>
  <si>
    <t xml:space="preserve"> Наименование инвестиционного проекта (группы инвестиционных проектов)</t>
  </si>
  <si>
    <t>Номер группы инвестиционных проектов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</si>
  <si>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</si>
  <si>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Утвержденные плановые значения показателей приведены в соответствии с  приказом Минэнерго России от 12.12.2019№ 23@</t>
  </si>
  <si>
    <t>Год формирования информации: 2020 год</t>
  </si>
  <si>
    <t xml:space="preserve">          полное наименование субъекта электроэнергетики</t>
  </si>
  <si>
    <t xml:space="preserve">Отчет  о реализации инвестиционной программы акционерного общества "Дальневосточная генерирующая компания" </t>
  </si>
  <si>
    <t>Форма 10.  Отчет об исполнении плана финансирования капитальных вложений по инвестиционным проектам (квартальный)</t>
  </si>
  <si>
    <t>Приложение  № 10</t>
  </si>
  <si>
    <t>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</si>
</sst>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.0000000000000000000"/>
    <numFmt numFmtId="165" formatCode="#,##0.00000000"/>
    <numFmt numFmtId="166" formatCode="#,##0.0000"/>
    <numFmt numFmtId="167" formatCode="#,##0.0000000000000"/>
    <numFmt numFmtId="168" formatCode="#,##0.00000000\ _₽"/>
    <numFmt numFmtId="169" formatCode="#,##0.00\ _₽"/>
    <numFmt numFmtId="170" formatCode="#,##0.00000"/>
    <numFmt numFmtId="171" formatCode="#,##0.0"/>
    <numFmt numFmtId="173" formatCode="#,##0.000000000"/>
    <numFmt numFmtId="175" formatCode="_-* #,##0.00_р_._-;\-* #,##0.00_р_._-;_-* &quot;-&quot;??_р_._-;_-@_-"/>
    <numFmt numFmtId="176" formatCode="#,##0.0000000000000000000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name val="Times New Roman CYR"/>
    </font>
    <font>
      <b/>
      <sz val="14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4" fillId="0" borderId="0"/>
    <xf numFmtId="0" fontId="8" fillId="0" borderId="0"/>
    <xf numFmtId="0" fontId="4" fillId="0" borderId="0"/>
    <xf numFmtId="0" fontId="2" fillId="0" borderId="0"/>
    <xf numFmtId="0" fontId="1" fillId="0" borderId="0"/>
  </cellStyleXfs>
  <cellXfs count="161">
    <xf numFmtId="0" fontId="0" fillId="0" borderId="0" xfId="0"/>
    <xf numFmtId="0" fontId="2" fillId="0" borderId="0" xfId="1" applyFont="1" applyFill="1"/>
    <xf numFmtId="164" fontId="2" fillId="0" borderId="0" xfId="1" applyNumberFormat="1" applyFont="1" applyFill="1"/>
    <xf numFmtId="0" fontId="2" fillId="2" borderId="0" xfId="1" applyFont="1" applyFill="1"/>
    <xf numFmtId="164" fontId="2" fillId="2" borderId="0" xfId="1" applyNumberFormat="1" applyFont="1" applyFill="1"/>
    <xf numFmtId="0" fontId="2" fillId="2" borderId="0" xfId="1" applyFont="1" applyFill="1" applyAlignment="1">
      <alignment horizontal="center" vertical="center" wrapText="1"/>
    </xf>
    <xf numFmtId="165" fontId="3" fillId="2" borderId="0" xfId="1" applyNumberFormat="1" applyFont="1" applyFill="1"/>
    <xf numFmtId="165" fontId="2" fillId="2" borderId="0" xfId="1" applyNumberFormat="1" applyFont="1" applyFill="1"/>
    <xf numFmtId="166" fontId="3" fillId="2" borderId="0" xfId="1" applyNumberFormat="1" applyFont="1" applyFill="1"/>
    <xf numFmtId="4" fontId="2" fillId="2" borderId="0" xfId="1" applyNumberFormat="1" applyFont="1" applyFill="1"/>
    <xf numFmtId="167" fontId="2" fillId="2" borderId="0" xfId="1" applyNumberFormat="1" applyFont="1" applyFill="1"/>
    <xf numFmtId="166" fontId="2" fillId="2" borderId="0" xfId="1" applyNumberFormat="1" applyFont="1" applyFill="1"/>
    <xf numFmtId="10" fontId="2" fillId="2" borderId="0" xfId="1" applyNumberFormat="1" applyFont="1" applyFill="1"/>
    <xf numFmtId="4" fontId="5" fillId="2" borderId="1" xfId="2" applyNumberFormat="1" applyFont="1" applyFill="1" applyBorder="1" applyAlignment="1" applyProtection="1">
      <alignment horizontal="center" vertical="center" wrapText="1"/>
      <protection locked="0"/>
    </xf>
    <xf numFmtId="10" fontId="2" fillId="2" borderId="2" xfId="1" applyNumberFormat="1" applyFont="1" applyFill="1" applyBorder="1" applyAlignment="1">
      <alignment horizontal="center" vertical="center" wrapText="1"/>
    </xf>
    <xf numFmtId="168" fontId="2" fillId="2" borderId="3" xfId="0" applyNumberFormat="1" applyFont="1" applyFill="1" applyBorder="1" applyAlignment="1">
      <alignment horizontal="center" vertical="center" wrapText="1"/>
    </xf>
    <xf numFmtId="169" fontId="2" fillId="2" borderId="3" xfId="0" applyNumberFormat="1" applyFont="1" applyFill="1" applyBorder="1" applyAlignment="1">
      <alignment horizontal="center" vertical="center" wrapText="1"/>
    </xf>
    <xf numFmtId="169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169" fontId="2" fillId="2" borderId="3" xfId="1" applyNumberFormat="1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2" applyNumberFormat="1" applyFont="1" applyFill="1" applyBorder="1" applyAlignment="1" applyProtection="1">
      <alignment horizontal="left" vertical="center" wrapText="1"/>
      <protection locked="0"/>
    </xf>
    <xf numFmtId="4" fontId="5" fillId="2" borderId="4" xfId="2" applyNumberFormat="1" applyFont="1" applyFill="1" applyBorder="1" applyAlignment="1" applyProtection="1">
      <alignment horizontal="center" vertical="center" wrapText="1"/>
      <protection locked="0"/>
    </xf>
    <xf numFmtId="170" fontId="2" fillId="2" borderId="5" xfId="1" applyNumberFormat="1" applyFont="1" applyFill="1" applyBorder="1" applyAlignment="1">
      <alignment horizontal="center" vertical="center" wrapText="1"/>
    </xf>
    <xf numFmtId="171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171" fontId="5" fillId="2" borderId="3" xfId="2" applyNumberFormat="1" applyFont="1" applyFill="1" applyBorder="1" applyAlignment="1" applyProtection="1">
      <alignment horizontal="left" vertical="center" wrapText="1"/>
      <protection locked="0"/>
    </xf>
    <xf numFmtId="49" fontId="5" fillId="2" borderId="4" xfId="2" applyNumberFormat="1" applyFont="1" applyFill="1" applyBorder="1" applyAlignment="1" applyProtection="1">
      <alignment horizontal="center" vertical="center" wrapText="1"/>
      <protection locked="0"/>
    </xf>
    <xf numFmtId="170" fontId="6" fillId="2" borderId="5" xfId="1" applyNumberFormat="1" applyFont="1" applyFill="1" applyBorder="1" applyAlignment="1">
      <alignment horizontal="center" vertical="center" wrapText="1"/>
    </xf>
    <xf numFmtId="10" fontId="6" fillId="2" borderId="2" xfId="1" applyNumberFormat="1" applyFont="1" applyFill="1" applyBorder="1" applyAlignment="1">
      <alignment horizontal="center" vertical="center" wrapText="1"/>
    </xf>
    <xf numFmtId="169" fontId="6" fillId="2" borderId="3" xfId="0" applyNumberFormat="1" applyFont="1" applyFill="1" applyBorder="1" applyAlignment="1">
      <alignment horizontal="center" vertical="center" wrapText="1"/>
    </xf>
    <xf numFmtId="4" fontId="7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7" fillId="2" borderId="4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>
      <alignment horizontal="center" vertical="center" wrapText="1"/>
    </xf>
    <xf numFmtId="10" fontId="2" fillId="2" borderId="3" xfId="1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3" xfId="3" applyNumberFormat="1" applyFont="1" applyFill="1" applyBorder="1" applyAlignment="1">
      <alignment horizontal="center" wrapText="1"/>
    </xf>
    <xf numFmtId="4" fontId="6" fillId="2" borderId="4" xfId="3" applyNumberFormat="1" applyFont="1" applyFill="1" applyBorder="1" applyAlignment="1">
      <alignment horizontal="center" vertical="center"/>
    </xf>
    <xf numFmtId="169" fontId="7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3" applyNumberFormat="1" applyFont="1" applyFill="1" applyBorder="1" applyAlignment="1">
      <alignment horizontal="center" vertical="center" wrapText="1"/>
    </xf>
    <xf numFmtId="4" fontId="6" fillId="2" borderId="4" xfId="3" applyNumberFormat="1" applyFont="1" applyFill="1" applyBorder="1" applyAlignment="1">
      <alignment horizontal="center" vertical="center" wrapText="1"/>
    </xf>
    <xf numFmtId="169" fontId="7" fillId="2" borderId="3" xfId="2" applyNumberFormat="1" applyFont="1" applyFill="1" applyBorder="1" applyAlignment="1" applyProtection="1">
      <alignment horizontal="center" vertical="center" wrapText="1"/>
      <protection locked="0"/>
    </xf>
    <xf numFmtId="169" fontId="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4" applyNumberFormat="1" applyFont="1" applyFill="1" applyBorder="1" applyAlignment="1" applyProtection="1">
      <alignment horizontal="left" vertical="center" wrapText="1"/>
      <protection locked="0"/>
    </xf>
    <xf numFmtId="4" fontId="2" fillId="2" borderId="4" xfId="3" applyNumberFormat="1" applyFont="1" applyFill="1" applyBorder="1" applyAlignment="1">
      <alignment horizontal="center" vertical="center"/>
    </xf>
    <xf numFmtId="4" fontId="7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7" fillId="2" borderId="5" xfId="2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2" applyNumberFormat="1" applyFont="1" applyFill="1" applyBorder="1" applyAlignment="1" applyProtection="1">
      <alignment horizontal="left" vertical="center" wrapText="1"/>
      <protection locked="0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3" xfId="3" applyNumberFormat="1" applyFont="1" applyFill="1" applyBorder="1" applyAlignment="1">
      <alignment horizontal="center" vertical="center" wrapText="1"/>
    </xf>
    <xf numFmtId="169" fontId="2" fillId="2" borderId="3" xfId="5" applyNumberFormat="1" applyFont="1" applyFill="1" applyBorder="1" applyAlignment="1">
      <alignment horizontal="center" vertical="center"/>
    </xf>
    <xf numFmtId="4" fontId="2" fillId="2" borderId="3" xfId="2" applyNumberFormat="1" applyFont="1" applyFill="1" applyBorder="1" applyAlignment="1" applyProtection="1">
      <alignment horizontal="center" vertical="center" wrapText="1"/>
      <protection locked="0"/>
    </xf>
    <xf numFmtId="171" fontId="2" fillId="2" borderId="3" xfId="2" applyNumberFormat="1" applyFont="1" applyFill="1" applyBorder="1" applyAlignment="1" applyProtection="1">
      <alignment horizontal="left" vertical="center" wrapText="1"/>
      <protection locked="0"/>
    </xf>
    <xf numFmtId="4" fontId="6" fillId="2" borderId="5" xfId="2" applyNumberFormat="1" applyFont="1" applyFill="1" applyBorder="1" applyAlignment="1" applyProtection="1">
      <alignment horizontal="center" vertical="center" wrapText="1"/>
      <protection locked="0"/>
    </xf>
    <xf numFmtId="4" fontId="6" fillId="2" borderId="3" xfId="2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3" applyNumberFormat="1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top"/>
    </xf>
    <xf numFmtId="4" fontId="6" fillId="2" borderId="5" xfId="1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center" vertical="center" wrapText="1"/>
    </xf>
    <xf numFmtId="4" fontId="2" fillId="2" borderId="5" xfId="2" applyNumberFormat="1" applyFont="1" applyFill="1" applyBorder="1" applyAlignment="1" applyProtection="1">
      <alignment horizontal="center" vertical="center" wrapText="1"/>
      <protection locked="0"/>
    </xf>
    <xf numFmtId="171" fontId="2" fillId="2" borderId="3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NumberFormat="1" applyFont="1" applyFill="1" applyBorder="1" applyAlignment="1">
      <alignment horizontal="center" vertical="center"/>
    </xf>
    <xf numFmtId="4" fontId="2" fillId="2" borderId="3" xfId="3" applyNumberFormat="1" applyFont="1" applyFill="1" applyBorder="1" applyAlignment="1" applyProtection="1">
      <alignment horizontal="left" vertical="center" wrapText="1"/>
      <protection locked="0"/>
    </xf>
    <xf numFmtId="4" fontId="5" fillId="2" borderId="5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horizontal="center" vertical="center"/>
    </xf>
    <xf numFmtId="170" fontId="2" fillId="2" borderId="1" xfId="1" applyNumberFormat="1" applyFont="1" applyFill="1" applyBorder="1" applyAlignment="1">
      <alignment horizontal="center" vertical="center" wrapText="1"/>
    </xf>
    <xf numFmtId="4" fontId="2" fillId="2" borderId="5" xfId="3" applyNumberFormat="1" applyFont="1" applyFill="1" applyBorder="1" applyAlignment="1" applyProtection="1">
      <alignment horizontal="center" vertical="center" wrapText="1"/>
      <protection locked="0"/>
    </xf>
    <xf numFmtId="165" fontId="2" fillId="2" borderId="3" xfId="1" applyNumberFormat="1" applyFont="1" applyFill="1" applyBorder="1"/>
    <xf numFmtId="4" fontId="2" fillId="2" borderId="3" xfId="3" applyNumberFormat="1" applyFont="1" applyFill="1" applyBorder="1" applyAlignment="1">
      <alignment horizontal="left" vertical="center" wrapText="1"/>
    </xf>
    <xf numFmtId="171" fontId="5" fillId="2" borderId="3" xfId="4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 vertical="center" wrapText="1"/>
    </xf>
    <xf numFmtId="169" fontId="2" fillId="2" borderId="6" xfId="0" applyNumberFormat="1" applyFont="1" applyFill="1" applyBorder="1" applyAlignment="1">
      <alignment horizontal="center" vertical="center" wrapText="1"/>
    </xf>
    <xf numFmtId="175" fontId="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4" applyNumberFormat="1" applyFont="1" applyFill="1" applyBorder="1" applyAlignment="1" applyProtection="1">
      <alignment vertical="center" wrapText="1"/>
      <protection locked="0"/>
    </xf>
    <xf numFmtId="169" fontId="6" fillId="2" borderId="3" xfId="1" applyNumberFormat="1" applyFont="1" applyFill="1" applyBorder="1" applyAlignment="1">
      <alignment horizontal="center" vertical="center" wrapText="1"/>
    </xf>
    <xf numFmtId="4" fontId="7" fillId="2" borderId="3" xfId="4" applyNumberFormat="1" applyFont="1" applyFill="1" applyBorder="1" applyAlignment="1" applyProtection="1">
      <alignment vertical="center" wrapText="1"/>
      <protection locked="0"/>
    </xf>
    <xf numFmtId="165" fontId="2" fillId="2" borderId="3" xfId="6" applyNumberFormat="1" applyFont="1" applyFill="1" applyBorder="1" applyAlignment="1">
      <alignment horizontal="center" vertical="center"/>
    </xf>
    <xf numFmtId="165" fontId="2" fillId="2" borderId="3" xfId="3" applyNumberFormat="1" applyFont="1" applyFill="1" applyBorder="1" applyAlignment="1">
      <alignment horizontal="left" vertical="center" wrapText="1"/>
    </xf>
    <xf numFmtId="165" fontId="2" fillId="2" borderId="3" xfId="3" applyNumberFormat="1" applyFont="1" applyFill="1" applyBorder="1" applyAlignment="1">
      <alignment horizontal="center" vertical="center" wrapText="1"/>
    </xf>
    <xf numFmtId="165" fontId="2" fillId="2" borderId="3" xfId="3" applyNumberFormat="1" applyFont="1" applyFill="1" applyBorder="1" applyAlignment="1">
      <alignment horizontal="center" vertical="center"/>
    </xf>
    <xf numFmtId="165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165" fontId="5" fillId="2" borderId="3" xfId="2" applyNumberFormat="1" applyFont="1" applyFill="1" applyBorder="1" applyAlignment="1" applyProtection="1">
      <alignment horizontal="left" vertical="center" wrapText="1"/>
      <protection locked="0"/>
    </xf>
    <xf numFmtId="165" fontId="5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2" fillId="2" borderId="3" xfId="0" applyNumberFormat="1" applyFont="1" applyFill="1" applyBorder="1" applyAlignment="1">
      <alignment vertical="center" wrapText="1"/>
    </xf>
    <xf numFmtId="176" fontId="2" fillId="2" borderId="0" xfId="1" applyNumberFormat="1" applyFont="1" applyFill="1"/>
    <xf numFmtId="170" fontId="2" fillId="2" borderId="1" xfId="2" applyNumberFormat="1" applyFont="1" applyFill="1" applyBorder="1" applyAlignment="1" applyProtection="1">
      <alignment horizontal="center" vertical="center" wrapText="1"/>
    </xf>
    <xf numFmtId="170" fontId="2" fillId="2" borderId="5" xfId="2" applyNumberFormat="1" applyFont="1" applyFill="1" applyBorder="1" applyAlignment="1" applyProtection="1">
      <alignment horizontal="center" vertical="center" wrapText="1"/>
    </xf>
    <xf numFmtId="175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4" fontId="9" fillId="2" borderId="5" xfId="4" applyNumberFormat="1" applyFont="1" applyFill="1" applyBorder="1" applyAlignment="1" applyProtection="1">
      <alignment horizontal="center" vertical="center" wrapText="1"/>
      <protection locked="0"/>
    </xf>
    <xf numFmtId="169" fontId="9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5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3" xfId="2" applyNumberFormat="1" applyFont="1" applyFill="1" applyBorder="1" applyAlignment="1" applyProtection="1">
      <alignment vertical="center" wrapText="1"/>
      <protection locked="0"/>
    </xf>
    <xf numFmtId="169" fontId="2" fillId="2" borderId="3" xfId="4" applyNumberFormat="1" applyFont="1" applyFill="1" applyBorder="1" applyAlignment="1" applyProtection="1">
      <alignment horizontal="center" vertical="center" wrapText="1"/>
    </xf>
    <xf numFmtId="4" fontId="6" fillId="2" borderId="3" xfId="2" applyNumberFormat="1" applyFont="1" applyFill="1" applyBorder="1" applyAlignment="1" applyProtection="1">
      <alignment horizontal="left" vertical="center" wrapText="1"/>
      <protection locked="0"/>
    </xf>
    <xf numFmtId="170" fontId="6" fillId="2" borderId="1" xfId="1" applyNumberFormat="1" applyFont="1" applyFill="1" applyBorder="1" applyAlignment="1">
      <alignment horizontal="center" vertical="center" wrapText="1"/>
    </xf>
    <xf numFmtId="16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2" xfId="3" applyNumberFormat="1" applyFont="1" applyFill="1" applyBorder="1" applyAlignment="1">
      <alignment horizontal="center" wrapText="1"/>
    </xf>
    <xf numFmtId="4" fontId="6" fillId="2" borderId="7" xfId="3" applyNumberFormat="1" applyFont="1" applyFill="1" applyBorder="1" applyAlignment="1">
      <alignment horizontal="center" vertical="center"/>
    </xf>
    <xf numFmtId="4" fontId="7" fillId="2" borderId="8" xfId="2" applyNumberFormat="1" applyFont="1" applyFill="1" applyBorder="1" applyAlignment="1" applyProtection="1">
      <alignment horizontal="center" vertical="center" wrapText="1"/>
      <protection locked="0"/>
    </xf>
    <xf numFmtId="10" fontId="6" fillId="2" borderId="9" xfId="1" applyNumberFormat="1" applyFont="1" applyFill="1" applyBorder="1" applyAlignment="1">
      <alignment horizontal="center" vertical="center" wrapText="1"/>
    </xf>
    <xf numFmtId="169" fontId="7" fillId="2" borderId="9" xfId="2" applyNumberFormat="1" applyFont="1" applyFill="1" applyBorder="1" applyAlignment="1" applyProtection="1">
      <alignment horizontal="center" vertical="center" wrapText="1"/>
      <protection locked="0"/>
    </xf>
    <xf numFmtId="4" fontId="7" fillId="2" borderId="9" xfId="2" applyNumberFormat="1" applyFont="1" applyFill="1" applyBorder="1" applyAlignment="1" applyProtection="1">
      <alignment horizontal="center" vertical="center" wrapText="1"/>
      <protection locked="0"/>
    </xf>
    <xf numFmtId="4" fontId="7" fillId="2" borderId="10" xfId="2" applyNumberFormat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3" fontId="6" fillId="2" borderId="12" xfId="1" applyNumberFormat="1" applyFont="1" applyFill="1" applyBorder="1" applyAlignment="1">
      <alignment horizontal="center" vertical="center" wrapText="1"/>
    </xf>
    <xf numFmtId="1" fontId="6" fillId="2" borderId="12" xfId="1" applyNumberFormat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165" fontId="6" fillId="2" borderId="3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173" fontId="6" fillId="2" borderId="3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6" fillId="2" borderId="3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65" fontId="6" fillId="2" borderId="6" xfId="1" applyNumberFormat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165" fontId="6" fillId="2" borderId="20" xfId="1" applyNumberFormat="1" applyFont="1" applyFill="1" applyBorder="1" applyAlignment="1">
      <alignment horizontal="center" vertical="center" wrapText="1"/>
    </xf>
    <xf numFmtId="173" fontId="3" fillId="2" borderId="0" xfId="1" applyNumberFormat="1" applyFont="1" applyFill="1"/>
    <xf numFmtId="0" fontId="12" fillId="2" borderId="0" xfId="1" applyFont="1" applyFill="1" applyAlignment="1">
      <alignment horizontal="center" vertical="center" wrapText="1"/>
    </xf>
    <xf numFmtId="0" fontId="10" fillId="2" borderId="0" xfId="1" applyFont="1" applyFill="1" applyBorder="1" applyAlignment="1">
      <alignment horizontal="center"/>
    </xf>
    <xf numFmtId="165" fontId="11" fillId="2" borderId="0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0" fontId="10" fillId="2" borderId="0" xfId="1" applyFont="1" applyFill="1" applyAlignment="1">
      <alignment horizontal="center" wrapText="1"/>
    </xf>
    <xf numFmtId="165" fontId="11" fillId="2" borderId="0" xfId="1" applyNumberFormat="1" applyFont="1" applyFill="1" applyAlignment="1">
      <alignment horizontal="center" wrapText="1"/>
    </xf>
    <xf numFmtId="165" fontId="10" fillId="2" borderId="0" xfId="1" applyNumberFormat="1" applyFont="1" applyFill="1" applyAlignment="1">
      <alignment horizontal="center" wrapText="1"/>
    </xf>
    <xf numFmtId="0" fontId="10" fillId="2" borderId="0" xfId="1" applyFont="1" applyFill="1" applyBorder="1" applyAlignment="1">
      <alignment horizontal="center"/>
    </xf>
    <xf numFmtId="173" fontId="11" fillId="2" borderId="0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4" fontId="10" fillId="2" borderId="0" xfId="1" applyNumberFormat="1" applyFont="1" applyFill="1" applyBorder="1" applyAlignment="1">
      <alignment horizontal="center"/>
    </xf>
    <xf numFmtId="165" fontId="11" fillId="2" borderId="0" xfId="1" applyNumberFormat="1" applyFont="1" applyFill="1" applyBorder="1" applyAlignment="1">
      <alignment horizontal="center"/>
    </xf>
    <xf numFmtId="0" fontId="10" fillId="2" borderId="0" xfId="1" applyFont="1" applyFill="1" applyBorder="1" applyAlignment="1">
      <alignment horizontal="center" vertical="center" wrapText="1"/>
    </xf>
    <xf numFmtId="0" fontId="2" fillId="2" borderId="0" xfId="3" applyFont="1" applyFill="1" applyAlignment="1">
      <alignment horizontal="center" vertical="center"/>
    </xf>
    <xf numFmtId="165" fontId="3" fillId="2" borderId="0" xfId="3" applyNumberFormat="1" applyFont="1" applyFill="1" applyAlignment="1">
      <alignment horizontal="center" vertical="center"/>
    </xf>
    <xf numFmtId="165" fontId="2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165" fontId="2" fillId="2" borderId="0" xfId="3" applyNumberFormat="1" applyFont="1" applyFill="1" applyAlignment="1">
      <alignment horizontal="center" vertical="center"/>
    </xf>
    <xf numFmtId="4" fontId="2" fillId="2" borderId="0" xfId="3" applyNumberFormat="1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165" fontId="10" fillId="2" borderId="0" xfId="0" applyNumberFormat="1" applyFont="1" applyFill="1" applyAlignment="1">
      <alignment horizontal="center"/>
    </xf>
    <xf numFmtId="0" fontId="10" fillId="2" borderId="0" xfId="3" applyFont="1" applyFill="1" applyAlignment="1">
      <alignment horizontal="center" vertical="center"/>
    </xf>
    <xf numFmtId="165" fontId="10" fillId="2" borderId="0" xfId="3" applyNumberFormat="1" applyFont="1" applyFill="1" applyAlignment="1">
      <alignment horizontal="center" vertical="center"/>
    </xf>
    <xf numFmtId="4" fontId="2" fillId="2" borderId="3" xfId="3" applyNumberFormat="1" applyFont="1" applyFill="1" applyBorder="1" applyAlignment="1">
      <alignment horizontal="center" vertical="center"/>
    </xf>
    <xf numFmtId="0" fontId="5" fillId="2" borderId="3" xfId="2" applyNumberFormat="1" applyFont="1" applyFill="1" applyBorder="1" applyAlignment="1" applyProtection="1">
      <alignment horizontal="center" vertical="center" wrapText="1"/>
      <protection locked="0"/>
    </xf>
    <xf numFmtId="173" fontId="2" fillId="2" borderId="0" xfId="3" applyNumberFormat="1" applyFont="1" applyFill="1" applyAlignment="1">
      <alignment horizontal="center" vertical="center"/>
    </xf>
    <xf numFmtId="173" fontId="2" fillId="2" borderId="0" xfId="1" applyNumberFormat="1" applyFont="1" applyFill="1"/>
    <xf numFmtId="165" fontId="6" fillId="2" borderId="19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5"/>
    <cellStyle name="Обычный 3" xfId="1"/>
    <cellStyle name="Обычный 6" xfId="6"/>
    <cellStyle name="Обычный 7" xfId="3"/>
    <cellStyle name="Стиль 1" xfId="2"/>
    <cellStyle name="Стиль 1 2" xfId="4"/>
  </cellStyles>
  <dxfs count="179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C642"/>
  <sheetViews>
    <sheetView tabSelected="1" view="pageBreakPreview" zoomScale="60" zoomScaleNormal="60" workbookViewId="0">
      <selection activeCell="A7" sqref="A7"/>
    </sheetView>
  </sheetViews>
  <sheetFormatPr defaultColWidth="9" defaultRowHeight="15.75" outlineLevelRow="1" outlineLevelCol="1" x14ac:dyDescent="0.25"/>
  <cols>
    <col min="1" max="1" width="9.75" style="3" customWidth="1"/>
    <col min="2" max="2" width="58.375" style="3" customWidth="1"/>
    <col min="3" max="3" width="22.25" style="3" customWidth="1"/>
    <col min="4" max="4" width="17.75" style="3" customWidth="1"/>
    <col min="5" max="5" width="19.25" style="3" customWidth="1"/>
    <col min="6" max="6" width="16.5" style="3" customWidth="1"/>
    <col min="7" max="7" width="17.25" style="3" customWidth="1" outlineLevel="1"/>
    <col min="8" max="8" width="20.5" style="8" customWidth="1" outlineLevel="1"/>
    <col min="9" max="9" width="12.75" style="3" customWidth="1" outlineLevel="1"/>
    <col min="10" max="10" width="17.5" style="7" customWidth="1" outlineLevel="1"/>
    <col min="11" max="11" width="15.625" style="3" customWidth="1" outlineLevel="1"/>
    <col min="12" max="12" width="19.375" style="6" customWidth="1" outlineLevel="1"/>
    <col min="13" max="13" width="17.25" style="3" customWidth="1" outlineLevel="1"/>
    <col min="14" max="14" width="20.25" style="6" customWidth="1" outlineLevel="1"/>
    <col min="15" max="15" width="18.125" style="3" customWidth="1" outlineLevel="1"/>
    <col min="16" max="16" width="20.25" style="6" customWidth="1"/>
    <col min="17" max="17" width="15.75" style="3" customWidth="1"/>
    <col min="18" max="18" width="16.875" style="3" customWidth="1"/>
    <col min="19" max="19" width="20.625" style="3" customWidth="1"/>
    <col min="20" max="20" width="44.125" style="5" customWidth="1"/>
    <col min="21" max="21" width="10.5" style="1" customWidth="1"/>
    <col min="22" max="23" width="4.625" style="1" customWidth="1"/>
    <col min="24" max="26" width="17.5" style="1" customWidth="1"/>
    <col min="27" max="28" width="17.5" style="2" customWidth="1"/>
    <col min="29" max="16384" width="9" style="1"/>
  </cols>
  <sheetData>
    <row r="1" spans="1:28" x14ac:dyDescent="0.25">
      <c r="H1" s="3"/>
      <c r="J1" s="3"/>
      <c r="L1" s="3"/>
      <c r="N1" s="3"/>
      <c r="P1" s="3"/>
    </row>
    <row r="2" spans="1:28" ht="18.75" x14ac:dyDescent="0.25">
      <c r="H2" s="131"/>
      <c r="L2" s="9"/>
      <c r="T2" s="132" t="s">
        <v>1243</v>
      </c>
      <c r="AA2" s="1"/>
      <c r="AB2" s="1"/>
    </row>
    <row r="3" spans="1:28" ht="18.75" outlineLevel="1" x14ac:dyDescent="0.25">
      <c r="D3" s="9"/>
      <c r="E3" s="9"/>
      <c r="F3" s="9"/>
      <c r="G3" s="9"/>
      <c r="H3" s="9"/>
      <c r="I3" s="9"/>
      <c r="J3" s="9"/>
      <c r="K3" s="9"/>
      <c r="L3" s="9"/>
      <c r="M3" s="9"/>
      <c r="O3" s="9"/>
      <c r="P3" s="9"/>
      <c r="Q3" s="9"/>
      <c r="R3" s="9"/>
      <c r="S3" s="9"/>
      <c r="T3" s="132"/>
      <c r="AA3" s="1"/>
      <c r="AB3" s="1"/>
    </row>
    <row r="4" spans="1:28" ht="18.75" outlineLevel="1" x14ac:dyDescent="0.25">
      <c r="H4" s="131"/>
      <c r="L4" s="9"/>
      <c r="T4" s="132"/>
      <c r="AA4" s="1"/>
      <c r="AB4" s="1"/>
    </row>
    <row r="5" spans="1:28" s="114" customFormat="1" ht="18.75" outlineLevel="1" x14ac:dyDescent="0.3">
      <c r="A5" s="133" t="s">
        <v>1242</v>
      </c>
      <c r="B5" s="133"/>
      <c r="C5" s="133"/>
      <c r="D5" s="133"/>
      <c r="E5" s="133"/>
      <c r="F5" s="133"/>
      <c r="G5" s="133"/>
      <c r="H5" s="134"/>
      <c r="I5" s="133"/>
      <c r="J5" s="133"/>
      <c r="K5" s="133"/>
      <c r="L5" s="134"/>
      <c r="M5" s="133"/>
      <c r="N5" s="135"/>
      <c r="O5" s="133"/>
      <c r="P5" s="134"/>
      <c r="Q5" s="133"/>
      <c r="R5" s="133"/>
      <c r="S5" s="133"/>
      <c r="T5" s="133"/>
    </row>
    <row r="6" spans="1:28" s="114" customFormat="1" ht="18.75" customHeight="1" outlineLevel="1" x14ac:dyDescent="0.3">
      <c r="A6" s="136" t="s">
        <v>1244</v>
      </c>
      <c r="B6" s="136"/>
      <c r="C6" s="136"/>
      <c r="D6" s="136"/>
      <c r="E6" s="136"/>
      <c r="F6" s="136"/>
      <c r="G6" s="136"/>
      <c r="H6" s="137"/>
      <c r="I6" s="136"/>
      <c r="J6" s="136"/>
      <c r="K6" s="136"/>
      <c r="L6" s="137"/>
      <c r="M6" s="136"/>
      <c r="N6" s="138"/>
      <c r="O6" s="136"/>
      <c r="P6" s="137"/>
      <c r="Q6" s="136"/>
      <c r="R6" s="136"/>
      <c r="S6" s="136"/>
      <c r="T6" s="136"/>
    </row>
    <row r="7" spans="1:28" s="114" customFormat="1" ht="18.75" outlineLevel="1" x14ac:dyDescent="0.3">
      <c r="A7" s="139"/>
      <c r="B7" s="139"/>
      <c r="C7" s="139"/>
      <c r="D7" s="139"/>
      <c r="E7" s="139"/>
      <c r="F7" s="139"/>
      <c r="G7" s="139"/>
      <c r="H7" s="140"/>
      <c r="I7" s="139"/>
      <c r="J7" s="141"/>
      <c r="K7" s="139"/>
      <c r="L7" s="142"/>
      <c r="M7" s="139"/>
      <c r="N7" s="143"/>
      <c r="O7" s="139"/>
      <c r="P7" s="143"/>
      <c r="Q7" s="139"/>
      <c r="R7" s="139"/>
      <c r="S7" s="139"/>
      <c r="T7" s="144"/>
    </row>
    <row r="8" spans="1:28" s="114" customFormat="1" ht="25.5" customHeight="1" outlineLevel="1" x14ac:dyDescent="0.3">
      <c r="A8" s="136" t="s">
        <v>1241</v>
      </c>
      <c r="B8" s="136"/>
      <c r="C8" s="136"/>
      <c r="D8" s="136"/>
      <c r="E8" s="136"/>
      <c r="F8" s="136"/>
      <c r="G8" s="136"/>
      <c r="H8" s="137"/>
      <c r="I8" s="136"/>
      <c r="J8" s="136"/>
      <c r="K8" s="136"/>
      <c r="L8" s="137"/>
      <c r="M8" s="136"/>
      <c r="N8" s="138"/>
      <c r="O8" s="136"/>
      <c r="P8" s="137"/>
      <c r="Q8" s="136"/>
      <c r="R8" s="136"/>
      <c r="S8" s="136"/>
      <c r="T8" s="136"/>
    </row>
    <row r="9" spans="1:28" outlineLevel="1" x14ac:dyDescent="0.25">
      <c r="A9" s="145" t="s">
        <v>1240</v>
      </c>
      <c r="B9" s="145"/>
      <c r="C9" s="145"/>
      <c r="D9" s="145"/>
      <c r="E9" s="145"/>
      <c r="F9" s="145"/>
      <c r="G9" s="145"/>
      <c r="H9" s="146"/>
      <c r="I9" s="145"/>
      <c r="J9" s="145"/>
      <c r="K9" s="145"/>
      <c r="L9" s="146"/>
      <c r="M9" s="145"/>
      <c r="N9" s="147"/>
      <c r="O9" s="145"/>
      <c r="P9" s="146"/>
      <c r="Q9" s="145"/>
      <c r="R9" s="145"/>
      <c r="S9" s="145"/>
      <c r="T9" s="145"/>
      <c r="AA9" s="1"/>
      <c r="AB9" s="1"/>
    </row>
    <row r="10" spans="1:28" s="3" customFormat="1" outlineLevel="1" x14ac:dyDescent="0.25">
      <c r="A10" s="148"/>
      <c r="B10" s="148"/>
      <c r="C10" s="148"/>
      <c r="D10" s="148"/>
      <c r="E10" s="148"/>
      <c r="F10" s="148"/>
      <c r="G10" s="148"/>
      <c r="H10" s="158"/>
      <c r="I10" s="148"/>
      <c r="J10" s="149"/>
      <c r="K10" s="148"/>
      <c r="L10" s="150"/>
      <c r="M10" s="148"/>
      <c r="N10" s="149"/>
      <c r="O10" s="148"/>
      <c r="P10" s="149"/>
      <c r="Q10" s="148"/>
      <c r="R10" s="148"/>
      <c r="S10" s="148"/>
      <c r="T10" s="151"/>
    </row>
    <row r="11" spans="1:28" s="3" customFormat="1" ht="18.75" outlineLevel="1" x14ac:dyDescent="0.3">
      <c r="A11" s="152" t="s">
        <v>1239</v>
      </c>
      <c r="B11" s="152"/>
      <c r="C11" s="152"/>
      <c r="D11" s="152"/>
      <c r="E11" s="152"/>
      <c r="F11" s="152"/>
      <c r="G11" s="152"/>
      <c r="H11" s="153"/>
      <c r="I11" s="152"/>
      <c r="J11" s="152"/>
      <c r="K11" s="152"/>
      <c r="L11" s="153"/>
      <c r="M11" s="152"/>
      <c r="N11" s="153"/>
      <c r="O11" s="152"/>
      <c r="P11" s="153"/>
      <c r="Q11" s="152"/>
      <c r="R11" s="152"/>
      <c r="S11" s="152"/>
      <c r="T11" s="152"/>
    </row>
    <row r="12" spans="1:28" s="3" customFormat="1" outlineLevel="1" x14ac:dyDescent="0.25">
      <c r="D12" s="9"/>
      <c r="E12" s="9"/>
      <c r="F12" s="9"/>
      <c r="G12" s="9"/>
      <c r="H12" s="159"/>
      <c r="I12" s="9"/>
      <c r="J12" s="9"/>
      <c r="K12" s="9"/>
      <c r="L12" s="9"/>
      <c r="M12" s="9"/>
      <c r="N12" s="7"/>
      <c r="O12" s="7"/>
      <c r="P12" s="7"/>
      <c r="T12" s="5"/>
    </row>
    <row r="13" spans="1:28" s="3" customFormat="1" ht="18.75" outlineLevel="1" x14ac:dyDescent="0.25">
      <c r="A13" s="154" t="s">
        <v>1238</v>
      </c>
      <c r="B13" s="154"/>
      <c r="C13" s="154"/>
      <c r="D13" s="154"/>
      <c r="E13" s="154"/>
      <c r="F13" s="154"/>
      <c r="G13" s="154"/>
      <c r="H13" s="155"/>
      <c r="I13" s="154"/>
      <c r="J13" s="154"/>
      <c r="K13" s="154"/>
      <c r="L13" s="155"/>
      <c r="M13" s="154"/>
      <c r="N13" s="155"/>
      <c r="O13" s="154"/>
      <c r="P13" s="155"/>
      <c r="Q13" s="154"/>
      <c r="R13" s="154"/>
      <c r="S13" s="154"/>
      <c r="T13" s="154"/>
    </row>
    <row r="14" spans="1:28" s="3" customFormat="1" x14ac:dyDescent="0.25">
      <c r="A14" s="145" t="s">
        <v>1237</v>
      </c>
      <c r="B14" s="145"/>
      <c r="C14" s="145"/>
      <c r="D14" s="145"/>
      <c r="E14" s="145"/>
      <c r="F14" s="145"/>
      <c r="G14" s="145"/>
      <c r="H14" s="147"/>
      <c r="I14" s="145"/>
      <c r="J14" s="145"/>
      <c r="K14" s="145"/>
      <c r="L14" s="147"/>
      <c r="M14" s="145"/>
      <c r="N14" s="147"/>
      <c r="O14" s="145"/>
      <c r="P14" s="147"/>
      <c r="Q14" s="145"/>
      <c r="R14" s="145"/>
      <c r="S14" s="145"/>
      <c r="T14" s="145"/>
    </row>
    <row r="15" spans="1:28" s="3" customFormat="1" ht="19.5" thickBot="1" x14ac:dyDescent="0.35">
      <c r="A15" s="135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AA15" s="4"/>
      <c r="AB15" s="4"/>
    </row>
    <row r="16" spans="1:28" s="3" customFormat="1" ht="57.75" customHeight="1" x14ac:dyDescent="0.25">
      <c r="A16" s="122" t="s">
        <v>1236</v>
      </c>
      <c r="B16" s="124" t="s">
        <v>1235</v>
      </c>
      <c r="C16" s="124" t="s">
        <v>1234</v>
      </c>
      <c r="D16" s="116" t="s">
        <v>1233</v>
      </c>
      <c r="E16" s="116" t="s">
        <v>1232</v>
      </c>
      <c r="F16" s="116" t="s">
        <v>1231</v>
      </c>
      <c r="G16" s="128" t="s">
        <v>1230</v>
      </c>
      <c r="H16" s="130"/>
      <c r="I16" s="129"/>
      <c r="J16" s="129"/>
      <c r="K16" s="129"/>
      <c r="L16" s="130"/>
      <c r="M16" s="129"/>
      <c r="N16" s="130"/>
      <c r="O16" s="129"/>
      <c r="P16" s="160"/>
      <c r="Q16" s="116" t="s">
        <v>1229</v>
      </c>
      <c r="R16" s="124" t="s">
        <v>1228</v>
      </c>
      <c r="S16" s="124"/>
      <c r="T16" s="125" t="s">
        <v>1227</v>
      </c>
      <c r="AA16" s="4"/>
      <c r="AB16" s="4"/>
    </row>
    <row r="17" spans="1:28" s="3" customFormat="1" ht="34.5" customHeight="1" x14ac:dyDescent="0.25">
      <c r="A17" s="123"/>
      <c r="B17" s="119"/>
      <c r="C17" s="119"/>
      <c r="D17" s="117"/>
      <c r="E17" s="117"/>
      <c r="F17" s="117"/>
      <c r="G17" s="120" t="s">
        <v>1226</v>
      </c>
      <c r="H17" s="127"/>
      <c r="I17" s="120" t="s">
        <v>1225</v>
      </c>
      <c r="J17" s="121"/>
      <c r="K17" s="120" t="s">
        <v>1224</v>
      </c>
      <c r="L17" s="127"/>
      <c r="M17" s="120" t="s">
        <v>1223</v>
      </c>
      <c r="N17" s="127"/>
      <c r="O17" s="120" t="s">
        <v>1222</v>
      </c>
      <c r="P17" s="127"/>
      <c r="Q17" s="117"/>
      <c r="R17" s="119" t="s">
        <v>1221</v>
      </c>
      <c r="S17" s="119" t="s">
        <v>1220</v>
      </c>
      <c r="T17" s="126"/>
      <c r="AA17" s="4"/>
      <c r="AB17" s="4"/>
    </row>
    <row r="18" spans="1:28" s="3" customFormat="1" ht="126.75" customHeight="1" x14ac:dyDescent="0.25">
      <c r="A18" s="123"/>
      <c r="B18" s="119"/>
      <c r="C18" s="119"/>
      <c r="D18" s="118"/>
      <c r="E18" s="118"/>
      <c r="F18" s="118"/>
      <c r="G18" s="115" t="s">
        <v>1219</v>
      </c>
      <c r="H18" s="113" t="s">
        <v>1218</v>
      </c>
      <c r="I18" s="115" t="s">
        <v>1219</v>
      </c>
      <c r="J18" s="111" t="s">
        <v>1218</v>
      </c>
      <c r="K18" s="115" t="s">
        <v>1219</v>
      </c>
      <c r="L18" s="112" t="s">
        <v>1218</v>
      </c>
      <c r="M18" s="115" t="s">
        <v>1219</v>
      </c>
      <c r="N18" s="111" t="s">
        <v>1218</v>
      </c>
      <c r="O18" s="115" t="s">
        <v>1219</v>
      </c>
      <c r="P18" s="111" t="s">
        <v>1218</v>
      </c>
      <c r="Q18" s="118"/>
      <c r="R18" s="119"/>
      <c r="S18" s="119"/>
      <c r="T18" s="126"/>
      <c r="AA18" s="4"/>
      <c r="AB18" s="4"/>
    </row>
    <row r="19" spans="1:28" s="3" customFormat="1" ht="26.25" customHeight="1" thickBot="1" x14ac:dyDescent="0.3">
      <c r="A19" s="110">
        <v>1</v>
      </c>
      <c r="B19" s="107">
        <f t="shared" ref="B19:G19" si="0">A19+1</f>
        <v>2</v>
      </c>
      <c r="C19" s="107">
        <f t="shared" si="0"/>
        <v>3</v>
      </c>
      <c r="D19" s="107">
        <f t="shared" si="0"/>
        <v>4</v>
      </c>
      <c r="E19" s="107">
        <f t="shared" si="0"/>
        <v>5</v>
      </c>
      <c r="F19" s="107">
        <f t="shared" si="0"/>
        <v>6</v>
      </c>
      <c r="G19" s="109">
        <f t="shared" si="0"/>
        <v>7</v>
      </c>
      <c r="H19" s="108">
        <v>8</v>
      </c>
      <c r="I19" s="109">
        <f t="shared" ref="I19:T19" si="1">H19+1</f>
        <v>9</v>
      </c>
      <c r="J19" s="109">
        <f t="shared" si="1"/>
        <v>10</v>
      </c>
      <c r="K19" s="109">
        <f t="shared" si="1"/>
        <v>11</v>
      </c>
      <c r="L19" s="109">
        <f t="shared" si="1"/>
        <v>12</v>
      </c>
      <c r="M19" s="109">
        <f t="shared" si="1"/>
        <v>13</v>
      </c>
      <c r="N19" s="108">
        <f t="shared" si="1"/>
        <v>14</v>
      </c>
      <c r="O19" s="109">
        <f t="shared" si="1"/>
        <v>15</v>
      </c>
      <c r="P19" s="108">
        <f t="shared" si="1"/>
        <v>16</v>
      </c>
      <c r="Q19" s="107">
        <f t="shared" si="1"/>
        <v>17</v>
      </c>
      <c r="R19" s="107">
        <f t="shared" si="1"/>
        <v>18</v>
      </c>
      <c r="S19" s="107">
        <f t="shared" si="1"/>
        <v>19</v>
      </c>
      <c r="T19" s="106">
        <f t="shared" si="1"/>
        <v>20</v>
      </c>
      <c r="AA19" s="4"/>
      <c r="AB19" s="4"/>
    </row>
    <row r="20" spans="1:28" s="3" customFormat="1" ht="16.5" thickBot="1" x14ac:dyDescent="0.3">
      <c r="A20" s="105" t="s">
        <v>1217</v>
      </c>
      <c r="B20" s="104" t="s">
        <v>1216</v>
      </c>
      <c r="C20" s="104" t="s">
        <v>11</v>
      </c>
      <c r="D20" s="103">
        <f t="shared" ref="D20:R20" si="2">D21+D22+D23+D24+D25+D26+D27</f>
        <v>46591.549045463486</v>
      </c>
      <c r="E20" s="103">
        <f t="shared" si="2"/>
        <v>9581.8536740500003</v>
      </c>
      <c r="F20" s="103">
        <f t="shared" si="2"/>
        <v>35540.157345043488</v>
      </c>
      <c r="G20" s="103">
        <f t="shared" si="2"/>
        <v>6420.115228537089</v>
      </c>
      <c r="H20" s="103">
        <f t="shared" si="2"/>
        <v>3089.8511140300006</v>
      </c>
      <c r="I20" s="103">
        <f t="shared" si="2"/>
        <v>378.0900485915098</v>
      </c>
      <c r="J20" s="103">
        <f t="shared" si="2"/>
        <v>680.82326373000001</v>
      </c>
      <c r="K20" s="103">
        <f t="shared" si="2"/>
        <v>830.62930415418998</v>
      </c>
      <c r="L20" s="103">
        <f t="shared" si="2"/>
        <v>1181.2460784800001</v>
      </c>
      <c r="M20" s="103">
        <f t="shared" si="2"/>
        <v>1557.89212040346</v>
      </c>
      <c r="N20" s="103">
        <f t="shared" si="2"/>
        <v>1227.7817718199999</v>
      </c>
      <c r="O20" s="103">
        <f t="shared" si="2"/>
        <v>3653.5037553859402</v>
      </c>
      <c r="P20" s="103">
        <f t="shared" si="2"/>
        <v>0</v>
      </c>
      <c r="Q20" s="103">
        <f t="shared" si="2"/>
        <v>32638.741879613492</v>
      </c>
      <c r="R20" s="103">
        <f t="shared" si="2"/>
        <v>134.80399228084013</v>
      </c>
      <c r="S20" s="102">
        <f>R20/(I20+K20+M20)</f>
        <v>4.8725306603097526E-2</v>
      </c>
      <c r="T20" s="101" t="s">
        <v>0</v>
      </c>
      <c r="U20" s="9"/>
      <c r="V20" s="12"/>
      <c r="X20" s="10"/>
    </row>
    <row r="21" spans="1:28" s="3" customFormat="1" x14ac:dyDescent="0.25">
      <c r="A21" s="100" t="s">
        <v>1215</v>
      </c>
      <c r="B21" s="99" t="s">
        <v>1214</v>
      </c>
      <c r="C21" s="98" t="s">
        <v>11</v>
      </c>
      <c r="D21" s="97">
        <f t="shared" ref="D21:R21" si="3">SUM(D29,D209,D296,D510,D593)</f>
        <v>4468.4888230320812</v>
      </c>
      <c r="E21" s="97">
        <f t="shared" si="3"/>
        <v>906.84002366999994</v>
      </c>
      <c r="F21" s="97">
        <f t="shared" si="3"/>
        <v>2092.1107729920814</v>
      </c>
      <c r="G21" s="97">
        <f t="shared" si="3"/>
        <v>477.44566032808137</v>
      </c>
      <c r="H21" s="97">
        <f t="shared" si="3"/>
        <v>336.53497550999992</v>
      </c>
      <c r="I21" s="97">
        <f t="shared" si="3"/>
        <v>119.15007057014918</v>
      </c>
      <c r="J21" s="97">
        <f t="shared" si="3"/>
        <v>70.239376000000007</v>
      </c>
      <c r="K21" s="97">
        <f t="shared" si="3"/>
        <v>20.868000000000002</v>
      </c>
      <c r="L21" s="97">
        <f t="shared" si="3"/>
        <v>119.89594231999999</v>
      </c>
      <c r="M21" s="97">
        <f t="shared" si="3"/>
        <v>134.96322640592999</v>
      </c>
      <c r="N21" s="97">
        <f t="shared" si="3"/>
        <v>146.39965718999997</v>
      </c>
      <c r="O21" s="97">
        <f t="shared" si="3"/>
        <v>202.46436334999999</v>
      </c>
      <c r="P21" s="97">
        <f t="shared" si="3"/>
        <v>0</v>
      </c>
      <c r="Q21" s="97">
        <f t="shared" si="3"/>
        <v>1789.6677287420814</v>
      </c>
      <c r="R21" s="97">
        <f t="shared" si="3"/>
        <v>27.461747273920793</v>
      </c>
      <c r="S21" s="27">
        <f>R21/(I21+K21+M21)</f>
        <v>9.9867691279053455E-2</v>
      </c>
      <c r="T21" s="96" t="s">
        <v>0</v>
      </c>
      <c r="U21" s="9"/>
      <c r="V21" s="12"/>
      <c r="X21" s="10"/>
    </row>
    <row r="22" spans="1:28" s="3" customFormat="1" x14ac:dyDescent="0.25">
      <c r="A22" s="35" t="s">
        <v>1213</v>
      </c>
      <c r="B22" s="34" t="s">
        <v>1212</v>
      </c>
      <c r="C22" s="33" t="s">
        <v>11</v>
      </c>
      <c r="D22" s="28">
        <f t="shared" ref="D22:R22" si="4">SUM(D53,D228,D331,D527,D608)</f>
        <v>6720.097961849815</v>
      </c>
      <c r="E22" s="28">
        <f t="shared" si="4"/>
        <v>992.61550876999991</v>
      </c>
      <c r="F22" s="28">
        <f t="shared" si="4"/>
        <v>5727.482453079816</v>
      </c>
      <c r="G22" s="28">
        <f t="shared" si="4"/>
        <v>1486.9540451717103</v>
      </c>
      <c r="H22" s="28">
        <f t="shared" si="4"/>
        <v>463.1516559800001</v>
      </c>
      <c r="I22" s="28">
        <f t="shared" si="4"/>
        <v>61.585727322629992</v>
      </c>
      <c r="J22" s="28">
        <f t="shared" si="4"/>
        <v>95.85686303</v>
      </c>
      <c r="K22" s="28">
        <f t="shared" si="4"/>
        <v>269.29961256296997</v>
      </c>
      <c r="L22" s="28">
        <f t="shared" si="4"/>
        <v>140.81487361000001</v>
      </c>
      <c r="M22" s="28">
        <f t="shared" si="4"/>
        <v>526.80308968810994</v>
      </c>
      <c r="N22" s="28">
        <f t="shared" si="4"/>
        <v>226.47991934000004</v>
      </c>
      <c r="O22" s="28">
        <f t="shared" si="4"/>
        <v>629.26561559800018</v>
      </c>
      <c r="P22" s="28">
        <f t="shared" si="4"/>
        <v>0</v>
      </c>
      <c r="Q22" s="28">
        <f t="shared" si="4"/>
        <v>5299.127707089815</v>
      </c>
      <c r="R22" s="28">
        <f t="shared" si="4"/>
        <v>-429.3336835837099</v>
      </c>
      <c r="S22" s="27">
        <f>R22/(I22+K22+M22)</f>
        <v>-0.50057068368882884</v>
      </c>
      <c r="T22" s="26" t="s">
        <v>0</v>
      </c>
      <c r="U22" s="9"/>
      <c r="V22" s="12"/>
      <c r="X22" s="10"/>
    </row>
    <row r="23" spans="1:28" s="3" customFormat="1" x14ac:dyDescent="0.25">
      <c r="A23" s="35" t="s">
        <v>1211</v>
      </c>
      <c r="B23" s="34" t="s">
        <v>1210</v>
      </c>
      <c r="C23" s="33" t="s">
        <v>11</v>
      </c>
      <c r="D23" s="28">
        <f t="shared" ref="D23:R23" si="5">SUM(D76,D243,D344,D545,D615)</f>
        <v>15860.261710989305</v>
      </c>
      <c r="E23" s="28">
        <f t="shared" si="5"/>
        <v>4065.5058335799995</v>
      </c>
      <c r="F23" s="28">
        <f t="shared" si="5"/>
        <v>11794.755877409307</v>
      </c>
      <c r="G23" s="28">
        <f t="shared" si="5"/>
        <v>2430.7247579815103</v>
      </c>
      <c r="H23" s="28">
        <f t="shared" si="5"/>
        <v>1171.0048908900003</v>
      </c>
      <c r="I23" s="28">
        <f t="shared" si="5"/>
        <v>144.06721480593066</v>
      </c>
      <c r="J23" s="28">
        <f t="shared" si="5"/>
        <v>343.23423221000002</v>
      </c>
      <c r="K23" s="28">
        <f t="shared" si="5"/>
        <v>212.30185802202001</v>
      </c>
      <c r="L23" s="28">
        <f t="shared" si="5"/>
        <v>472.03254518</v>
      </c>
      <c r="M23" s="28">
        <f t="shared" si="5"/>
        <v>685.75960155736016</v>
      </c>
      <c r="N23" s="28">
        <f t="shared" si="5"/>
        <v>355.7381135</v>
      </c>
      <c r="O23" s="28">
        <f t="shared" si="5"/>
        <v>1388.5960835942099</v>
      </c>
      <c r="P23" s="28">
        <f t="shared" si="5"/>
        <v>0</v>
      </c>
      <c r="Q23" s="28">
        <f t="shared" si="5"/>
        <v>10702.09751659931</v>
      </c>
      <c r="R23" s="28">
        <f t="shared" si="5"/>
        <v>50.529686424689359</v>
      </c>
      <c r="S23" s="27">
        <f>R23/(I23+K23+M23)</f>
        <v>4.8486993656991335E-2</v>
      </c>
      <c r="T23" s="26" t="s">
        <v>0</v>
      </c>
      <c r="U23" s="9"/>
      <c r="V23" s="12"/>
      <c r="X23" s="10"/>
    </row>
    <row r="24" spans="1:28" s="3" customFormat="1" ht="31.5" x14ac:dyDescent="0.25">
      <c r="A24" s="35" t="s">
        <v>1209</v>
      </c>
      <c r="B24" s="34" t="s">
        <v>1208</v>
      </c>
      <c r="C24" s="33" t="s">
        <v>11</v>
      </c>
      <c r="D24" s="28">
        <f t="shared" ref="D24:R24" si="6">SUM(D134,D264,D420,D565,D623)</f>
        <v>0</v>
      </c>
      <c r="E24" s="28">
        <f t="shared" si="6"/>
        <v>0</v>
      </c>
      <c r="F24" s="28">
        <f t="shared" si="6"/>
        <v>0</v>
      </c>
      <c r="G24" s="28">
        <f t="shared" si="6"/>
        <v>0</v>
      </c>
      <c r="H24" s="28">
        <f t="shared" si="6"/>
        <v>0</v>
      </c>
      <c r="I24" s="28">
        <f t="shared" si="6"/>
        <v>0</v>
      </c>
      <c r="J24" s="28">
        <f t="shared" si="6"/>
        <v>0</v>
      </c>
      <c r="K24" s="28">
        <f t="shared" si="6"/>
        <v>0</v>
      </c>
      <c r="L24" s="28">
        <f t="shared" si="6"/>
        <v>0</v>
      </c>
      <c r="M24" s="28">
        <f t="shared" si="6"/>
        <v>0</v>
      </c>
      <c r="N24" s="28">
        <f t="shared" si="6"/>
        <v>0</v>
      </c>
      <c r="O24" s="28">
        <f t="shared" si="6"/>
        <v>0</v>
      </c>
      <c r="P24" s="28">
        <f t="shared" si="6"/>
        <v>0</v>
      </c>
      <c r="Q24" s="28">
        <f t="shared" si="6"/>
        <v>0</v>
      </c>
      <c r="R24" s="28">
        <f t="shared" si="6"/>
        <v>0</v>
      </c>
      <c r="S24" s="27">
        <v>0</v>
      </c>
      <c r="T24" s="26" t="s">
        <v>0</v>
      </c>
      <c r="U24" s="9"/>
      <c r="V24" s="12"/>
      <c r="X24" s="10"/>
    </row>
    <row r="25" spans="1:28" s="3" customFormat="1" x14ac:dyDescent="0.25">
      <c r="A25" s="35" t="s">
        <v>1207</v>
      </c>
      <c r="B25" s="34" t="s">
        <v>1206</v>
      </c>
      <c r="C25" s="33" t="s">
        <v>11</v>
      </c>
      <c r="D25" s="28">
        <f t="shared" ref="D25:R25" si="7">SUM(D142,D271,D427,D572,D630)</f>
        <v>17761.061885944771</v>
      </c>
      <c r="E25" s="28">
        <f t="shared" si="7"/>
        <v>3042.5740536200001</v>
      </c>
      <c r="F25" s="28">
        <f t="shared" si="7"/>
        <v>14718.48783232477</v>
      </c>
      <c r="G25" s="28">
        <f t="shared" si="7"/>
        <v>1322.0448770579999</v>
      </c>
      <c r="H25" s="28">
        <f t="shared" si="7"/>
        <v>591.43385881999995</v>
      </c>
      <c r="I25" s="28">
        <f t="shared" si="7"/>
        <v>40.972637739999996</v>
      </c>
      <c r="J25" s="28">
        <f t="shared" si="7"/>
        <v>123.30851363999999</v>
      </c>
      <c r="K25" s="28">
        <f t="shared" si="7"/>
        <v>109.072930548</v>
      </c>
      <c r="L25" s="28">
        <f t="shared" si="7"/>
        <v>238.22485933999999</v>
      </c>
      <c r="M25" s="28">
        <f t="shared" si="7"/>
        <v>111.80955984199997</v>
      </c>
      <c r="N25" s="28">
        <f t="shared" si="7"/>
        <v>229.90048583999999</v>
      </c>
      <c r="O25" s="28">
        <f t="shared" si="7"/>
        <v>1060.18974893</v>
      </c>
      <c r="P25" s="28">
        <f t="shared" si="7"/>
        <v>0</v>
      </c>
      <c r="Q25" s="28">
        <f t="shared" si="7"/>
        <v>14127.053973504771</v>
      </c>
      <c r="R25" s="28">
        <f t="shared" si="7"/>
        <v>329.57873068999987</v>
      </c>
      <c r="S25" s="27">
        <f>R25/(I25+K25+M25)</f>
        <v>1.2586300411362501</v>
      </c>
      <c r="T25" s="26" t="s">
        <v>0</v>
      </c>
      <c r="U25" s="9"/>
      <c r="V25" s="12"/>
      <c r="X25" s="10"/>
    </row>
    <row r="26" spans="1:28" s="3" customFormat="1" ht="31.5" x14ac:dyDescent="0.25">
      <c r="A26" s="35" t="s">
        <v>1205</v>
      </c>
      <c r="B26" s="34" t="s">
        <v>1204</v>
      </c>
      <c r="C26" s="33" t="s">
        <v>11</v>
      </c>
      <c r="D26" s="28">
        <f t="shared" ref="D26:R26" si="8">D156+D277+D434+D578+D635</f>
        <v>0</v>
      </c>
      <c r="E26" s="28">
        <f t="shared" si="8"/>
        <v>0</v>
      </c>
      <c r="F26" s="28">
        <f t="shared" si="8"/>
        <v>0</v>
      </c>
      <c r="G26" s="28">
        <f t="shared" si="8"/>
        <v>0</v>
      </c>
      <c r="H26" s="28">
        <f t="shared" si="8"/>
        <v>0</v>
      </c>
      <c r="I26" s="28">
        <f t="shared" si="8"/>
        <v>0</v>
      </c>
      <c r="J26" s="28">
        <f t="shared" si="8"/>
        <v>0</v>
      </c>
      <c r="K26" s="28">
        <f t="shared" si="8"/>
        <v>0</v>
      </c>
      <c r="L26" s="28">
        <f t="shared" si="8"/>
        <v>0</v>
      </c>
      <c r="M26" s="28">
        <f t="shared" si="8"/>
        <v>0</v>
      </c>
      <c r="N26" s="28">
        <f t="shared" si="8"/>
        <v>0</v>
      </c>
      <c r="O26" s="28">
        <f t="shared" si="8"/>
        <v>0</v>
      </c>
      <c r="P26" s="28">
        <f t="shared" si="8"/>
        <v>0</v>
      </c>
      <c r="Q26" s="28">
        <f t="shared" si="8"/>
        <v>0</v>
      </c>
      <c r="R26" s="28">
        <f t="shared" si="8"/>
        <v>0</v>
      </c>
      <c r="S26" s="27">
        <v>0</v>
      </c>
      <c r="T26" s="26" t="s">
        <v>0</v>
      </c>
      <c r="U26" s="9"/>
      <c r="V26" s="12"/>
      <c r="X26" s="10"/>
    </row>
    <row r="27" spans="1:28" s="3" customFormat="1" x14ac:dyDescent="0.25">
      <c r="A27" s="35" t="s">
        <v>1203</v>
      </c>
      <c r="B27" s="34" t="s">
        <v>1202</v>
      </c>
      <c r="C27" s="33" t="s">
        <v>11</v>
      </c>
      <c r="D27" s="28">
        <f t="shared" ref="D27:R27" si="9">SUM(D157,D278,D435,D579,D636)</f>
        <v>1781.638663647517</v>
      </c>
      <c r="E27" s="28">
        <f t="shared" si="9"/>
        <v>574.31825441000001</v>
      </c>
      <c r="F27" s="28">
        <f t="shared" si="9"/>
        <v>1207.3204092375172</v>
      </c>
      <c r="G27" s="28">
        <f t="shared" si="9"/>
        <v>702.94588799778762</v>
      </c>
      <c r="H27" s="28">
        <f t="shared" si="9"/>
        <v>527.72573283000008</v>
      </c>
      <c r="I27" s="28">
        <f t="shared" si="9"/>
        <v>12.314398152799999</v>
      </c>
      <c r="J27" s="28">
        <f t="shared" si="9"/>
        <v>48.184278849999998</v>
      </c>
      <c r="K27" s="28">
        <f t="shared" si="9"/>
        <v>219.08690302119999</v>
      </c>
      <c r="L27" s="28">
        <f t="shared" si="9"/>
        <v>210.27785802999998</v>
      </c>
      <c r="M27" s="28">
        <f t="shared" si="9"/>
        <v>98.556642910060006</v>
      </c>
      <c r="N27" s="28">
        <f t="shared" si="9"/>
        <v>269.26359595000002</v>
      </c>
      <c r="O27" s="28">
        <f t="shared" si="9"/>
        <v>372.98794391373008</v>
      </c>
      <c r="P27" s="28">
        <f t="shared" si="9"/>
        <v>0</v>
      </c>
      <c r="Q27" s="28">
        <f t="shared" si="9"/>
        <v>720.79495367751724</v>
      </c>
      <c r="R27" s="28">
        <f t="shared" si="9"/>
        <v>156.56751147594002</v>
      </c>
      <c r="S27" s="27">
        <f>R27/(I27+K27+M27)</f>
        <v>0.47450747673483179</v>
      </c>
      <c r="T27" s="26" t="s">
        <v>0</v>
      </c>
      <c r="U27" s="9"/>
      <c r="V27" s="12"/>
      <c r="X27" s="10"/>
    </row>
    <row r="28" spans="1:28" s="3" customFormat="1" x14ac:dyDescent="0.25">
      <c r="A28" s="35" t="s">
        <v>1201</v>
      </c>
      <c r="B28" s="37" t="s">
        <v>1200</v>
      </c>
      <c r="C28" s="33" t="s">
        <v>11</v>
      </c>
      <c r="D28" s="28">
        <f t="shared" ref="D28:R28" si="10">SUM(D29,D53,D76,D134,D142,D156,D157)</f>
        <v>20171.042933998426</v>
      </c>
      <c r="E28" s="28">
        <f t="shared" si="10"/>
        <v>3813.1350801599997</v>
      </c>
      <c r="F28" s="28">
        <f t="shared" si="10"/>
        <v>14888.369827468427</v>
      </c>
      <c r="G28" s="28">
        <f t="shared" si="10"/>
        <v>3563.1075151064128</v>
      </c>
      <c r="H28" s="28">
        <f t="shared" si="10"/>
        <v>1873.2922645900001</v>
      </c>
      <c r="I28" s="28">
        <f t="shared" si="10"/>
        <v>131.27369802522998</v>
      </c>
      <c r="J28" s="28">
        <f t="shared" si="10"/>
        <v>386.27647891999999</v>
      </c>
      <c r="K28" s="28">
        <f t="shared" si="10"/>
        <v>554.58172964577</v>
      </c>
      <c r="L28" s="28">
        <f t="shared" si="10"/>
        <v>778.56646220999994</v>
      </c>
      <c r="M28" s="28">
        <f t="shared" si="10"/>
        <v>910.14466681970998</v>
      </c>
      <c r="N28" s="28">
        <f t="shared" si="10"/>
        <v>708.44932345999996</v>
      </c>
      <c r="O28" s="28">
        <f t="shared" si="10"/>
        <v>1967.10742061571</v>
      </c>
      <c r="P28" s="28">
        <f t="shared" si="10"/>
        <v>0</v>
      </c>
      <c r="Q28" s="28">
        <f t="shared" si="10"/>
        <v>13137.550537958425</v>
      </c>
      <c r="R28" s="28">
        <f t="shared" si="10"/>
        <v>154.81919501928994</v>
      </c>
      <c r="S28" s="27">
        <f>R28/(I28+K28+M28)</f>
        <v>9.7004502414326843E-2</v>
      </c>
      <c r="T28" s="26" t="s">
        <v>0</v>
      </c>
      <c r="U28" s="9"/>
      <c r="V28" s="12"/>
      <c r="X28" s="10"/>
    </row>
    <row r="29" spans="1:28" s="3" customFormat="1" ht="31.5" x14ac:dyDescent="0.25">
      <c r="A29" s="35" t="s">
        <v>1199</v>
      </c>
      <c r="B29" s="37" t="s">
        <v>97</v>
      </c>
      <c r="C29" s="33" t="s">
        <v>11</v>
      </c>
      <c r="D29" s="28">
        <f t="shared" ref="D29:R29" si="11">D30+D33+D36+D52</f>
        <v>2416.4635460119998</v>
      </c>
      <c r="E29" s="28">
        <f t="shared" si="11"/>
        <v>0</v>
      </c>
      <c r="F29" s="28">
        <f t="shared" si="11"/>
        <v>946.92551964199993</v>
      </c>
      <c r="G29" s="28">
        <f t="shared" si="11"/>
        <v>260.04337270999997</v>
      </c>
      <c r="H29" s="28">
        <f t="shared" si="11"/>
        <v>133.31882095999998</v>
      </c>
      <c r="I29" s="28">
        <f t="shared" si="11"/>
        <v>27.975272000000004</v>
      </c>
      <c r="J29" s="28">
        <f t="shared" si="11"/>
        <v>25.75264452</v>
      </c>
      <c r="K29" s="28">
        <f t="shared" si="11"/>
        <v>12.775</v>
      </c>
      <c r="L29" s="28">
        <f t="shared" si="11"/>
        <v>50.01138899</v>
      </c>
      <c r="M29" s="28">
        <f t="shared" si="11"/>
        <v>81.436599999999999</v>
      </c>
      <c r="N29" s="28">
        <f t="shared" si="11"/>
        <v>57.554787449999992</v>
      </c>
      <c r="O29" s="28">
        <f t="shared" si="11"/>
        <v>137.85650071000001</v>
      </c>
      <c r="P29" s="28">
        <f t="shared" si="11"/>
        <v>0</v>
      </c>
      <c r="Q29" s="28">
        <f t="shared" si="11"/>
        <v>819.43304401199987</v>
      </c>
      <c r="R29" s="28">
        <f t="shared" si="11"/>
        <v>5.3056036299999754</v>
      </c>
      <c r="S29" s="27">
        <f>R29/(I29+K29+M29)</f>
        <v>4.3422043163523945E-2</v>
      </c>
      <c r="T29" s="26" t="s">
        <v>0</v>
      </c>
      <c r="U29" s="9"/>
      <c r="V29" s="12"/>
      <c r="X29" s="10"/>
    </row>
    <row r="30" spans="1:28" s="3" customFormat="1" ht="63" x14ac:dyDescent="0.25">
      <c r="A30" s="35" t="s">
        <v>1198</v>
      </c>
      <c r="B30" s="37" t="s">
        <v>95</v>
      </c>
      <c r="C30" s="33" t="s">
        <v>11</v>
      </c>
      <c r="D30" s="28">
        <f t="shared" ref="D30:R30" si="12">D31</f>
        <v>0</v>
      </c>
      <c r="E30" s="28">
        <f t="shared" si="12"/>
        <v>0</v>
      </c>
      <c r="F30" s="28">
        <f t="shared" si="12"/>
        <v>0</v>
      </c>
      <c r="G30" s="28">
        <f t="shared" si="12"/>
        <v>0</v>
      </c>
      <c r="H30" s="28">
        <f t="shared" si="12"/>
        <v>0</v>
      </c>
      <c r="I30" s="28">
        <f t="shared" si="12"/>
        <v>0</v>
      </c>
      <c r="J30" s="28">
        <f t="shared" si="12"/>
        <v>0</v>
      </c>
      <c r="K30" s="28">
        <f t="shared" si="12"/>
        <v>0</v>
      </c>
      <c r="L30" s="28">
        <f t="shared" si="12"/>
        <v>0</v>
      </c>
      <c r="M30" s="28">
        <f t="shared" si="12"/>
        <v>0</v>
      </c>
      <c r="N30" s="28">
        <f t="shared" si="12"/>
        <v>0</v>
      </c>
      <c r="O30" s="28">
        <f t="shared" si="12"/>
        <v>0</v>
      </c>
      <c r="P30" s="28">
        <f t="shared" si="12"/>
        <v>0</v>
      </c>
      <c r="Q30" s="28">
        <f t="shared" si="12"/>
        <v>0</v>
      </c>
      <c r="R30" s="28">
        <f t="shared" si="12"/>
        <v>0</v>
      </c>
      <c r="S30" s="27">
        <v>0</v>
      </c>
      <c r="T30" s="26" t="s">
        <v>0</v>
      </c>
      <c r="U30" s="9"/>
      <c r="V30" s="12"/>
      <c r="X30" s="10"/>
    </row>
    <row r="31" spans="1:28" s="3" customFormat="1" x14ac:dyDescent="0.25">
      <c r="A31" s="35" t="s">
        <v>1197</v>
      </c>
      <c r="B31" s="37" t="s">
        <v>1196</v>
      </c>
      <c r="C31" s="33" t="s">
        <v>11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7">
        <v>0</v>
      </c>
      <c r="T31" s="26" t="s">
        <v>0</v>
      </c>
      <c r="U31" s="9"/>
      <c r="V31" s="12"/>
      <c r="X31" s="10"/>
    </row>
    <row r="32" spans="1:28" s="3" customFormat="1" ht="31.5" x14ac:dyDescent="0.25">
      <c r="A32" s="35" t="s">
        <v>1195</v>
      </c>
      <c r="B32" s="95" t="s">
        <v>87</v>
      </c>
      <c r="C32" s="29" t="s">
        <v>11</v>
      </c>
      <c r="D32" s="36">
        <v>0</v>
      </c>
      <c r="E32" s="76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7">
        <v>0</v>
      </c>
      <c r="T32" s="26" t="s">
        <v>0</v>
      </c>
      <c r="U32" s="9"/>
      <c r="V32" s="12"/>
      <c r="X32" s="10"/>
    </row>
    <row r="33" spans="1:24" s="3" customFormat="1" ht="47.25" x14ac:dyDescent="0.25">
      <c r="A33" s="35" t="s">
        <v>1194</v>
      </c>
      <c r="B33" s="37" t="s">
        <v>91</v>
      </c>
      <c r="C33" s="33" t="s">
        <v>11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7">
        <v>0</v>
      </c>
      <c r="T33" s="26" t="s">
        <v>0</v>
      </c>
      <c r="U33" s="9"/>
      <c r="V33" s="12"/>
      <c r="X33" s="10"/>
    </row>
    <row r="34" spans="1:24" s="3" customFormat="1" ht="31.5" x14ac:dyDescent="0.25">
      <c r="A34" s="35" t="s">
        <v>1193</v>
      </c>
      <c r="B34" s="37" t="s">
        <v>87</v>
      </c>
      <c r="C34" s="33" t="s">
        <v>11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7">
        <v>0</v>
      </c>
      <c r="T34" s="26" t="s">
        <v>0</v>
      </c>
      <c r="U34" s="9"/>
      <c r="V34" s="12"/>
      <c r="X34" s="10"/>
    </row>
    <row r="35" spans="1:24" s="3" customFormat="1" ht="31.5" x14ac:dyDescent="0.25">
      <c r="A35" s="35" t="s">
        <v>1192</v>
      </c>
      <c r="B35" s="37" t="s">
        <v>87</v>
      </c>
      <c r="C35" s="33" t="s">
        <v>11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7">
        <v>0</v>
      </c>
      <c r="T35" s="26" t="s">
        <v>0</v>
      </c>
      <c r="U35" s="9"/>
      <c r="V35" s="12"/>
      <c r="X35" s="10"/>
    </row>
    <row r="36" spans="1:24" s="3" customFormat="1" ht="47.25" x14ac:dyDescent="0.25">
      <c r="A36" s="35" t="s">
        <v>1191</v>
      </c>
      <c r="B36" s="37" t="s">
        <v>85</v>
      </c>
      <c r="C36" s="33" t="s">
        <v>11</v>
      </c>
      <c r="D36" s="28">
        <f>D37+D38+D39+D42+D44</f>
        <v>2416.4635460119998</v>
      </c>
      <c r="E36" s="28">
        <v>0</v>
      </c>
      <c r="F36" s="28">
        <f t="shared" ref="F36:R36" si="13">F37+F38+F39+F42+F44</f>
        <v>946.92551964199993</v>
      </c>
      <c r="G36" s="28">
        <f t="shared" si="13"/>
        <v>260.04337270999997</v>
      </c>
      <c r="H36" s="28">
        <f t="shared" si="13"/>
        <v>133.31882095999998</v>
      </c>
      <c r="I36" s="28">
        <f t="shared" si="13"/>
        <v>27.975272000000004</v>
      </c>
      <c r="J36" s="28">
        <f t="shared" si="13"/>
        <v>25.75264452</v>
      </c>
      <c r="K36" s="28">
        <f t="shared" si="13"/>
        <v>12.775</v>
      </c>
      <c r="L36" s="28">
        <f t="shared" si="13"/>
        <v>50.01138899</v>
      </c>
      <c r="M36" s="28">
        <f t="shared" si="13"/>
        <v>81.436599999999999</v>
      </c>
      <c r="N36" s="28">
        <f t="shared" si="13"/>
        <v>57.554787449999992</v>
      </c>
      <c r="O36" s="28">
        <f t="shared" si="13"/>
        <v>137.85650071000001</v>
      </c>
      <c r="P36" s="28">
        <f t="shared" si="13"/>
        <v>0</v>
      </c>
      <c r="Q36" s="28">
        <f t="shared" si="13"/>
        <v>819.43304401199987</v>
      </c>
      <c r="R36" s="28">
        <f t="shared" si="13"/>
        <v>5.3056036299999754</v>
      </c>
      <c r="S36" s="27">
        <f>R36/(I36+K36+M36)</f>
        <v>4.3422043163523945E-2</v>
      </c>
      <c r="T36" s="26" t="s">
        <v>0</v>
      </c>
      <c r="U36" s="9"/>
      <c r="V36" s="12"/>
      <c r="X36" s="10"/>
    </row>
    <row r="37" spans="1:24" s="3" customFormat="1" ht="63" x14ac:dyDescent="0.25">
      <c r="A37" s="35" t="s">
        <v>1190</v>
      </c>
      <c r="B37" s="37" t="s">
        <v>83</v>
      </c>
      <c r="C37" s="33" t="s">
        <v>11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7">
        <v>0</v>
      </c>
      <c r="T37" s="26" t="s">
        <v>0</v>
      </c>
      <c r="U37" s="9"/>
      <c r="V37" s="12"/>
      <c r="X37" s="10"/>
    </row>
    <row r="38" spans="1:24" s="3" customFormat="1" ht="63" x14ac:dyDescent="0.25">
      <c r="A38" s="35" t="s">
        <v>1189</v>
      </c>
      <c r="B38" s="37" t="s">
        <v>81</v>
      </c>
      <c r="C38" s="33" t="s">
        <v>11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7">
        <v>0</v>
      </c>
      <c r="T38" s="26" t="s">
        <v>0</v>
      </c>
      <c r="U38" s="9"/>
      <c r="V38" s="12"/>
      <c r="X38" s="10"/>
    </row>
    <row r="39" spans="1:24" s="3" customFormat="1" ht="63" x14ac:dyDescent="0.25">
      <c r="A39" s="35" t="s">
        <v>1186</v>
      </c>
      <c r="B39" s="37" t="s">
        <v>79</v>
      </c>
      <c r="C39" s="33" t="s">
        <v>11</v>
      </c>
      <c r="D39" s="28">
        <f t="shared" ref="D39:R39" si="14">SUM(D40:D41)</f>
        <v>52.352484529999991</v>
      </c>
      <c r="E39" s="28">
        <f t="shared" si="14"/>
        <v>36.674774880000001</v>
      </c>
      <c r="F39" s="28">
        <f t="shared" si="14"/>
        <v>15.677709649999992</v>
      </c>
      <c r="G39" s="28">
        <f t="shared" si="14"/>
        <v>7.2667219999999961</v>
      </c>
      <c r="H39" s="28">
        <f t="shared" si="14"/>
        <v>2.9175608099999999</v>
      </c>
      <c r="I39" s="28">
        <f t="shared" si="14"/>
        <v>2.8999999999999964</v>
      </c>
      <c r="J39" s="28">
        <f t="shared" si="14"/>
        <v>2.9157495600000001</v>
      </c>
      <c r="K39" s="28">
        <f t="shared" si="14"/>
        <v>0.4</v>
      </c>
      <c r="L39" s="28">
        <f t="shared" si="14"/>
        <v>1.8112499999999999E-3</v>
      </c>
      <c r="M39" s="28">
        <f t="shared" si="14"/>
        <v>1.3680000000000001</v>
      </c>
      <c r="N39" s="28">
        <f t="shared" si="14"/>
        <v>0</v>
      </c>
      <c r="O39" s="28">
        <f t="shared" si="14"/>
        <v>2.5987220000000004</v>
      </c>
      <c r="P39" s="28">
        <f t="shared" si="14"/>
        <v>0</v>
      </c>
      <c r="Q39" s="28">
        <f t="shared" si="14"/>
        <v>12.760148839999992</v>
      </c>
      <c r="R39" s="28">
        <f t="shared" si="14"/>
        <v>-1.7504391899999967</v>
      </c>
      <c r="S39" s="27">
        <f>R39/(I39+K39+M39)</f>
        <v>-0.37498697300771167</v>
      </c>
      <c r="T39" s="26" t="s">
        <v>0</v>
      </c>
      <c r="U39" s="9"/>
      <c r="V39" s="12"/>
      <c r="X39" s="10"/>
    </row>
    <row r="40" spans="1:24" s="3" customFormat="1" ht="63" x14ac:dyDescent="0.25">
      <c r="A40" s="43" t="s">
        <v>1186</v>
      </c>
      <c r="B40" s="42" t="s">
        <v>1188</v>
      </c>
      <c r="C40" s="41" t="s">
        <v>1187</v>
      </c>
      <c r="D40" s="18">
        <v>45.551232529999993</v>
      </c>
      <c r="E40" s="18">
        <v>36.674774880000001</v>
      </c>
      <c r="F40" s="16">
        <f>D40-E40</f>
        <v>8.8764576499999919</v>
      </c>
      <c r="G40" s="17">
        <v>2.8999999999999964</v>
      </c>
      <c r="H40" s="16">
        <f>J40+L40+N40+P40</f>
        <v>2.9134566</v>
      </c>
      <c r="I40" s="16">
        <v>2.8999999999999964</v>
      </c>
      <c r="J40" s="16">
        <f>2913.4566/1000</f>
        <v>2.9134566</v>
      </c>
      <c r="K40" s="16">
        <v>0</v>
      </c>
      <c r="L40" s="16">
        <v>0</v>
      </c>
      <c r="M40" s="16">
        <v>0</v>
      </c>
      <c r="N40" s="16">
        <v>0</v>
      </c>
      <c r="O40" s="17">
        <v>0</v>
      </c>
      <c r="P40" s="16">
        <v>0</v>
      </c>
      <c r="Q40" s="16">
        <f>F40-H40</f>
        <v>5.9630010499999919</v>
      </c>
      <c r="R40" s="16">
        <f>H40-(I40+K40+M40)</f>
        <v>1.3456600000003593E-2</v>
      </c>
      <c r="S40" s="14">
        <f>R40/(I40+K40+M40)</f>
        <v>4.640206896552969E-3</v>
      </c>
      <c r="T40" s="22" t="s">
        <v>0</v>
      </c>
      <c r="U40" s="9"/>
      <c r="V40" s="12"/>
      <c r="X40" s="10"/>
    </row>
    <row r="41" spans="1:24" s="3" customFormat="1" ht="63" x14ac:dyDescent="0.25">
      <c r="A41" s="43" t="s">
        <v>1186</v>
      </c>
      <c r="B41" s="50" t="s">
        <v>1185</v>
      </c>
      <c r="C41" s="49" t="s">
        <v>1184</v>
      </c>
      <c r="D41" s="18">
        <v>6.8012519999999999</v>
      </c>
      <c r="E41" s="16">
        <v>0</v>
      </c>
      <c r="F41" s="16">
        <f>D41-E41</f>
        <v>6.8012519999999999</v>
      </c>
      <c r="G41" s="17">
        <v>4.3667219999999993</v>
      </c>
      <c r="H41" s="16">
        <f>J41+L41+N41+P41</f>
        <v>4.1042099999999996E-3</v>
      </c>
      <c r="I41" s="16">
        <v>0</v>
      </c>
      <c r="J41" s="16">
        <f>2.29296/1000</f>
        <v>2.2929599999999997E-3</v>
      </c>
      <c r="K41" s="16">
        <v>0.4</v>
      </c>
      <c r="L41" s="16">
        <f>1.81125/1000</f>
        <v>1.8112499999999999E-3</v>
      </c>
      <c r="M41" s="16">
        <v>1.3680000000000001</v>
      </c>
      <c r="N41" s="16">
        <v>0</v>
      </c>
      <c r="O41" s="17">
        <v>2.5987220000000004</v>
      </c>
      <c r="P41" s="16">
        <v>0</v>
      </c>
      <c r="Q41" s="16">
        <f>F41-H41</f>
        <v>6.7971477899999995</v>
      </c>
      <c r="R41" s="16">
        <f>H41-(I41+K41+M41)</f>
        <v>-1.7638957900000003</v>
      </c>
      <c r="S41" s="14">
        <f>R41/(I41+K41+M41)</f>
        <v>-0.99767861425339366</v>
      </c>
      <c r="T41" s="22" t="s">
        <v>1183</v>
      </c>
      <c r="U41" s="9"/>
      <c r="V41" s="12"/>
      <c r="X41" s="10"/>
    </row>
    <row r="42" spans="1:24" s="3" customFormat="1" ht="41.25" customHeight="1" x14ac:dyDescent="0.25">
      <c r="A42" s="35" t="s">
        <v>1182</v>
      </c>
      <c r="B42" s="37" t="s">
        <v>77</v>
      </c>
      <c r="C42" s="33" t="s">
        <v>11</v>
      </c>
      <c r="D42" s="28">
        <f t="shared" ref="D42:R42" si="15">SUM(D43)</f>
        <v>0</v>
      </c>
      <c r="E42" s="28">
        <f t="shared" si="15"/>
        <v>0</v>
      </c>
      <c r="F42" s="28">
        <f t="shared" si="15"/>
        <v>0</v>
      </c>
      <c r="G42" s="28">
        <f t="shared" si="15"/>
        <v>0</v>
      </c>
      <c r="H42" s="28">
        <f t="shared" si="15"/>
        <v>5.8263453300000005</v>
      </c>
      <c r="I42" s="28">
        <f t="shared" si="15"/>
        <v>0</v>
      </c>
      <c r="J42" s="28">
        <f t="shared" si="15"/>
        <v>5.8263453300000005</v>
      </c>
      <c r="K42" s="28">
        <f t="shared" si="15"/>
        <v>0</v>
      </c>
      <c r="L42" s="28">
        <f t="shared" si="15"/>
        <v>0</v>
      </c>
      <c r="M42" s="28">
        <f t="shared" si="15"/>
        <v>0</v>
      </c>
      <c r="N42" s="28">
        <f t="shared" si="15"/>
        <v>0</v>
      </c>
      <c r="O42" s="28">
        <f t="shared" si="15"/>
        <v>0</v>
      </c>
      <c r="P42" s="28">
        <f t="shared" si="15"/>
        <v>0</v>
      </c>
      <c r="Q42" s="28">
        <f t="shared" si="15"/>
        <v>0</v>
      </c>
      <c r="R42" s="28">
        <f t="shared" si="15"/>
        <v>0</v>
      </c>
      <c r="S42" s="27">
        <v>0</v>
      </c>
      <c r="T42" s="26" t="s">
        <v>0</v>
      </c>
      <c r="U42" s="9"/>
      <c r="V42" s="12"/>
      <c r="X42" s="10"/>
    </row>
    <row r="43" spans="1:24" s="3" customFormat="1" ht="63" x14ac:dyDescent="0.25">
      <c r="A43" s="43" t="s">
        <v>1182</v>
      </c>
      <c r="B43" s="20" t="s">
        <v>1181</v>
      </c>
      <c r="C43" s="47" t="s">
        <v>1180</v>
      </c>
      <c r="D43" s="18" t="s">
        <v>0</v>
      </c>
      <c r="E43" s="18" t="s">
        <v>0</v>
      </c>
      <c r="F43" s="16" t="s">
        <v>0</v>
      </c>
      <c r="G43" s="17" t="s">
        <v>0</v>
      </c>
      <c r="H43" s="16">
        <f>J43+L43+N43+P43</f>
        <v>5.8263453300000005</v>
      </c>
      <c r="I43" s="16" t="s">
        <v>0</v>
      </c>
      <c r="J43" s="16">
        <v>5.8263453300000005</v>
      </c>
      <c r="K43" s="16" t="s">
        <v>0</v>
      </c>
      <c r="L43" s="16">
        <v>0</v>
      </c>
      <c r="M43" s="16" t="s">
        <v>0</v>
      </c>
      <c r="N43" s="16">
        <v>0</v>
      </c>
      <c r="O43" s="17" t="s">
        <v>0</v>
      </c>
      <c r="P43" s="16">
        <v>0</v>
      </c>
      <c r="Q43" s="16" t="s">
        <v>0</v>
      </c>
      <c r="R43" s="16" t="s">
        <v>0</v>
      </c>
      <c r="S43" s="32" t="s">
        <v>0</v>
      </c>
      <c r="T43" s="22" t="s">
        <v>1179</v>
      </c>
      <c r="U43" s="9"/>
      <c r="V43" s="12"/>
      <c r="X43" s="10"/>
    </row>
    <row r="44" spans="1:24" s="3" customFormat="1" ht="41.25" customHeight="1" x14ac:dyDescent="0.25">
      <c r="A44" s="35" t="s">
        <v>1164</v>
      </c>
      <c r="B44" s="37" t="s">
        <v>76</v>
      </c>
      <c r="C44" s="33" t="s">
        <v>11</v>
      </c>
      <c r="D44" s="28">
        <f t="shared" ref="D44:R44" si="16">SUM(D45:D51)</f>
        <v>2364.111061482</v>
      </c>
      <c r="E44" s="28">
        <f t="shared" si="16"/>
        <v>1432.86325149</v>
      </c>
      <c r="F44" s="28">
        <f t="shared" si="16"/>
        <v>931.24780999199993</v>
      </c>
      <c r="G44" s="28">
        <f t="shared" si="16"/>
        <v>252.77665070999996</v>
      </c>
      <c r="H44" s="28">
        <f t="shared" si="16"/>
        <v>124.57491481999998</v>
      </c>
      <c r="I44" s="28">
        <f t="shared" si="16"/>
        <v>25.075272000000009</v>
      </c>
      <c r="J44" s="28">
        <f t="shared" si="16"/>
        <v>17.01054963</v>
      </c>
      <c r="K44" s="28">
        <f t="shared" si="16"/>
        <v>12.375</v>
      </c>
      <c r="L44" s="28">
        <f t="shared" si="16"/>
        <v>50.009577739999997</v>
      </c>
      <c r="M44" s="28">
        <f t="shared" si="16"/>
        <v>80.068600000000004</v>
      </c>
      <c r="N44" s="28">
        <f t="shared" si="16"/>
        <v>57.554787449999992</v>
      </c>
      <c r="O44" s="28">
        <f t="shared" si="16"/>
        <v>135.25777871</v>
      </c>
      <c r="P44" s="28">
        <f t="shared" si="16"/>
        <v>0</v>
      </c>
      <c r="Q44" s="28">
        <f t="shared" si="16"/>
        <v>806.67289517199993</v>
      </c>
      <c r="R44" s="28">
        <f t="shared" si="16"/>
        <v>7.0560428199999716</v>
      </c>
      <c r="S44" s="27">
        <f t="shared" ref="S44:S49" si="17">R44/(I44+K44+M44)</f>
        <v>6.004178477819265E-2</v>
      </c>
      <c r="T44" s="26" t="s">
        <v>0</v>
      </c>
      <c r="U44" s="9"/>
      <c r="V44" s="12"/>
      <c r="X44" s="10"/>
    </row>
    <row r="45" spans="1:24" s="3" customFormat="1" ht="78.75" x14ac:dyDescent="0.25">
      <c r="A45" s="43" t="s">
        <v>1164</v>
      </c>
      <c r="B45" s="20" t="s">
        <v>1178</v>
      </c>
      <c r="C45" s="19" t="s">
        <v>1177</v>
      </c>
      <c r="D45" s="18">
        <v>991.10269060999997</v>
      </c>
      <c r="E45" s="18">
        <v>644.83429710999997</v>
      </c>
      <c r="F45" s="16">
        <f>D45-E45</f>
        <v>346.2683935</v>
      </c>
      <c r="G45" s="17">
        <v>169.82880768999996</v>
      </c>
      <c r="H45" s="16">
        <f t="shared" ref="H45:H51" si="18">J45+L45+N45+P45</f>
        <v>72.568245899999994</v>
      </c>
      <c r="I45" s="16">
        <v>11.64</v>
      </c>
      <c r="J45" s="16">
        <f>12005.38881/1000</f>
        <v>12.005388810000001</v>
      </c>
      <c r="K45" s="16">
        <v>7</v>
      </c>
      <c r="L45" s="16">
        <f>30.70965621-0.02493526</f>
        <v>30.684720949999999</v>
      </c>
      <c r="M45" s="16">
        <v>38.773000000000003</v>
      </c>
      <c r="N45" s="16">
        <v>29.878136139999999</v>
      </c>
      <c r="O45" s="17">
        <v>112.41580768999998</v>
      </c>
      <c r="P45" s="16">
        <v>0</v>
      </c>
      <c r="Q45" s="16">
        <f>F45-H45</f>
        <v>273.70014760000004</v>
      </c>
      <c r="R45" s="16">
        <f>H45-(I45+K45+M45)</f>
        <v>15.15524589999999</v>
      </c>
      <c r="S45" s="14">
        <f t="shared" si="17"/>
        <v>0.26396889032100723</v>
      </c>
      <c r="T45" s="22" t="s">
        <v>520</v>
      </c>
      <c r="U45" s="9"/>
      <c r="V45" s="12"/>
      <c r="X45" s="10"/>
    </row>
    <row r="46" spans="1:24" s="3" customFormat="1" ht="47.25" x14ac:dyDescent="0.25">
      <c r="A46" s="43" t="s">
        <v>1164</v>
      </c>
      <c r="B46" s="20" t="s">
        <v>1176</v>
      </c>
      <c r="C46" s="19" t="s">
        <v>1175</v>
      </c>
      <c r="D46" s="18">
        <v>147.22801164000001</v>
      </c>
      <c r="E46" s="18">
        <v>114.61603026</v>
      </c>
      <c r="F46" s="16">
        <f>D46-E46</f>
        <v>32.611981380000003</v>
      </c>
      <c r="G46" s="17">
        <v>24.851611170000002</v>
      </c>
      <c r="H46" s="16">
        <f t="shared" si="18"/>
        <v>16.229693639999997</v>
      </c>
      <c r="I46" s="16">
        <v>0</v>
      </c>
      <c r="J46" s="16">
        <f>1478.79413/1000</f>
        <v>1.47879413</v>
      </c>
      <c r="K46" s="16">
        <v>2.0579999999999998</v>
      </c>
      <c r="L46" s="16">
        <v>5.6751061299999996</v>
      </c>
      <c r="M46" s="16">
        <v>10.08</v>
      </c>
      <c r="N46" s="16">
        <v>9.0757933799999986</v>
      </c>
      <c r="O46" s="17">
        <v>12.71361117</v>
      </c>
      <c r="P46" s="16">
        <v>0</v>
      </c>
      <c r="Q46" s="16">
        <f>F46-H46</f>
        <v>16.382287740000006</v>
      </c>
      <c r="R46" s="16">
        <f>H46-(I46+K46+M46)</f>
        <v>4.0916936399999972</v>
      </c>
      <c r="S46" s="14">
        <f t="shared" si="17"/>
        <v>0.33709784478497257</v>
      </c>
      <c r="T46" s="22" t="s">
        <v>1122</v>
      </c>
      <c r="U46" s="9"/>
      <c r="V46" s="12"/>
      <c r="X46" s="10"/>
    </row>
    <row r="47" spans="1:24" s="3" customFormat="1" ht="31.5" x14ac:dyDescent="0.25">
      <c r="A47" s="56" t="s">
        <v>1164</v>
      </c>
      <c r="B47" s="24" t="s">
        <v>1174</v>
      </c>
      <c r="C47" s="23" t="s">
        <v>1173</v>
      </c>
      <c r="D47" s="17">
        <v>382.89910794999997</v>
      </c>
      <c r="E47" s="18">
        <v>338.23814809999999</v>
      </c>
      <c r="F47" s="16">
        <f>D47-E47</f>
        <v>44.660959849999983</v>
      </c>
      <c r="G47" s="17">
        <v>44.660959849999998</v>
      </c>
      <c r="H47" s="16">
        <f t="shared" si="18"/>
        <v>32.301839599999994</v>
      </c>
      <c r="I47" s="16">
        <v>0</v>
      </c>
      <c r="J47" s="16">
        <f>49.41976/1000</f>
        <v>4.9419759999999993E-2</v>
      </c>
      <c r="K47" s="16">
        <v>3.3170000000000002</v>
      </c>
      <c r="L47" s="16">
        <f>13.62662665+0.02493526</f>
        <v>13.65156191</v>
      </c>
      <c r="M47" s="16">
        <v>31.215599999999998</v>
      </c>
      <c r="N47" s="16">
        <v>18.600857929999997</v>
      </c>
      <c r="O47" s="16">
        <v>10.128359850000001</v>
      </c>
      <c r="P47" s="16">
        <v>0</v>
      </c>
      <c r="Q47" s="16">
        <f>F47-H47</f>
        <v>12.359120249999989</v>
      </c>
      <c r="R47" s="16">
        <f>H47-(I47+K47+M47)</f>
        <v>-2.2307604000000083</v>
      </c>
      <c r="S47" s="14">
        <f t="shared" si="17"/>
        <v>-6.4598680666964212E-2</v>
      </c>
      <c r="T47" s="13" t="s">
        <v>0</v>
      </c>
      <c r="U47" s="9"/>
      <c r="V47" s="12"/>
      <c r="X47" s="10"/>
    </row>
    <row r="48" spans="1:24" s="3" customFormat="1" ht="47.25" x14ac:dyDescent="0.25">
      <c r="A48" s="43" t="s">
        <v>1164</v>
      </c>
      <c r="B48" s="20" t="s">
        <v>1172</v>
      </c>
      <c r="C48" s="19" t="s">
        <v>1171</v>
      </c>
      <c r="D48" s="18">
        <v>782.34505128199999</v>
      </c>
      <c r="E48" s="18">
        <v>279.39471199999997</v>
      </c>
      <c r="F48" s="16">
        <f>D48-E48</f>
        <v>502.95033928200002</v>
      </c>
      <c r="G48" s="17">
        <v>12.536790000000009</v>
      </c>
      <c r="H48" s="16">
        <f t="shared" si="18"/>
        <v>3.4751356799999997</v>
      </c>
      <c r="I48" s="16">
        <v>12.536790000000009</v>
      </c>
      <c r="J48" s="16">
        <f>3475.13568/1000</f>
        <v>3.4751356799999997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f>F48-H48</f>
        <v>499.47520360200002</v>
      </c>
      <c r="R48" s="16">
        <f>H48-(I48+K48+M48)</f>
        <v>-9.0616543200000095</v>
      </c>
      <c r="S48" s="14">
        <f t="shared" si="17"/>
        <v>-0.72280498596530718</v>
      </c>
      <c r="T48" s="22" t="s">
        <v>1170</v>
      </c>
      <c r="U48" s="9"/>
      <c r="V48" s="12"/>
      <c r="X48" s="10"/>
    </row>
    <row r="49" spans="1:28" s="3" customFormat="1" ht="31.5" x14ac:dyDescent="0.25">
      <c r="A49" s="43" t="s">
        <v>1164</v>
      </c>
      <c r="B49" s="20" t="s">
        <v>1169</v>
      </c>
      <c r="C49" s="19" t="s">
        <v>1168</v>
      </c>
      <c r="D49" s="94">
        <v>60.536199999999994</v>
      </c>
      <c r="E49" s="18">
        <v>55.780064019999998</v>
      </c>
      <c r="F49" s="16">
        <f>D49-E49</f>
        <v>4.7561359799999963</v>
      </c>
      <c r="G49" s="17">
        <v>0.89848199999999634</v>
      </c>
      <c r="H49" s="16">
        <f t="shared" si="18"/>
        <v>0</v>
      </c>
      <c r="I49" s="16">
        <v>0.89848199999999634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f>F49-H49</f>
        <v>4.7561359799999963</v>
      </c>
      <c r="R49" s="16">
        <f>H49-(I49+K49+M49)</f>
        <v>-0.89848199999999634</v>
      </c>
      <c r="S49" s="14">
        <f t="shared" si="17"/>
        <v>-1</v>
      </c>
      <c r="T49" s="22" t="s">
        <v>1167</v>
      </c>
      <c r="U49" s="9"/>
      <c r="V49" s="12"/>
      <c r="X49" s="10"/>
    </row>
    <row r="50" spans="1:28" s="3" customFormat="1" ht="47.25" x14ac:dyDescent="0.25">
      <c r="A50" s="43" t="s">
        <v>1164</v>
      </c>
      <c r="B50" s="20" t="s">
        <v>1166</v>
      </c>
      <c r="C50" s="19" t="s">
        <v>1165</v>
      </c>
      <c r="D50" s="18" t="s">
        <v>0</v>
      </c>
      <c r="E50" s="18" t="s">
        <v>0</v>
      </c>
      <c r="F50" s="16" t="s">
        <v>0</v>
      </c>
      <c r="G50" s="17" t="s">
        <v>0</v>
      </c>
      <c r="H50" s="16">
        <f t="shared" si="18"/>
        <v>0</v>
      </c>
      <c r="I50" s="16" t="s">
        <v>0</v>
      </c>
      <c r="J50" s="16">
        <v>0</v>
      </c>
      <c r="K50" s="16" t="s">
        <v>0</v>
      </c>
      <c r="L50" s="16">
        <v>0</v>
      </c>
      <c r="M50" s="16" t="s">
        <v>0</v>
      </c>
      <c r="N50" s="16">
        <v>0</v>
      </c>
      <c r="O50" s="16" t="s">
        <v>0</v>
      </c>
      <c r="P50" s="16">
        <v>0</v>
      </c>
      <c r="Q50" s="16" t="s">
        <v>0</v>
      </c>
      <c r="R50" s="16" t="s">
        <v>0</v>
      </c>
      <c r="S50" s="32" t="s">
        <v>0</v>
      </c>
      <c r="T50" s="22" t="s">
        <v>0</v>
      </c>
      <c r="U50" s="9"/>
      <c r="V50" s="12"/>
      <c r="X50" s="10"/>
    </row>
    <row r="51" spans="1:28" s="3" customFormat="1" ht="67.5" customHeight="1" x14ac:dyDescent="0.25">
      <c r="A51" s="43" t="s">
        <v>1164</v>
      </c>
      <c r="B51" s="20" t="s">
        <v>1163</v>
      </c>
      <c r="C51" s="19" t="s">
        <v>1162</v>
      </c>
      <c r="D51" s="18" t="s">
        <v>0</v>
      </c>
      <c r="E51" s="18" t="s">
        <v>0</v>
      </c>
      <c r="F51" s="16" t="s">
        <v>0</v>
      </c>
      <c r="G51" s="17" t="s">
        <v>0</v>
      </c>
      <c r="H51" s="16">
        <f t="shared" si="18"/>
        <v>0</v>
      </c>
      <c r="I51" s="16" t="s">
        <v>0</v>
      </c>
      <c r="J51" s="16">
        <f>1.81125/1000</f>
        <v>1.8112499999999999E-3</v>
      </c>
      <c r="K51" s="16" t="s">
        <v>0</v>
      </c>
      <c r="L51" s="16">
        <f>-1.81125/1000</f>
        <v>-1.8112499999999999E-3</v>
      </c>
      <c r="M51" s="16" t="s">
        <v>0</v>
      </c>
      <c r="N51" s="16">
        <v>0</v>
      </c>
      <c r="O51" s="16" t="s">
        <v>0</v>
      </c>
      <c r="P51" s="16">
        <v>0</v>
      </c>
      <c r="Q51" s="16" t="s">
        <v>0</v>
      </c>
      <c r="R51" s="16" t="s">
        <v>0</v>
      </c>
      <c r="S51" s="32" t="s">
        <v>0</v>
      </c>
      <c r="T51" s="19" t="s">
        <v>1161</v>
      </c>
      <c r="U51" s="9"/>
      <c r="V51" s="12"/>
      <c r="X51" s="10"/>
    </row>
    <row r="52" spans="1:28" s="3" customFormat="1" ht="31.5" x14ac:dyDescent="0.25">
      <c r="A52" s="35" t="s">
        <v>1160</v>
      </c>
      <c r="B52" s="37" t="s">
        <v>71</v>
      </c>
      <c r="C52" s="33" t="s">
        <v>11</v>
      </c>
      <c r="D52" s="28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7">
        <v>0</v>
      </c>
      <c r="T52" s="26" t="s">
        <v>0</v>
      </c>
      <c r="U52" s="9"/>
      <c r="V52" s="12"/>
      <c r="X52" s="10"/>
    </row>
    <row r="53" spans="1:28" s="3" customFormat="1" ht="47.25" x14ac:dyDescent="0.25">
      <c r="A53" s="35" t="s">
        <v>1159</v>
      </c>
      <c r="B53" s="37" t="s">
        <v>69</v>
      </c>
      <c r="C53" s="33" t="s">
        <v>11</v>
      </c>
      <c r="D53" s="28">
        <f t="shared" ref="D53:R53" si="19">D54+D60+D64+D66</f>
        <v>3528.4264960941041</v>
      </c>
      <c r="E53" s="28">
        <f t="shared" si="19"/>
        <v>349.26228091999997</v>
      </c>
      <c r="F53" s="28">
        <f t="shared" si="19"/>
        <v>3179.1642151741044</v>
      </c>
      <c r="G53" s="28">
        <f t="shared" si="19"/>
        <v>811.08382711850993</v>
      </c>
      <c r="H53" s="28">
        <f t="shared" si="19"/>
        <v>228.53079724000003</v>
      </c>
      <c r="I53" s="28">
        <f t="shared" si="19"/>
        <v>25.117011798229999</v>
      </c>
      <c r="J53" s="28">
        <f t="shared" si="19"/>
        <v>30.83071288</v>
      </c>
      <c r="K53" s="28">
        <f t="shared" si="19"/>
        <v>133.89302799776999</v>
      </c>
      <c r="L53" s="28">
        <f t="shared" si="19"/>
        <v>102.48254016999999</v>
      </c>
      <c r="M53" s="28">
        <f t="shared" si="19"/>
        <v>267.99037799770997</v>
      </c>
      <c r="N53" s="28">
        <f t="shared" si="19"/>
        <v>95.217544190000012</v>
      </c>
      <c r="O53" s="28">
        <f t="shared" si="19"/>
        <v>384.08340932480007</v>
      </c>
      <c r="P53" s="28">
        <f t="shared" si="19"/>
        <v>0</v>
      </c>
      <c r="Q53" s="28">
        <f t="shared" si="19"/>
        <v>2967.0674715341038</v>
      </c>
      <c r="R53" s="28">
        <f t="shared" si="19"/>
        <v>-214.90367415370997</v>
      </c>
      <c r="S53" s="27">
        <f>R53/(I53+K53+M53)</f>
        <v>-0.50328680066428655</v>
      </c>
      <c r="T53" s="26" t="s">
        <v>0</v>
      </c>
      <c r="U53" s="9"/>
      <c r="V53" s="12"/>
      <c r="X53" s="10"/>
    </row>
    <row r="54" spans="1:28" s="3" customFormat="1" ht="31.5" x14ac:dyDescent="0.25">
      <c r="A54" s="35" t="s">
        <v>1147</v>
      </c>
      <c r="B54" s="37" t="s">
        <v>67</v>
      </c>
      <c r="C54" s="33" t="s">
        <v>11</v>
      </c>
      <c r="D54" s="28">
        <f t="shared" ref="D54:R54" si="20">SUM(D55:D59)</f>
        <v>691.39426634799997</v>
      </c>
      <c r="E54" s="28">
        <f t="shared" si="20"/>
        <v>7.2441102199999996</v>
      </c>
      <c r="F54" s="28">
        <f t="shared" si="20"/>
        <v>684.15015612799994</v>
      </c>
      <c r="G54" s="28">
        <f t="shared" si="20"/>
        <v>423.02550419599999</v>
      </c>
      <c r="H54" s="28">
        <f t="shared" si="20"/>
        <v>79.222551230000008</v>
      </c>
      <c r="I54" s="28">
        <f t="shared" si="20"/>
        <v>0</v>
      </c>
      <c r="J54" s="28">
        <f t="shared" si="20"/>
        <v>9.97568959</v>
      </c>
      <c r="K54" s="28">
        <f t="shared" si="20"/>
        <v>78.046800000000005</v>
      </c>
      <c r="L54" s="28">
        <f t="shared" si="20"/>
        <v>20.50479897</v>
      </c>
      <c r="M54" s="28">
        <f t="shared" si="20"/>
        <v>104.78464597</v>
      </c>
      <c r="N54" s="28">
        <f t="shared" si="20"/>
        <v>48.742062670000003</v>
      </c>
      <c r="O54" s="28">
        <f t="shared" si="20"/>
        <v>240.19405822600001</v>
      </c>
      <c r="P54" s="28">
        <f t="shared" si="20"/>
        <v>0</v>
      </c>
      <c r="Q54" s="28">
        <f t="shared" si="20"/>
        <v>617.86139449799998</v>
      </c>
      <c r="R54" s="28">
        <f t="shared" si="20"/>
        <v>-116.54268433999999</v>
      </c>
      <c r="S54" s="27">
        <f>R54/(I54+K54+M54)</f>
        <v>-0.63743238326257601</v>
      </c>
      <c r="T54" s="26" t="s">
        <v>0</v>
      </c>
      <c r="U54" s="9"/>
      <c r="V54" s="12"/>
      <c r="X54" s="10"/>
    </row>
    <row r="55" spans="1:28" s="3" customFormat="1" ht="75.75" customHeight="1" x14ac:dyDescent="0.25">
      <c r="A55" s="43" t="s">
        <v>1147</v>
      </c>
      <c r="B55" s="48" t="s">
        <v>1158</v>
      </c>
      <c r="C55" s="19" t="s">
        <v>1157</v>
      </c>
      <c r="D55" s="18">
        <v>234.56492154599999</v>
      </c>
      <c r="E55" s="18">
        <v>2.3213963400000002</v>
      </c>
      <c r="F55" s="16">
        <f>D55-E55</f>
        <v>232.24352520599999</v>
      </c>
      <c r="G55" s="17">
        <v>212.58138114599998</v>
      </c>
      <c r="H55" s="16">
        <f>J55+L55+N55+P55</f>
        <v>7.2086821099999998</v>
      </c>
      <c r="I55" s="16">
        <v>0</v>
      </c>
      <c r="J55" s="16">
        <v>0</v>
      </c>
      <c r="K55" s="16">
        <v>78.046800000000005</v>
      </c>
      <c r="L55" s="16">
        <v>0</v>
      </c>
      <c r="M55" s="16">
        <v>104.78464597</v>
      </c>
      <c r="N55" s="16">
        <v>7.2086821099999998</v>
      </c>
      <c r="O55" s="16">
        <v>29.749935175999997</v>
      </c>
      <c r="P55" s="16">
        <v>0</v>
      </c>
      <c r="Q55" s="16">
        <f>F55-H55</f>
        <v>225.03484309599997</v>
      </c>
      <c r="R55" s="16">
        <f>H55-(I55+K55+M55)</f>
        <v>-175.62276385999999</v>
      </c>
      <c r="S55" s="14">
        <f>R55/(I55+K55+M55)</f>
        <v>-0.96057197889698442</v>
      </c>
      <c r="T55" s="22" t="s">
        <v>1156</v>
      </c>
      <c r="U55" s="9"/>
      <c r="V55" s="12"/>
      <c r="X55" s="10"/>
      <c r="AB55" s="4"/>
    </row>
    <row r="56" spans="1:28" s="3" customFormat="1" ht="78.75" customHeight="1" x14ac:dyDescent="0.25">
      <c r="A56" s="43" t="s">
        <v>1147</v>
      </c>
      <c r="B56" s="42" t="s">
        <v>1155</v>
      </c>
      <c r="C56" s="41" t="s">
        <v>1154</v>
      </c>
      <c r="D56" s="18" t="s">
        <v>0</v>
      </c>
      <c r="E56" s="18" t="s">
        <v>0</v>
      </c>
      <c r="F56" s="16" t="s">
        <v>0</v>
      </c>
      <c r="G56" s="17" t="s">
        <v>0</v>
      </c>
      <c r="H56" s="16">
        <f>J56+L56+N56+P56</f>
        <v>3.3167618999999999</v>
      </c>
      <c r="I56" s="16" t="s">
        <v>0</v>
      </c>
      <c r="J56" s="16">
        <v>0</v>
      </c>
      <c r="K56" s="16" t="s">
        <v>0</v>
      </c>
      <c r="L56" s="16">
        <v>0</v>
      </c>
      <c r="M56" s="16" t="s">
        <v>0</v>
      </c>
      <c r="N56" s="16">
        <v>3.3167618999999999</v>
      </c>
      <c r="O56" s="16" t="s">
        <v>0</v>
      </c>
      <c r="P56" s="16">
        <v>0</v>
      </c>
      <c r="Q56" s="16" t="s">
        <v>0</v>
      </c>
      <c r="R56" s="16" t="s">
        <v>0</v>
      </c>
      <c r="S56" s="32" t="s">
        <v>0</v>
      </c>
      <c r="T56" s="22" t="s">
        <v>1153</v>
      </c>
      <c r="U56" s="9"/>
      <c r="V56" s="12"/>
      <c r="X56" s="10"/>
      <c r="AB56" s="4"/>
    </row>
    <row r="57" spans="1:28" s="3" customFormat="1" ht="30.75" customHeight="1" x14ac:dyDescent="0.25">
      <c r="A57" s="43" t="s">
        <v>1147</v>
      </c>
      <c r="B57" s="42" t="s">
        <v>1152</v>
      </c>
      <c r="C57" s="41" t="s">
        <v>1151</v>
      </c>
      <c r="D57" s="18" t="s">
        <v>0</v>
      </c>
      <c r="E57" s="18" t="s">
        <v>0</v>
      </c>
      <c r="F57" s="16" t="s">
        <v>0</v>
      </c>
      <c r="G57" s="17" t="s">
        <v>0</v>
      </c>
      <c r="H57" s="16">
        <f>J57+L57+N57+P57</f>
        <v>9.6170277000000013</v>
      </c>
      <c r="I57" s="16" t="s">
        <v>0</v>
      </c>
      <c r="J57" s="16">
        <v>3.6164889000000002</v>
      </c>
      <c r="K57" s="16" t="s">
        <v>0</v>
      </c>
      <c r="L57" s="16">
        <v>6.0005388000000002</v>
      </c>
      <c r="M57" s="16" t="s">
        <v>0</v>
      </c>
      <c r="N57" s="16">
        <v>0</v>
      </c>
      <c r="O57" s="16" t="s">
        <v>0</v>
      </c>
      <c r="P57" s="16">
        <v>0</v>
      </c>
      <c r="Q57" s="16" t="s">
        <v>0</v>
      </c>
      <c r="R57" s="16" t="s">
        <v>0</v>
      </c>
      <c r="S57" s="32" t="s">
        <v>0</v>
      </c>
      <c r="T57" s="22" t="s">
        <v>1079</v>
      </c>
      <c r="U57" s="9"/>
      <c r="V57" s="12"/>
      <c r="X57" s="10"/>
      <c r="AB57" s="4"/>
    </row>
    <row r="58" spans="1:28" s="3" customFormat="1" ht="63" x14ac:dyDescent="0.25">
      <c r="A58" s="56" t="s">
        <v>1147</v>
      </c>
      <c r="B58" s="24" t="s">
        <v>1150</v>
      </c>
      <c r="C58" s="41" t="s">
        <v>1149</v>
      </c>
      <c r="D58" s="18">
        <v>224.17293660000001</v>
      </c>
      <c r="E58" s="18">
        <v>3.9088828800000002</v>
      </c>
      <c r="F58" s="16">
        <f>D58-E58</f>
        <v>220.26405372000002</v>
      </c>
      <c r="G58" s="17">
        <v>210.44412305</v>
      </c>
      <c r="H58" s="16">
        <f>J58+L58+N58+P58</f>
        <v>54.896500520000004</v>
      </c>
      <c r="I58" s="16">
        <v>0</v>
      </c>
      <c r="J58" s="16">
        <v>4.7642490799999999</v>
      </c>
      <c r="K58" s="16">
        <v>0</v>
      </c>
      <c r="L58" s="16">
        <v>11.915632780000001</v>
      </c>
      <c r="M58" s="18">
        <v>0</v>
      </c>
      <c r="N58" s="18">
        <v>38.216618660000002</v>
      </c>
      <c r="O58" s="18">
        <v>210.44412305</v>
      </c>
      <c r="P58" s="16">
        <v>0</v>
      </c>
      <c r="Q58" s="16">
        <f>F58-H58</f>
        <v>165.36755320000003</v>
      </c>
      <c r="R58" s="16">
        <f>H58-(I58+K58+M58)</f>
        <v>54.896500520000004</v>
      </c>
      <c r="S58" s="14">
        <v>1</v>
      </c>
      <c r="T58" s="22" t="s">
        <v>1148</v>
      </c>
      <c r="U58" s="9"/>
      <c r="V58" s="12"/>
      <c r="X58" s="10"/>
      <c r="AB58" s="4"/>
    </row>
    <row r="59" spans="1:28" s="3" customFormat="1" ht="31.5" x14ac:dyDescent="0.25">
      <c r="A59" s="43" t="s">
        <v>1147</v>
      </c>
      <c r="B59" s="75" t="s">
        <v>1146</v>
      </c>
      <c r="C59" s="47" t="s">
        <v>1145</v>
      </c>
      <c r="D59" s="40">
        <v>232.65640820199997</v>
      </c>
      <c r="E59" s="18">
        <v>1.0138309999999999</v>
      </c>
      <c r="F59" s="16">
        <f>D59-E59</f>
        <v>231.64257720199996</v>
      </c>
      <c r="G59" s="17">
        <v>0</v>
      </c>
      <c r="H59" s="16">
        <f>J59+L59+N59+P59</f>
        <v>4.1835789999999999</v>
      </c>
      <c r="I59" s="16">
        <v>0</v>
      </c>
      <c r="J59" s="16">
        <v>1.5949516100000001</v>
      </c>
      <c r="K59" s="16">
        <v>0</v>
      </c>
      <c r="L59" s="16">
        <v>2.5886273899999996</v>
      </c>
      <c r="M59" s="16">
        <v>0</v>
      </c>
      <c r="N59" s="16">
        <v>0</v>
      </c>
      <c r="O59" s="16">
        <v>0</v>
      </c>
      <c r="P59" s="16">
        <v>0</v>
      </c>
      <c r="Q59" s="16">
        <f>F59-H59</f>
        <v>227.45899820199995</v>
      </c>
      <c r="R59" s="16">
        <f>H59-(I59+K59+M59)</f>
        <v>4.1835789999999999</v>
      </c>
      <c r="S59" s="14">
        <v>1</v>
      </c>
      <c r="T59" s="92" t="s">
        <v>1079</v>
      </c>
      <c r="U59" s="9"/>
      <c r="V59" s="12"/>
      <c r="X59" s="10"/>
      <c r="AB59" s="4"/>
    </row>
    <row r="60" spans="1:28" s="3" customFormat="1" x14ac:dyDescent="0.25">
      <c r="A60" s="35" t="s">
        <v>1140</v>
      </c>
      <c r="B60" s="37" t="s">
        <v>66</v>
      </c>
      <c r="C60" s="33" t="s">
        <v>11</v>
      </c>
      <c r="D60" s="28">
        <f t="shared" ref="D60:R60" si="21">SUM(D61:D63)</f>
        <v>107.46950457399998</v>
      </c>
      <c r="E60" s="28">
        <f t="shared" si="21"/>
        <v>23.41646553</v>
      </c>
      <c r="F60" s="28">
        <f t="shared" si="21"/>
        <v>84.053039043999974</v>
      </c>
      <c r="G60" s="28">
        <f t="shared" si="21"/>
        <v>53.292788093999988</v>
      </c>
      <c r="H60" s="28">
        <f t="shared" si="21"/>
        <v>36.805856230000003</v>
      </c>
      <c r="I60" s="28">
        <f t="shared" si="21"/>
        <v>0</v>
      </c>
      <c r="J60" s="28">
        <f t="shared" si="21"/>
        <v>6.3139974199999997</v>
      </c>
      <c r="K60" s="28">
        <f t="shared" si="21"/>
        <v>1.60883124</v>
      </c>
      <c r="L60" s="28">
        <f t="shared" si="21"/>
        <v>16.014640549999999</v>
      </c>
      <c r="M60" s="28">
        <f t="shared" si="21"/>
        <v>45.812000249999997</v>
      </c>
      <c r="N60" s="28">
        <f t="shared" si="21"/>
        <v>14.477218259999999</v>
      </c>
      <c r="O60" s="28">
        <f t="shared" si="21"/>
        <v>5.8719566040000002</v>
      </c>
      <c r="P60" s="28">
        <f t="shared" si="21"/>
        <v>0</v>
      </c>
      <c r="Q60" s="28">
        <f t="shared" si="21"/>
        <v>50.22718280399998</v>
      </c>
      <c r="R60" s="28">
        <f t="shared" si="21"/>
        <v>-13.594975250000001</v>
      </c>
      <c r="S60" s="27">
        <f>R60/(I60+K60+M60)</f>
        <v>-0.28668782943772042</v>
      </c>
      <c r="T60" s="26" t="s">
        <v>0</v>
      </c>
      <c r="U60" s="9"/>
      <c r="V60" s="12"/>
      <c r="X60" s="10"/>
    </row>
    <row r="61" spans="1:28" s="3" customFormat="1" ht="31.5" x14ac:dyDescent="0.25">
      <c r="A61" s="43" t="s">
        <v>1140</v>
      </c>
      <c r="B61" s="93" t="s">
        <v>1144</v>
      </c>
      <c r="C61" s="19" t="s">
        <v>1143</v>
      </c>
      <c r="D61" s="40" t="s">
        <v>0</v>
      </c>
      <c r="E61" s="18" t="s">
        <v>0</v>
      </c>
      <c r="F61" s="16" t="s">
        <v>0</v>
      </c>
      <c r="G61" s="17" t="s">
        <v>0</v>
      </c>
      <c r="H61" s="16">
        <f>J61+L61+N61+P61</f>
        <v>2.9799999899999996</v>
      </c>
      <c r="I61" s="16" t="s">
        <v>0</v>
      </c>
      <c r="J61" s="16">
        <v>2.9799999899999996</v>
      </c>
      <c r="K61" s="16" t="s">
        <v>0</v>
      </c>
      <c r="L61" s="16">
        <v>0</v>
      </c>
      <c r="M61" s="16" t="s">
        <v>0</v>
      </c>
      <c r="N61" s="16">
        <v>0</v>
      </c>
      <c r="O61" s="16" t="s">
        <v>0</v>
      </c>
      <c r="P61" s="16">
        <v>0</v>
      </c>
      <c r="Q61" s="16" t="s">
        <v>0</v>
      </c>
      <c r="R61" s="16" t="s">
        <v>0</v>
      </c>
      <c r="S61" s="32" t="s">
        <v>0</v>
      </c>
      <c r="T61" s="22" t="s">
        <v>62</v>
      </c>
      <c r="U61" s="9"/>
      <c r="V61" s="12"/>
      <c r="X61" s="10"/>
    </row>
    <row r="62" spans="1:28" s="3" customFormat="1" ht="38.25" customHeight="1" x14ac:dyDescent="0.25">
      <c r="A62" s="43" t="s">
        <v>1140</v>
      </c>
      <c r="B62" s="93" t="s">
        <v>1142</v>
      </c>
      <c r="C62" s="19" t="s">
        <v>1141</v>
      </c>
      <c r="D62" s="40">
        <v>41.290493953999999</v>
      </c>
      <c r="E62" s="18">
        <v>0.16370586000000001</v>
      </c>
      <c r="F62" s="16">
        <f>D62-E62</f>
        <v>41.126788093999998</v>
      </c>
      <c r="G62" s="17">
        <v>41.126788093999998</v>
      </c>
      <c r="H62" s="16">
        <f>J62+L62+N62+P62</f>
        <v>33.82585624</v>
      </c>
      <c r="I62" s="16">
        <v>0</v>
      </c>
      <c r="J62" s="16">
        <v>3.3339974299999997</v>
      </c>
      <c r="K62" s="16">
        <v>1.60883124</v>
      </c>
      <c r="L62" s="16">
        <v>16.014640549999999</v>
      </c>
      <c r="M62" s="16">
        <v>33.64600025</v>
      </c>
      <c r="N62" s="16">
        <v>14.477218259999999</v>
      </c>
      <c r="O62" s="16">
        <v>5.8719566040000002</v>
      </c>
      <c r="P62" s="16">
        <v>0</v>
      </c>
      <c r="Q62" s="16">
        <f>F62-H62</f>
        <v>7.3009318539999981</v>
      </c>
      <c r="R62" s="16">
        <f>H62-(I62+K62+M62)</f>
        <v>-1.4289752500000006</v>
      </c>
      <c r="S62" s="14">
        <f>R62/(I62+K62+M62)</f>
        <v>-4.0532749402172809E-2</v>
      </c>
      <c r="T62" s="92" t="s">
        <v>0</v>
      </c>
      <c r="U62" s="9"/>
      <c r="V62" s="12"/>
      <c r="X62" s="10"/>
    </row>
    <row r="63" spans="1:28" s="3" customFormat="1" ht="31.5" x14ac:dyDescent="0.25">
      <c r="A63" s="43" t="s">
        <v>1140</v>
      </c>
      <c r="B63" s="75" t="s">
        <v>1139</v>
      </c>
      <c r="C63" s="41" t="s">
        <v>1138</v>
      </c>
      <c r="D63" s="91">
        <v>66.179010619999985</v>
      </c>
      <c r="E63" s="18">
        <v>23.25275967</v>
      </c>
      <c r="F63" s="16">
        <f>D63-E63</f>
        <v>42.926250949999982</v>
      </c>
      <c r="G63" s="17">
        <v>12.165999999999986</v>
      </c>
      <c r="H63" s="16">
        <f>J63+L63+N63+P63</f>
        <v>0</v>
      </c>
      <c r="I63" s="16">
        <v>0</v>
      </c>
      <c r="J63" s="16">
        <v>0</v>
      </c>
      <c r="K63" s="16">
        <v>0</v>
      </c>
      <c r="L63" s="16">
        <v>0</v>
      </c>
      <c r="M63" s="16">
        <v>12.166</v>
      </c>
      <c r="N63" s="16">
        <v>0</v>
      </c>
      <c r="O63" s="16">
        <v>0</v>
      </c>
      <c r="P63" s="16">
        <v>0</v>
      </c>
      <c r="Q63" s="16">
        <f>F63-H63</f>
        <v>42.926250949999982</v>
      </c>
      <c r="R63" s="16">
        <f>H63-(I63+K63+M63)</f>
        <v>-12.166</v>
      </c>
      <c r="S63" s="14">
        <f>R63/(I63+K63+M63)</f>
        <v>-1</v>
      </c>
      <c r="T63" s="90" t="s">
        <v>1137</v>
      </c>
      <c r="U63" s="9"/>
      <c r="V63" s="12"/>
      <c r="X63" s="10"/>
    </row>
    <row r="64" spans="1:28" s="3" customFormat="1" x14ac:dyDescent="0.25">
      <c r="A64" s="35" t="s">
        <v>1136</v>
      </c>
      <c r="B64" s="37" t="s">
        <v>60</v>
      </c>
      <c r="C64" s="33" t="s">
        <v>11</v>
      </c>
      <c r="D64" s="28">
        <f t="shared" ref="D64:R64" si="22">SUM(D65:D65,)</f>
        <v>483.49720661698996</v>
      </c>
      <c r="E64" s="28">
        <f t="shared" si="22"/>
        <v>116.62441597</v>
      </c>
      <c r="F64" s="28">
        <f t="shared" si="22"/>
        <v>366.87279064698998</v>
      </c>
      <c r="G64" s="28">
        <f t="shared" si="22"/>
        <v>64.523941584989998</v>
      </c>
      <c r="H64" s="28">
        <f t="shared" si="22"/>
        <v>7.3966455500000006</v>
      </c>
      <c r="I64" s="28">
        <f t="shared" si="22"/>
        <v>2.4142776005599997</v>
      </c>
      <c r="J64" s="28">
        <f t="shared" si="22"/>
        <v>2.5709280000000001E-2</v>
      </c>
      <c r="K64" s="28">
        <f t="shared" si="22"/>
        <v>9.69246783</v>
      </c>
      <c r="L64" s="28">
        <f t="shared" si="22"/>
        <v>2.5709280000000001E-2</v>
      </c>
      <c r="M64" s="28">
        <f t="shared" si="22"/>
        <v>25.005659489999999</v>
      </c>
      <c r="N64" s="28">
        <f t="shared" si="22"/>
        <v>7.3452269900000005</v>
      </c>
      <c r="O64" s="28">
        <f t="shared" si="22"/>
        <v>27.411536664430002</v>
      </c>
      <c r="P64" s="28">
        <f t="shared" si="22"/>
        <v>0</v>
      </c>
      <c r="Q64" s="28">
        <f t="shared" si="22"/>
        <v>359.47614509698997</v>
      </c>
      <c r="R64" s="28">
        <f t="shared" si="22"/>
        <v>-29.715759370559994</v>
      </c>
      <c r="S64" s="27">
        <f>R64/(I64+K64+M64)</f>
        <v>-0.80069614012261658</v>
      </c>
      <c r="T64" s="26" t="s">
        <v>0</v>
      </c>
      <c r="U64" s="9"/>
      <c r="V64" s="12"/>
      <c r="X64" s="10"/>
    </row>
    <row r="65" spans="1:28" s="3" customFormat="1" ht="78.75" x14ac:dyDescent="0.25">
      <c r="A65" s="43" t="s">
        <v>1136</v>
      </c>
      <c r="B65" s="75" t="s">
        <v>1135</v>
      </c>
      <c r="C65" s="41" t="s">
        <v>1134</v>
      </c>
      <c r="D65" s="40">
        <v>483.49720661698996</v>
      </c>
      <c r="E65" s="18">
        <v>116.62441597</v>
      </c>
      <c r="F65" s="16">
        <f>D65-E65</f>
        <v>366.87279064698998</v>
      </c>
      <c r="G65" s="17">
        <v>64.523941584989998</v>
      </c>
      <c r="H65" s="16">
        <f>J65+L65+N65+P65</f>
        <v>7.3966455500000006</v>
      </c>
      <c r="I65" s="16">
        <v>2.4142776005599997</v>
      </c>
      <c r="J65" s="16">
        <f>25.70928/1000</f>
        <v>2.5709280000000001E-2</v>
      </c>
      <c r="K65" s="16">
        <v>9.69246783</v>
      </c>
      <c r="L65" s="16">
        <f>25.70928/1000</f>
        <v>2.5709280000000001E-2</v>
      </c>
      <c r="M65" s="16">
        <v>25.005659489999999</v>
      </c>
      <c r="N65" s="16">
        <v>7.3452269900000005</v>
      </c>
      <c r="O65" s="16">
        <v>27.411536664430002</v>
      </c>
      <c r="P65" s="16">
        <v>0</v>
      </c>
      <c r="Q65" s="16">
        <f>F65-H65</f>
        <v>359.47614509698997</v>
      </c>
      <c r="R65" s="16">
        <f>H65-(I65+K65+M65)</f>
        <v>-29.715759370559994</v>
      </c>
      <c r="S65" s="14">
        <f>R65/(I65+K65+M65)</f>
        <v>-0.80069614012261658</v>
      </c>
      <c r="T65" s="19" t="s">
        <v>1133</v>
      </c>
      <c r="U65" s="9"/>
      <c r="V65" s="12"/>
      <c r="X65" s="10"/>
    </row>
    <row r="66" spans="1:28" s="3" customFormat="1" ht="31.5" x14ac:dyDescent="0.25">
      <c r="A66" s="35" t="s">
        <v>1114</v>
      </c>
      <c r="B66" s="37" t="s">
        <v>59</v>
      </c>
      <c r="C66" s="33" t="s">
        <v>11</v>
      </c>
      <c r="D66" s="28">
        <f t="shared" ref="D66:R66" si="23">SUM(D67:D75)</f>
        <v>2246.0655185551141</v>
      </c>
      <c r="E66" s="28">
        <f t="shared" si="23"/>
        <v>201.9772892</v>
      </c>
      <c r="F66" s="28">
        <f t="shared" si="23"/>
        <v>2044.0882293551142</v>
      </c>
      <c r="G66" s="28">
        <f t="shared" si="23"/>
        <v>270.2415932435199</v>
      </c>
      <c r="H66" s="28">
        <f t="shared" si="23"/>
        <v>105.10574423</v>
      </c>
      <c r="I66" s="28">
        <f t="shared" si="23"/>
        <v>22.702734197670001</v>
      </c>
      <c r="J66" s="28">
        <f t="shared" si="23"/>
        <v>14.515316589999999</v>
      </c>
      <c r="K66" s="28">
        <f t="shared" si="23"/>
        <v>44.544928927770002</v>
      </c>
      <c r="L66" s="28">
        <f t="shared" si="23"/>
        <v>65.93739137</v>
      </c>
      <c r="M66" s="28">
        <f t="shared" si="23"/>
        <v>92.388072287709988</v>
      </c>
      <c r="N66" s="28">
        <f t="shared" si="23"/>
        <v>24.653036270000001</v>
      </c>
      <c r="O66" s="28">
        <f t="shared" si="23"/>
        <v>110.60585783037001</v>
      </c>
      <c r="P66" s="28">
        <f t="shared" si="23"/>
        <v>0</v>
      </c>
      <c r="Q66" s="28">
        <f t="shared" si="23"/>
        <v>1939.5027491351141</v>
      </c>
      <c r="R66" s="28">
        <f t="shared" si="23"/>
        <v>-55.050255193149987</v>
      </c>
      <c r="S66" s="27">
        <f>R66/(I66+K66+M66)</f>
        <v>-0.34484919714671375</v>
      </c>
      <c r="T66" s="26" t="s">
        <v>0</v>
      </c>
      <c r="U66" s="9"/>
      <c r="V66" s="12"/>
      <c r="X66" s="10"/>
    </row>
    <row r="67" spans="1:28" s="3" customFormat="1" ht="47.25" x14ac:dyDescent="0.25">
      <c r="A67" s="56" t="s">
        <v>1114</v>
      </c>
      <c r="B67" s="53" t="s">
        <v>1132</v>
      </c>
      <c r="C67" s="89" t="s">
        <v>1131</v>
      </c>
      <c r="D67" s="17" t="s">
        <v>0</v>
      </c>
      <c r="E67" s="18" t="s">
        <v>0</v>
      </c>
      <c r="F67" s="16" t="s">
        <v>0</v>
      </c>
      <c r="G67" s="17" t="s">
        <v>0</v>
      </c>
      <c r="H67" s="16">
        <f t="shared" ref="H67:H75" si="24">J67+L67+N67+P67</f>
        <v>1.7425489999999998E-2</v>
      </c>
      <c r="I67" s="16" t="s">
        <v>0</v>
      </c>
      <c r="J67" s="16">
        <v>5.8118299999999996E-3</v>
      </c>
      <c r="K67" s="16" t="s">
        <v>0</v>
      </c>
      <c r="L67" s="16">
        <v>5.8068300000000007E-3</v>
      </c>
      <c r="M67" s="16" t="s">
        <v>0</v>
      </c>
      <c r="N67" s="16">
        <v>5.8068299999999998E-3</v>
      </c>
      <c r="O67" s="16" t="s">
        <v>0</v>
      </c>
      <c r="P67" s="16">
        <v>0</v>
      </c>
      <c r="Q67" s="16" t="s">
        <v>0</v>
      </c>
      <c r="R67" s="16" t="s">
        <v>0</v>
      </c>
      <c r="S67" s="32" t="s">
        <v>0</v>
      </c>
      <c r="T67" s="13" t="s">
        <v>944</v>
      </c>
      <c r="U67" s="9"/>
      <c r="V67" s="12"/>
      <c r="X67" s="10"/>
      <c r="AB67" s="4"/>
    </row>
    <row r="68" spans="1:28" s="3" customFormat="1" ht="31.5" x14ac:dyDescent="0.25">
      <c r="A68" s="43" t="s">
        <v>1114</v>
      </c>
      <c r="B68" s="48" t="s">
        <v>1130</v>
      </c>
      <c r="C68" s="19" t="s">
        <v>1129</v>
      </c>
      <c r="D68" s="18">
        <v>715.23785404</v>
      </c>
      <c r="E68" s="18">
        <v>59.186067659999999</v>
      </c>
      <c r="F68" s="16">
        <f>D68-E68</f>
        <v>656.05178637999995</v>
      </c>
      <c r="G68" s="17">
        <v>177.40584319999996</v>
      </c>
      <c r="H68" s="16">
        <f t="shared" si="24"/>
        <v>70.814794570000004</v>
      </c>
      <c r="I68" s="16">
        <v>20</v>
      </c>
      <c r="J68" s="16">
        <v>1.8500948000000002</v>
      </c>
      <c r="K68" s="16">
        <v>21.518042879999999</v>
      </c>
      <c r="L68" s="16">
        <v>56.27372072</v>
      </c>
      <c r="M68" s="16">
        <v>51.376736859999994</v>
      </c>
      <c r="N68" s="16">
        <v>12.690979049999999</v>
      </c>
      <c r="O68" s="16">
        <v>84.511063460000003</v>
      </c>
      <c r="P68" s="16">
        <v>0</v>
      </c>
      <c r="Q68" s="16">
        <f>F68-H68</f>
        <v>585.23699180999995</v>
      </c>
      <c r="R68" s="16">
        <f>H68-(I68+K68+M68)</f>
        <v>-22.079985169999986</v>
      </c>
      <c r="S68" s="14">
        <f>R68/(I68+K68+M68)</f>
        <v>-0.23768811586397964</v>
      </c>
      <c r="T68" s="22" t="s">
        <v>1092</v>
      </c>
      <c r="U68" s="9"/>
      <c r="V68" s="12"/>
      <c r="X68" s="10"/>
      <c r="AB68" s="4"/>
    </row>
    <row r="69" spans="1:28" s="3" customFormat="1" ht="31.5" x14ac:dyDescent="0.25">
      <c r="A69" s="43" t="s">
        <v>1114</v>
      </c>
      <c r="B69" s="48" t="s">
        <v>1128</v>
      </c>
      <c r="C69" s="19" t="s">
        <v>1127</v>
      </c>
      <c r="D69" s="18">
        <v>1189.224696</v>
      </c>
      <c r="E69" s="18">
        <v>3.3124570800000002</v>
      </c>
      <c r="F69" s="16">
        <f>D69-E69</f>
        <v>1185.9122389199999</v>
      </c>
      <c r="G69" s="17">
        <v>6.1516826920000005</v>
      </c>
      <c r="H69" s="16">
        <f t="shared" si="24"/>
        <v>5.5825378499999996</v>
      </c>
      <c r="I69" s="16">
        <v>1.458605524</v>
      </c>
      <c r="J69" s="16">
        <v>5.5825378499999996</v>
      </c>
      <c r="K69" s="16">
        <v>1.3759000000000001</v>
      </c>
      <c r="L69" s="16">
        <v>0</v>
      </c>
      <c r="M69" s="16">
        <v>1.44</v>
      </c>
      <c r="N69" s="16">
        <v>0</v>
      </c>
      <c r="O69" s="16">
        <v>1.877177168</v>
      </c>
      <c r="P69" s="16">
        <v>0</v>
      </c>
      <c r="Q69" s="16">
        <f>F69-H69</f>
        <v>1180.3297010699998</v>
      </c>
      <c r="R69" s="16">
        <f>H69-(I69+K69+M69)</f>
        <v>1.3080323259999993</v>
      </c>
      <c r="S69" s="14">
        <f>R69/(I69+K69+M69)</f>
        <v>0.30600786889987869</v>
      </c>
      <c r="T69" s="22" t="s">
        <v>195</v>
      </c>
      <c r="U69" s="9"/>
      <c r="V69" s="12"/>
      <c r="X69" s="10"/>
      <c r="AB69" s="4"/>
    </row>
    <row r="70" spans="1:28" s="3" customFormat="1" ht="33" customHeight="1" x14ac:dyDescent="0.25">
      <c r="A70" s="81" t="s">
        <v>1114</v>
      </c>
      <c r="B70" s="79" t="s">
        <v>1126</v>
      </c>
      <c r="C70" s="78" t="s">
        <v>1125</v>
      </c>
      <c r="D70" s="18">
        <v>11.95328225952</v>
      </c>
      <c r="E70" s="18">
        <v>0</v>
      </c>
      <c r="F70" s="16">
        <f>D70-E70</f>
        <v>11.95328225952</v>
      </c>
      <c r="G70" s="17">
        <v>11.95328225952</v>
      </c>
      <c r="H70" s="16">
        <f t="shared" si="24"/>
        <v>7.2247798799999998</v>
      </c>
      <c r="I70" s="16">
        <v>0</v>
      </c>
      <c r="J70" s="16">
        <v>0</v>
      </c>
      <c r="K70" s="16">
        <v>0</v>
      </c>
      <c r="L70" s="16">
        <v>0</v>
      </c>
      <c r="M70" s="16">
        <v>7.1719693557099999</v>
      </c>
      <c r="N70" s="16">
        <v>7.2247798799999998</v>
      </c>
      <c r="O70" s="16">
        <v>4.78131290381</v>
      </c>
      <c r="P70" s="16">
        <v>0</v>
      </c>
      <c r="Q70" s="16">
        <f>F70-H70</f>
        <v>4.7285023795200001</v>
      </c>
      <c r="R70" s="16">
        <f>H70-(I70+K70+M70)</f>
        <v>5.2810524289999883E-2</v>
      </c>
      <c r="S70" s="14">
        <f>R70/(I70+K70+M70)</f>
        <v>7.3634620660996712E-3</v>
      </c>
      <c r="T70" s="22" t="s">
        <v>0</v>
      </c>
      <c r="U70" s="9"/>
      <c r="V70" s="12"/>
      <c r="X70" s="10"/>
      <c r="AB70" s="4"/>
    </row>
    <row r="71" spans="1:28" s="3" customFormat="1" ht="47.25" x14ac:dyDescent="0.25">
      <c r="A71" s="43" t="s">
        <v>1114</v>
      </c>
      <c r="B71" s="48" t="s">
        <v>1124</v>
      </c>
      <c r="C71" s="19" t="s">
        <v>1123</v>
      </c>
      <c r="D71" s="18">
        <v>116.1465066</v>
      </c>
      <c r="E71" s="18">
        <v>112.06089566999999</v>
      </c>
      <c r="F71" s="16">
        <f>D71-E71</f>
        <v>4.0856109300000014</v>
      </c>
      <c r="G71" s="17">
        <v>0</v>
      </c>
      <c r="H71" s="16">
        <f t="shared" si="24"/>
        <v>4.5947349700000002</v>
      </c>
      <c r="I71" s="16">
        <v>0</v>
      </c>
      <c r="J71" s="16">
        <v>4.5947349700000002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f>F71-H71</f>
        <v>-0.50912403999999878</v>
      </c>
      <c r="R71" s="16">
        <f>H71-(I71+K71+M71)</f>
        <v>4.5947349700000002</v>
      </c>
      <c r="S71" s="14">
        <v>1</v>
      </c>
      <c r="T71" s="22" t="s">
        <v>1122</v>
      </c>
      <c r="U71" s="9"/>
      <c r="V71" s="12"/>
      <c r="X71" s="10"/>
    </row>
    <row r="72" spans="1:28" s="3" customFormat="1" ht="64.5" customHeight="1" x14ac:dyDescent="0.25">
      <c r="A72" s="56" t="s">
        <v>1114</v>
      </c>
      <c r="B72" s="24" t="s">
        <v>1121</v>
      </c>
      <c r="C72" s="41" t="s">
        <v>1120</v>
      </c>
      <c r="D72" s="40" t="s">
        <v>0</v>
      </c>
      <c r="E72" s="18" t="s">
        <v>0</v>
      </c>
      <c r="F72" s="16" t="s">
        <v>0</v>
      </c>
      <c r="G72" s="17" t="s">
        <v>0</v>
      </c>
      <c r="H72" s="16">
        <f t="shared" si="24"/>
        <v>0.50283852000000007</v>
      </c>
      <c r="I72" s="16" t="s">
        <v>0</v>
      </c>
      <c r="J72" s="16">
        <v>0.50283852000000007</v>
      </c>
      <c r="K72" s="16" t="s">
        <v>0</v>
      </c>
      <c r="L72" s="16">
        <v>0</v>
      </c>
      <c r="M72" s="18" t="s">
        <v>0</v>
      </c>
      <c r="N72" s="16">
        <v>0</v>
      </c>
      <c r="O72" s="18" t="s">
        <v>0</v>
      </c>
      <c r="P72" s="16">
        <v>0</v>
      </c>
      <c r="Q72" s="16" t="s">
        <v>0</v>
      </c>
      <c r="R72" s="16" t="s">
        <v>0</v>
      </c>
      <c r="S72" s="32" t="s">
        <v>0</v>
      </c>
      <c r="T72" s="22" t="s">
        <v>62</v>
      </c>
      <c r="U72" s="9"/>
      <c r="V72" s="12"/>
      <c r="X72" s="10"/>
    </row>
    <row r="73" spans="1:28" s="3" customFormat="1" ht="47.25" x14ac:dyDescent="0.25">
      <c r="A73" s="56" t="s">
        <v>1114</v>
      </c>
      <c r="B73" s="24" t="s">
        <v>1119</v>
      </c>
      <c r="C73" s="41" t="s">
        <v>1118</v>
      </c>
      <c r="D73" s="18">
        <v>209.72670502359438</v>
      </c>
      <c r="E73" s="18">
        <v>27.41786879</v>
      </c>
      <c r="F73" s="16">
        <f>D73-E73</f>
        <v>182.30883623359438</v>
      </c>
      <c r="G73" s="17">
        <v>70.954310459999974</v>
      </c>
      <c r="H73" s="16">
        <f t="shared" si="24"/>
        <v>12.000089539999999</v>
      </c>
      <c r="I73" s="16">
        <v>1.2441286736699999</v>
      </c>
      <c r="J73" s="16">
        <f>1740.49862/1000</f>
        <v>1.7404986200000001</v>
      </c>
      <c r="K73" s="16">
        <v>18.865467537770002</v>
      </c>
      <c r="L73" s="16">
        <v>9.6115909199999994</v>
      </c>
      <c r="M73" s="18">
        <v>31.40854749</v>
      </c>
      <c r="N73" s="16">
        <v>0.64800000000000002</v>
      </c>
      <c r="O73" s="18">
        <v>19.436166758560002</v>
      </c>
      <c r="P73" s="16">
        <v>0</v>
      </c>
      <c r="Q73" s="16">
        <f>F73-H73</f>
        <v>170.30874669359437</v>
      </c>
      <c r="R73" s="16">
        <f>H73-(I73+K73+M73)</f>
        <v>-39.518054161440006</v>
      </c>
      <c r="S73" s="14">
        <f>R73/(I73+K73+M73)</f>
        <v>-0.76707061478101013</v>
      </c>
      <c r="T73" s="22" t="s">
        <v>1117</v>
      </c>
      <c r="U73" s="9"/>
      <c r="V73" s="12"/>
      <c r="X73" s="10"/>
    </row>
    <row r="74" spans="1:28" s="3" customFormat="1" ht="72" customHeight="1" x14ac:dyDescent="0.25">
      <c r="A74" s="56" t="s">
        <v>1114</v>
      </c>
      <c r="B74" s="24" t="s">
        <v>1116</v>
      </c>
      <c r="C74" s="41" t="s">
        <v>1115</v>
      </c>
      <c r="D74" s="18">
        <v>0.79064712399999992</v>
      </c>
      <c r="E74" s="18">
        <v>0</v>
      </c>
      <c r="F74" s="16">
        <f>D74-E74</f>
        <v>0.79064712399999992</v>
      </c>
      <c r="G74" s="17">
        <v>0.79064712399999992</v>
      </c>
      <c r="H74" s="16">
        <f t="shared" si="24"/>
        <v>0.25122251000000001</v>
      </c>
      <c r="I74" s="16">
        <v>0</v>
      </c>
      <c r="J74" s="16">
        <v>0.23880000000000001</v>
      </c>
      <c r="K74" s="16">
        <v>0.26551850999999999</v>
      </c>
      <c r="L74" s="16">
        <v>3.0000000000000001E-3</v>
      </c>
      <c r="M74" s="18">
        <v>0.52512861399999999</v>
      </c>
      <c r="N74" s="16">
        <v>9.4225100000000003E-3</v>
      </c>
      <c r="O74" s="18">
        <v>0</v>
      </c>
      <c r="P74" s="16">
        <v>0</v>
      </c>
      <c r="Q74" s="16">
        <f>F74-H74</f>
        <v>0.53942461399999986</v>
      </c>
      <c r="R74" s="16">
        <f>H74-(I74+K74+M74)</f>
        <v>-0.53942461399999986</v>
      </c>
      <c r="S74" s="14">
        <f>R74/(I74+K74+M74)</f>
        <v>-0.68225710007135865</v>
      </c>
      <c r="T74" s="22" t="s">
        <v>1084</v>
      </c>
      <c r="U74" s="9"/>
      <c r="V74" s="12"/>
      <c r="X74" s="10"/>
    </row>
    <row r="75" spans="1:28" s="3" customFormat="1" ht="48" customHeight="1" x14ac:dyDescent="0.25">
      <c r="A75" s="56" t="s">
        <v>1114</v>
      </c>
      <c r="B75" s="24" t="s">
        <v>1113</v>
      </c>
      <c r="C75" s="41" t="s">
        <v>1112</v>
      </c>
      <c r="D75" s="18">
        <v>2.9858275079999999</v>
      </c>
      <c r="E75" s="18">
        <v>0</v>
      </c>
      <c r="F75" s="16">
        <f>D75-E75</f>
        <v>2.9858275079999999</v>
      </c>
      <c r="G75" s="17">
        <v>2.9858275079999999</v>
      </c>
      <c r="H75" s="16">
        <f t="shared" si="24"/>
        <v>4.1173208999999993</v>
      </c>
      <c r="I75" s="16">
        <v>0</v>
      </c>
      <c r="J75" s="16">
        <v>0</v>
      </c>
      <c r="K75" s="16">
        <v>2.52</v>
      </c>
      <c r="L75" s="16">
        <v>4.3272900000000003E-2</v>
      </c>
      <c r="M75" s="18">
        <v>0.46568996800000001</v>
      </c>
      <c r="N75" s="16">
        <v>4.0740479999999994</v>
      </c>
      <c r="O75" s="18">
        <v>1.3753999999999999E-4</v>
      </c>
      <c r="P75" s="16">
        <v>0</v>
      </c>
      <c r="Q75" s="16">
        <f>F75-H75</f>
        <v>-1.1314933919999994</v>
      </c>
      <c r="R75" s="16">
        <f>H75-(I75+K75+M75)</f>
        <v>1.1316309319999993</v>
      </c>
      <c r="S75" s="14">
        <f>R75/(I75+K75+M75)</f>
        <v>0.37901823167461551</v>
      </c>
      <c r="T75" s="22" t="s">
        <v>1111</v>
      </c>
      <c r="U75" s="9"/>
      <c r="V75" s="12"/>
      <c r="X75" s="10"/>
    </row>
    <row r="76" spans="1:28" s="3" customFormat="1" ht="31.5" x14ac:dyDescent="0.25">
      <c r="A76" s="35" t="s">
        <v>1110</v>
      </c>
      <c r="B76" s="37" t="s">
        <v>53</v>
      </c>
      <c r="C76" s="33" t="s">
        <v>11</v>
      </c>
      <c r="D76" s="28">
        <f t="shared" ref="D76:R76" si="25">D77+D90+D91+D109</f>
        <v>7821.6760567601432</v>
      </c>
      <c r="E76" s="28">
        <f t="shared" si="25"/>
        <v>2100.5564566699995</v>
      </c>
      <c r="F76" s="28">
        <f t="shared" si="25"/>
        <v>5721.1196000901436</v>
      </c>
      <c r="G76" s="28">
        <f t="shared" si="25"/>
        <v>1110.3915484210975</v>
      </c>
      <c r="H76" s="28">
        <f t="shared" si="25"/>
        <v>694.31499430999997</v>
      </c>
      <c r="I76" s="28">
        <f t="shared" si="25"/>
        <v>40.377825256999991</v>
      </c>
      <c r="J76" s="28">
        <f t="shared" si="25"/>
        <v>179.24550226999997</v>
      </c>
      <c r="K76" s="28">
        <f t="shared" si="25"/>
        <v>160.17168501</v>
      </c>
      <c r="L76" s="28">
        <f t="shared" si="25"/>
        <v>323.65923651000003</v>
      </c>
      <c r="M76" s="28">
        <f t="shared" si="25"/>
        <v>428.22536576200002</v>
      </c>
      <c r="N76" s="28">
        <f t="shared" si="25"/>
        <v>191.41025552999997</v>
      </c>
      <c r="O76" s="28">
        <f t="shared" si="25"/>
        <v>481.61667239010001</v>
      </c>
      <c r="P76" s="28">
        <f t="shared" si="25"/>
        <v>0</v>
      </c>
      <c r="Q76" s="28">
        <f t="shared" si="25"/>
        <v>5090.6016045001443</v>
      </c>
      <c r="R76" s="28">
        <f t="shared" si="25"/>
        <v>1.7431195610000003</v>
      </c>
      <c r="S76" s="27">
        <f>R76/(I76+K76+M76)</f>
        <v>2.7722474727498577E-3</v>
      </c>
      <c r="T76" s="26" t="s">
        <v>0</v>
      </c>
      <c r="U76" s="9"/>
      <c r="V76" s="12"/>
      <c r="X76" s="10"/>
    </row>
    <row r="77" spans="1:28" s="3" customFormat="1" ht="31.5" x14ac:dyDescent="0.25">
      <c r="A77" s="35" t="s">
        <v>1083</v>
      </c>
      <c r="B77" s="37" t="s">
        <v>51</v>
      </c>
      <c r="C77" s="33" t="s">
        <v>11</v>
      </c>
      <c r="D77" s="28">
        <f t="shared" ref="D77:R77" si="26">SUM(D78:D89)</f>
        <v>2118.3714366136001</v>
      </c>
      <c r="E77" s="28">
        <f t="shared" si="26"/>
        <v>639.31632709999997</v>
      </c>
      <c r="F77" s="28">
        <f t="shared" si="26"/>
        <v>1479.0551095136002</v>
      </c>
      <c r="G77" s="28">
        <f t="shared" si="26"/>
        <v>455.06281943300002</v>
      </c>
      <c r="H77" s="28">
        <f t="shared" si="26"/>
        <v>335.94490099000001</v>
      </c>
      <c r="I77" s="28">
        <f t="shared" si="26"/>
        <v>7.9534504409999993</v>
      </c>
      <c r="J77" s="28">
        <f t="shared" si="26"/>
        <v>65.883141449999982</v>
      </c>
      <c r="K77" s="28">
        <f t="shared" si="26"/>
        <v>64.444000000000003</v>
      </c>
      <c r="L77" s="28">
        <f t="shared" si="26"/>
        <v>205.40974575000001</v>
      </c>
      <c r="M77" s="28">
        <f t="shared" si="26"/>
        <v>160.39299921</v>
      </c>
      <c r="N77" s="28">
        <f t="shared" si="26"/>
        <v>64.652013789999998</v>
      </c>
      <c r="O77" s="28">
        <f t="shared" si="26"/>
        <v>222.27236977799998</v>
      </c>
      <c r="P77" s="28">
        <f t="shared" si="26"/>
        <v>0</v>
      </c>
      <c r="Q77" s="28">
        <f t="shared" si="26"/>
        <v>1144.3312416836</v>
      </c>
      <c r="R77" s="28">
        <f t="shared" si="26"/>
        <v>101.93341817899999</v>
      </c>
      <c r="S77" s="27">
        <f>R77/(I77+K77+M77)</f>
        <v>0.43787628887619229</v>
      </c>
      <c r="T77" s="26" t="s">
        <v>0</v>
      </c>
      <c r="U77" s="9"/>
      <c r="V77" s="12"/>
      <c r="X77" s="10"/>
    </row>
    <row r="78" spans="1:28" s="3" customFormat="1" ht="31.5" x14ac:dyDescent="0.25">
      <c r="A78" s="43" t="s">
        <v>1083</v>
      </c>
      <c r="B78" s="20" t="s">
        <v>1109</v>
      </c>
      <c r="C78" s="19" t="s">
        <v>1108</v>
      </c>
      <c r="D78" s="16" t="s">
        <v>0</v>
      </c>
      <c r="E78" s="18" t="s">
        <v>0</v>
      </c>
      <c r="F78" s="16" t="s">
        <v>0</v>
      </c>
      <c r="G78" s="17" t="s">
        <v>0</v>
      </c>
      <c r="H78" s="16">
        <f t="shared" ref="H78:H89" si="27">J78+L78+N78+P78</f>
        <v>1.2099521899999999</v>
      </c>
      <c r="I78" s="16" t="s">
        <v>0</v>
      </c>
      <c r="J78" s="16">
        <v>1.2099521899999999</v>
      </c>
      <c r="K78" s="16" t="s">
        <v>0</v>
      </c>
      <c r="L78" s="16">
        <v>0</v>
      </c>
      <c r="M78" s="16" t="s">
        <v>0</v>
      </c>
      <c r="N78" s="16">
        <v>0</v>
      </c>
      <c r="O78" s="16" t="s">
        <v>0</v>
      </c>
      <c r="P78" s="16">
        <v>0</v>
      </c>
      <c r="Q78" s="16" t="s">
        <v>0</v>
      </c>
      <c r="R78" s="16" t="s">
        <v>0</v>
      </c>
      <c r="S78" s="32" t="s">
        <v>0</v>
      </c>
      <c r="T78" s="22" t="s">
        <v>195</v>
      </c>
      <c r="U78" s="9"/>
      <c r="V78" s="12"/>
      <c r="X78" s="10"/>
      <c r="AB78" s="4"/>
    </row>
    <row r="79" spans="1:28" s="3" customFormat="1" ht="38.25" customHeight="1" x14ac:dyDescent="0.25">
      <c r="A79" s="81" t="s">
        <v>1083</v>
      </c>
      <c r="B79" s="79" t="s">
        <v>1107</v>
      </c>
      <c r="C79" s="78" t="s">
        <v>1106</v>
      </c>
      <c r="D79" s="16">
        <v>133.94674607000002</v>
      </c>
      <c r="E79" s="18">
        <v>59.241946069999997</v>
      </c>
      <c r="F79" s="16">
        <f>D79-E79</f>
        <v>74.70480000000002</v>
      </c>
      <c r="G79" s="17">
        <v>71.437912400000002</v>
      </c>
      <c r="H79" s="16">
        <f t="shared" si="27"/>
        <v>85.33919920000001</v>
      </c>
      <c r="I79" s="16">
        <v>0</v>
      </c>
      <c r="J79" s="16">
        <v>1.3484188300000002</v>
      </c>
      <c r="K79" s="16">
        <v>0</v>
      </c>
      <c r="L79" s="16">
        <v>69.332944450000014</v>
      </c>
      <c r="M79" s="16">
        <v>0</v>
      </c>
      <c r="N79" s="16">
        <v>14.65783592</v>
      </c>
      <c r="O79" s="16">
        <v>71.437912400000002</v>
      </c>
      <c r="P79" s="16">
        <v>0</v>
      </c>
      <c r="Q79" s="16">
        <f>F79-H79</f>
        <v>-10.63439919999999</v>
      </c>
      <c r="R79" s="16">
        <f>H79-(I79+K79+M79)</f>
        <v>85.33919920000001</v>
      </c>
      <c r="S79" s="14">
        <v>1</v>
      </c>
      <c r="T79" s="22" t="s">
        <v>431</v>
      </c>
      <c r="U79" s="9"/>
      <c r="V79" s="12"/>
      <c r="X79" s="10"/>
      <c r="AB79" s="4"/>
    </row>
    <row r="80" spans="1:28" s="3" customFormat="1" ht="31.5" x14ac:dyDescent="0.25">
      <c r="A80" s="43" t="s">
        <v>1083</v>
      </c>
      <c r="B80" s="20" t="s">
        <v>1105</v>
      </c>
      <c r="C80" s="19" t="s">
        <v>1104</v>
      </c>
      <c r="D80" s="16">
        <v>14.833645607999999</v>
      </c>
      <c r="E80" s="18">
        <v>12.097465889999999</v>
      </c>
      <c r="F80" s="16">
        <f>D80-E80</f>
        <v>2.7361797180000007</v>
      </c>
      <c r="G80" s="17">
        <v>0.50245043699999947</v>
      </c>
      <c r="H80" s="16">
        <f t="shared" si="27"/>
        <v>2.5929825000000002</v>
      </c>
      <c r="I80" s="16">
        <v>0.50245043699999947</v>
      </c>
      <c r="J80" s="16">
        <v>2.5929825000000002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f>F80-H80</f>
        <v>0.14319721800000051</v>
      </c>
      <c r="R80" s="16">
        <f>H80-(I80+K80+M80)</f>
        <v>2.0905320630000008</v>
      </c>
      <c r="S80" s="14">
        <f>R80/(I80+K80+M80)</f>
        <v>4.1606731909360501</v>
      </c>
      <c r="T80" s="22" t="s">
        <v>195</v>
      </c>
      <c r="U80" s="9"/>
      <c r="V80" s="12"/>
      <c r="X80" s="10"/>
      <c r="AB80" s="4"/>
    </row>
    <row r="81" spans="1:28" s="3" customFormat="1" ht="31.5" x14ac:dyDescent="0.25">
      <c r="A81" s="43" t="s">
        <v>1083</v>
      </c>
      <c r="B81" s="85" t="s">
        <v>1103</v>
      </c>
      <c r="C81" s="41" t="s">
        <v>1102</v>
      </c>
      <c r="D81" s="16" t="s">
        <v>0</v>
      </c>
      <c r="E81" s="18" t="s">
        <v>0</v>
      </c>
      <c r="F81" s="16" t="s">
        <v>0</v>
      </c>
      <c r="G81" s="17" t="s">
        <v>0</v>
      </c>
      <c r="H81" s="16">
        <f t="shared" si="27"/>
        <v>1.0981690000000001E-2</v>
      </c>
      <c r="I81" s="16" t="s">
        <v>0</v>
      </c>
      <c r="J81" s="16">
        <v>1.0981690000000001E-2</v>
      </c>
      <c r="K81" s="16" t="s">
        <v>0</v>
      </c>
      <c r="L81" s="16">
        <v>0</v>
      </c>
      <c r="M81" s="16" t="s">
        <v>0</v>
      </c>
      <c r="N81" s="16">
        <v>0</v>
      </c>
      <c r="O81" s="16" t="s">
        <v>0</v>
      </c>
      <c r="P81" s="16">
        <v>0</v>
      </c>
      <c r="Q81" s="16" t="s">
        <v>0</v>
      </c>
      <c r="R81" s="16" t="s">
        <v>0</v>
      </c>
      <c r="S81" s="32" t="s">
        <v>0</v>
      </c>
      <c r="T81" s="22" t="s">
        <v>195</v>
      </c>
      <c r="U81" s="9"/>
      <c r="V81" s="12"/>
      <c r="X81" s="10"/>
      <c r="AB81" s="4"/>
    </row>
    <row r="82" spans="1:28" s="3" customFormat="1" ht="31.5" x14ac:dyDescent="0.25">
      <c r="A82" s="43" t="s">
        <v>1083</v>
      </c>
      <c r="B82" s="20" t="s">
        <v>1101</v>
      </c>
      <c r="C82" s="19" t="s">
        <v>1100</v>
      </c>
      <c r="D82" s="16">
        <v>13.044296443999999</v>
      </c>
      <c r="E82" s="18">
        <v>10.734809499999999</v>
      </c>
      <c r="F82" s="16">
        <f>D82-E82</f>
        <v>2.3094869439999997</v>
      </c>
      <c r="G82" s="17">
        <v>0.48900000399999954</v>
      </c>
      <c r="H82" s="16">
        <f t="shared" si="27"/>
        <v>0.89768291</v>
      </c>
      <c r="I82" s="16">
        <v>0.48900000399999954</v>
      </c>
      <c r="J82" s="16">
        <v>0.89768291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>
        <f>F82-H82</f>
        <v>1.4118040339999998</v>
      </c>
      <c r="R82" s="16">
        <f>H82-(I82+K82+M82)</f>
        <v>0.40868290600000046</v>
      </c>
      <c r="S82" s="14">
        <f>R82/(I82+K82+M82)</f>
        <v>0.83575235717176155</v>
      </c>
      <c r="T82" s="22" t="s">
        <v>195</v>
      </c>
      <c r="U82" s="9"/>
      <c r="V82" s="12"/>
      <c r="X82" s="10"/>
      <c r="AB82" s="4"/>
    </row>
    <row r="83" spans="1:28" s="3" customFormat="1" ht="31.5" x14ac:dyDescent="0.25">
      <c r="A83" s="43" t="s">
        <v>1083</v>
      </c>
      <c r="B83" s="20" t="s">
        <v>1099</v>
      </c>
      <c r="C83" s="19" t="s">
        <v>1098</v>
      </c>
      <c r="D83" s="16" t="s">
        <v>0</v>
      </c>
      <c r="E83" s="18" t="s">
        <v>0</v>
      </c>
      <c r="F83" s="16" t="s">
        <v>0</v>
      </c>
      <c r="G83" s="17" t="s">
        <v>0</v>
      </c>
      <c r="H83" s="16">
        <f t="shared" si="27"/>
        <v>9.9279999999999998E-5</v>
      </c>
      <c r="I83" s="16" t="s">
        <v>0</v>
      </c>
      <c r="J83" s="16">
        <v>9.9279999999999998E-5</v>
      </c>
      <c r="K83" s="16" t="s">
        <v>0</v>
      </c>
      <c r="L83" s="16">
        <v>0</v>
      </c>
      <c r="M83" s="16" t="s">
        <v>0</v>
      </c>
      <c r="N83" s="16">
        <v>0</v>
      </c>
      <c r="O83" s="16" t="s">
        <v>0</v>
      </c>
      <c r="P83" s="16">
        <v>0</v>
      </c>
      <c r="Q83" s="16" t="s">
        <v>0</v>
      </c>
      <c r="R83" s="16" t="s">
        <v>0</v>
      </c>
      <c r="S83" s="32" t="s">
        <v>0</v>
      </c>
      <c r="T83" s="22" t="s">
        <v>195</v>
      </c>
      <c r="U83" s="9"/>
      <c r="V83" s="12"/>
      <c r="X83" s="10"/>
      <c r="AB83" s="4"/>
    </row>
    <row r="84" spans="1:28" s="3" customFormat="1" ht="31.5" x14ac:dyDescent="0.25">
      <c r="A84" s="43" t="s">
        <v>1083</v>
      </c>
      <c r="B84" s="20" t="s">
        <v>1097</v>
      </c>
      <c r="C84" s="19" t="s">
        <v>1096</v>
      </c>
      <c r="D84" s="16">
        <v>93.562124991999994</v>
      </c>
      <c r="E84" s="18">
        <v>46.07709887</v>
      </c>
      <c r="F84" s="16">
        <f t="shared" ref="F84:F89" si="28">D84-E84</f>
        <v>47.485026121999994</v>
      </c>
      <c r="G84" s="17">
        <v>33.476399999999998</v>
      </c>
      <c r="H84" s="16">
        <f t="shared" si="27"/>
        <v>10.4149803</v>
      </c>
      <c r="I84" s="16">
        <v>0</v>
      </c>
      <c r="J84" s="16">
        <v>3.7796411699999997</v>
      </c>
      <c r="K84" s="16">
        <v>10.582000000000001</v>
      </c>
      <c r="L84" s="16">
        <v>5.830968330000001</v>
      </c>
      <c r="M84" s="16">
        <v>20.318726259999998</v>
      </c>
      <c r="N84" s="16">
        <v>0.80437080000000005</v>
      </c>
      <c r="O84" s="16">
        <v>2.57567374</v>
      </c>
      <c r="P84" s="16">
        <v>0</v>
      </c>
      <c r="Q84" s="16">
        <f t="shared" ref="Q84:Q89" si="29">F84-H84</f>
        <v>37.070045821999997</v>
      </c>
      <c r="R84" s="16">
        <f t="shared" ref="R84:R89" si="30">H84-(I84+K84+M84)</f>
        <v>-20.485745959999999</v>
      </c>
      <c r="S84" s="14">
        <f>R84/(I84+K84+M84)</f>
        <v>-0.66295354315080102</v>
      </c>
      <c r="T84" s="22" t="s">
        <v>1095</v>
      </c>
      <c r="U84" s="9"/>
      <c r="V84" s="12"/>
      <c r="X84" s="10"/>
      <c r="AB84" s="4"/>
    </row>
    <row r="85" spans="1:28" s="3" customFormat="1" ht="31.5" x14ac:dyDescent="0.25">
      <c r="A85" s="43" t="s">
        <v>1083</v>
      </c>
      <c r="B85" s="20" t="s">
        <v>1094</v>
      </c>
      <c r="C85" s="19" t="s">
        <v>1093</v>
      </c>
      <c r="D85" s="16">
        <v>230.62577827999999</v>
      </c>
      <c r="E85" s="18">
        <v>66.888440979999999</v>
      </c>
      <c r="F85" s="16">
        <f t="shared" si="28"/>
        <v>163.73733729999998</v>
      </c>
      <c r="G85" s="17">
        <v>65.012032423999997</v>
      </c>
      <c r="H85" s="16">
        <f t="shared" si="27"/>
        <v>50.295268380000003</v>
      </c>
      <c r="I85" s="16">
        <v>0</v>
      </c>
      <c r="J85" s="16">
        <v>5.7604006700000001</v>
      </c>
      <c r="K85" s="16">
        <v>34.902000000000001</v>
      </c>
      <c r="L85" s="16">
        <v>31.059034370000003</v>
      </c>
      <c r="M85" s="16">
        <v>2.0249189200000002</v>
      </c>
      <c r="N85" s="16">
        <v>13.475833339999999</v>
      </c>
      <c r="O85" s="16">
        <v>28.085113504000002</v>
      </c>
      <c r="P85" s="16">
        <v>0</v>
      </c>
      <c r="Q85" s="16">
        <f t="shared" si="29"/>
        <v>113.44206891999997</v>
      </c>
      <c r="R85" s="16">
        <f t="shared" si="30"/>
        <v>13.368349460000005</v>
      </c>
      <c r="S85" s="14">
        <f>R85/(I85+K85+M85)</f>
        <v>0.36202179469567308</v>
      </c>
      <c r="T85" s="22" t="s">
        <v>1092</v>
      </c>
      <c r="U85" s="9"/>
      <c r="V85" s="12"/>
      <c r="X85" s="10"/>
      <c r="AB85" s="4"/>
    </row>
    <row r="86" spans="1:28" s="3" customFormat="1" ht="31.5" x14ac:dyDescent="0.25">
      <c r="A86" s="43" t="s">
        <v>1083</v>
      </c>
      <c r="B86" s="20" t="s">
        <v>1091</v>
      </c>
      <c r="C86" s="41" t="s">
        <v>1090</v>
      </c>
      <c r="D86" s="16">
        <v>151.79497391799998</v>
      </c>
      <c r="E86" s="18">
        <v>40.293912219999996</v>
      </c>
      <c r="F86" s="16">
        <f t="shared" si="28"/>
        <v>111.50106169799999</v>
      </c>
      <c r="G86" s="17">
        <v>57.411096575999998</v>
      </c>
      <c r="H86" s="16">
        <f t="shared" si="27"/>
        <v>47.82871136</v>
      </c>
      <c r="I86" s="16">
        <v>2.6619999999999999</v>
      </c>
      <c r="J86" s="16">
        <v>0.73369428999999997</v>
      </c>
      <c r="K86" s="16">
        <v>0</v>
      </c>
      <c r="L86" s="16">
        <v>34.356954109999997</v>
      </c>
      <c r="M86" s="16">
        <v>35.348550000000003</v>
      </c>
      <c r="N86" s="16">
        <v>12.738062959999999</v>
      </c>
      <c r="O86" s="16">
        <v>19.400546576</v>
      </c>
      <c r="P86" s="16">
        <v>0</v>
      </c>
      <c r="Q86" s="16">
        <f t="shared" si="29"/>
        <v>63.672350337999987</v>
      </c>
      <c r="R86" s="16">
        <f t="shared" si="30"/>
        <v>9.8181613599999977</v>
      </c>
      <c r="S86" s="14">
        <f>R86/(I86+K86+M86)</f>
        <v>0.25830095486647781</v>
      </c>
      <c r="T86" s="22" t="s">
        <v>1089</v>
      </c>
      <c r="U86" s="9"/>
      <c r="V86" s="12"/>
      <c r="X86" s="10"/>
      <c r="AB86" s="4"/>
    </row>
    <row r="87" spans="1:28" s="3" customFormat="1" ht="31.5" x14ac:dyDescent="0.25">
      <c r="A87" s="43" t="s">
        <v>1083</v>
      </c>
      <c r="B87" s="20" t="s">
        <v>1088</v>
      </c>
      <c r="C87" s="41" t="s">
        <v>1087</v>
      </c>
      <c r="D87" s="16">
        <v>7.2093277999999996</v>
      </c>
      <c r="E87" s="18">
        <v>4.5340620899999999</v>
      </c>
      <c r="F87" s="16">
        <f t="shared" si="28"/>
        <v>2.6752657099999997</v>
      </c>
      <c r="G87" s="17">
        <v>0</v>
      </c>
      <c r="H87" s="16">
        <f t="shared" si="27"/>
        <v>1.0223299999999999E-3</v>
      </c>
      <c r="I87" s="16">
        <v>0</v>
      </c>
      <c r="J87" s="16">
        <v>1.0223299999999999E-3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f t="shared" si="29"/>
        <v>2.6742433799999996</v>
      </c>
      <c r="R87" s="16">
        <f t="shared" si="30"/>
        <v>1.0223299999999999E-3</v>
      </c>
      <c r="S87" s="14">
        <v>1</v>
      </c>
      <c r="T87" s="22" t="s">
        <v>195</v>
      </c>
      <c r="U87" s="9"/>
      <c r="V87" s="12"/>
      <c r="X87" s="10"/>
      <c r="AB87" s="4"/>
    </row>
    <row r="88" spans="1:28" s="3" customFormat="1" ht="53.25" customHeight="1" x14ac:dyDescent="0.25">
      <c r="A88" s="81" t="s">
        <v>1083</v>
      </c>
      <c r="B88" s="83" t="s">
        <v>1086</v>
      </c>
      <c r="C88" s="82" t="s">
        <v>1085</v>
      </c>
      <c r="D88" s="16">
        <v>419.75422440000006</v>
      </c>
      <c r="E88" s="18">
        <v>0</v>
      </c>
      <c r="F88" s="16">
        <f t="shared" si="28"/>
        <v>419.75422440000006</v>
      </c>
      <c r="G88" s="17">
        <v>22.362479999999998</v>
      </c>
      <c r="H88" s="16">
        <f t="shared" si="27"/>
        <v>0.88487810999999994</v>
      </c>
      <c r="I88" s="16">
        <v>0</v>
      </c>
      <c r="J88" s="16">
        <v>0.88487810999999994</v>
      </c>
      <c r="K88" s="16">
        <v>0</v>
      </c>
      <c r="L88" s="16">
        <v>0</v>
      </c>
      <c r="M88" s="16">
        <v>0</v>
      </c>
      <c r="N88" s="16">
        <v>0</v>
      </c>
      <c r="O88" s="16">
        <v>22.362479999999998</v>
      </c>
      <c r="P88" s="16">
        <v>0</v>
      </c>
      <c r="Q88" s="16">
        <f t="shared" si="29"/>
        <v>418.86934629000007</v>
      </c>
      <c r="R88" s="16">
        <f t="shared" si="30"/>
        <v>0.88487810999999994</v>
      </c>
      <c r="S88" s="14">
        <v>1</v>
      </c>
      <c r="T88" s="22" t="s">
        <v>1084</v>
      </c>
      <c r="U88" s="9"/>
      <c r="V88" s="12"/>
      <c r="X88" s="10"/>
      <c r="AB88" s="4"/>
    </row>
    <row r="89" spans="1:28" s="3" customFormat="1" ht="47.25" x14ac:dyDescent="0.25">
      <c r="A89" s="43" t="s">
        <v>1083</v>
      </c>
      <c r="B89" s="20" t="s">
        <v>1082</v>
      </c>
      <c r="C89" s="41" t="s">
        <v>1081</v>
      </c>
      <c r="D89" s="16">
        <v>1053.6003191016</v>
      </c>
      <c r="E89" s="18">
        <v>399.44859148</v>
      </c>
      <c r="F89" s="16">
        <f t="shared" si="28"/>
        <v>654.1517276216</v>
      </c>
      <c r="G89" s="17">
        <v>204.37144759200001</v>
      </c>
      <c r="H89" s="16">
        <f t="shared" si="27"/>
        <v>136.46914274</v>
      </c>
      <c r="I89" s="16">
        <v>4.3</v>
      </c>
      <c r="J89" s="16">
        <v>48.66338747999999</v>
      </c>
      <c r="K89" s="16">
        <v>18.96</v>
      </c>
      <c r="L89" s="16">
        <v>64.829844489999999</v>
      </c>
      <c r="M89" s="16">
        <v>102.70080403</v>
      </c>
      <c r="N89" s="16">
        <v>22.975910769999999</v>
      </c>
      <c r="O89" s="16">
        <v>78.41064355799999</v>
      </c>
      <c r="P89" s="16">
        <v>0</v>
      </c>
      <c r="Q89" s="16">
        <f t="shared" si="29"/>
        <v>517.68258488159995</v>
      </c>
      <c r="R89" s="16">
        <f t="shared" si="30"/>
        <v>10.50833870999999</v>
      </c>
      <c r="S89" s="14">
        <f>R89/(I89+K89+M89)</f>
        <v>8.3425465492402109E-2</v>
      </c>
      <c r="T89" s="22" t="s">
        <v>1080</v>
      </c>
      <c r="U89" s="9"/>
      <c r="V89" s="12"/>
      <c r="X89" s="10"/>
      <c r="AB89" s="4"/>
    </row>
    <row r="90" spans="1:28" s="3" customFormat="1" ht="31.5" x14ac:dyDescent="0.25">
      <c r="A90" s="35" t="s">
        <v>1078</v>
      </c>
      <c r="B90" s="37" t="s">
        <v>49</v>
      </c>
      <c r="C90" s="33" t="s">
        <v>11</v>
      </c>
      <c r="D90" s="28">
        <v>0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7">
        <v>0</v>
      </c>
      <c r="T90" s="26" t="s">
        <v>0</v>
      </c>
      <c r="U90" s="9"/>
      <c r="V90" s="12"/>
      <c r="X90" s="10"/>
    </row>
    <row r="91" spans="1:28" s="3" customFormat="1" ht="31.5" x14ac:dyDescent="0.25">
      <c r="A91" s="35" t="s">
        <v>1039</v>
      </c>
      <c r="B91" s="37" t="s">
        <v>47</v>
      </c>
      <c r="C91" s="33" t="s">
        <v>11</v>
      </c>
      <c r="D91" s="28">
        <f t="shared" ref="D91:R91" si="31">SUM(D92:D108)</f>
        <v>3163.5712628957999</v>
      </c>
      <c r="E91" s="28">
        <f t="shared" si="31"/>
        <v>940.54810924999992</v>
      </c>
      <c r="F91" s="28">
        <f t="shared" si="31"/>
        <v>2223.0231536457995</v>
      </c>
      <c r="G91" s="28">
        <f t="shared" si="31"/>
        <v>347.69945712399999</v>
      </c>
      <c r="H91" s="28">
        <f t="shared" si="31"/>
        <v>222.14731618999997</v>
      </c>
      <c r="I91" s="28">
        <f t="shared" si="31"/>
        <v>23.396112553999991</v>
      </c>
      <c r="J91" s="28">
        <f t="shared" si="31"/>
        <v>23.595238639999994</v>
      </c>
      <c r="K91" s="28">
        <f t="shared" si="31"/>
        <v>81.721662009999989</v>
      </c>
      <c r="L91" s="28">
        <f t="shared" si="31"/>
        <v>105.24658839</v>
      </c>
      <c r="M91" s="28">
        <f t="shared" si="31"/>
        <v>165.58046246000001</v>
      </c>
      <c r="N91" s="28">
        <f t="shared" si="31"/>
        <v>93.305489159999993</v>
      </c>
      <c r="O91" s="28">
        <f t="shared" si="31"/>
        <v>77.001220102000005</v>
      </c>
      <c r="P91" s="28">
        <f t="shared" si="31"/>
        <v>0</v>
      </c>
      <c r="Q91" s="28">
        <f t="shared" si="31"/>
        <v>2000.8758374557997</v>
      </c>
      <c r="R91" s="28">
        <f t="shared" si="31"/>
        <v>-48.550920833999996</v>
      </c>
      <c r="S91" s="27">
        <f t="shared" ref="S91:S111" si="32">R91/(I91+K91+M91)</f>
        <v>-0.17935440351499404</v>
      </c>
      <c r="T91" s="26" t="s">
        <v>0</v>
      </c>
      <c r="U91" s="9"/>
      <c r="V91" s="12"/>
      <c r="X91" s="10"/>
    </row>
    <row r="92" spans="1:28" s="3" customFormat="1" ht="31.5" x14ac:dyDescent="0.25">
      <c r="A92" s="43" t="s">
        <v>1039</v>
      </c>
      <c r="B92" s="20" t="s">
        <v>1077</v>
      </c>
      <c r="C92" s="41" t="s">
        <v>1076</v>
      </c>
      <c r="D92" s="16">
        <v>171.55086451259996</v>
      </c>
      <c r="E92" s="18">
        <v>95.313412360000001</v>
      </c>
      <c r="F92" s="16">
        <f t="shared" ref="F92:F108" si="33">D92-E92</f>
        <v>76.237452152599957</v>
      </c>
      <c r="G92" s="17">
        <v>0.98826191999999902</v>
      </c>
      <c r="H92" s="16">
        <f t="shared" ref="H92:H108" si="34">J92+L92+N92+P92</f>
        <v>0.98826192000000002</v>
      </c>
      <c r="I92" s="16">
        <v>0.98826191999999902</v>
      </c>
      <c r="J92" s="16">
        <f>988.26192/1000</f>
        <v>0.98826192000000002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f t="shared" ref="Q92:Q108" si="35">F92-H92</f>
        <v>75.249190232599958</v>
      </c>
      <c r="R92" s="16">
        <f t="shared" ref="R92:R108" si="36">H92-(I92+K92+M92)</f>
        <v>9.9920072216264089E-16</v>
      </c>
      <c r="S92" s="14">
        <f t="shared" si="32"/>
        <v>1.0110687277747602E-15</v>
      </c>
      <c r="T92" s="88" t="s">
        <v>0</v>
      </c>
      <c r="U92" s="9"/>
      <c r="V92" s="12"/>
      <c r="X92" s="10"/>
    </row>
    <row r="93" spans="1:28" s="3" customFormat="1" ht="63" x14ac:dyDescent="0.25">
      <c r="A93" s="43" t="s">
        <v>1039</v>
      </c>
      <c r="B93" s="20" t="s">
        <v>1075</v>
      </c>
      <c r="C93" s="41" t="s">
        <v>1074</v>
      </c>
      <c r="D93" s="16">
        <v>313.75069999999994</v>
      </c>
      <c r="E93" s="18">
        <v>33.563279510000001</v>
      </c>
      <c r="F93" s="16">
        <f t="shared" si="33"/>
        <v>280.18742048999991</v>
      </c>
      <c r="G93" s="17">
        <v>30.362139152000001</v>
      </c>
      <c r="H93" s="16">
        <f t="shared" si="34"/>
        <v>13.53684958</v>
      </c>
      <c r="I93" s="16">
        <v>0</v>
      </c>
      <c r="J93" s="16">
        <f>52.87586/1000</f>
        <v>5.2875860000000004E-2</v>
      </c>
      <c r="K93" s="16">
        <v>8.1807359399999999</v>
      </c>
      <c r="L93" s="16">
        <v>8.0548570599999998</v>
      </c>
      <c r="M93" s="16">
        <v>12.44637255</v>
      </c>
      <c r="N93" s="16">
        <v>5.42911666</v>
      </c>
      <c r="O93" s="16">
        <v>9.7350306619999998</v>
      </c>
      <c r="P93" s="16">
        <v>0</v>
      </c>
      <c r="Q93" s="16">
        <f t="shared" si="35"/>
        <v>266.65057090999989</v>
      </c>
      <c r="R93" s="16">
        <f t="shared" si="36"/>
        <v>-7.0902589099999975</v>
      </c>
      <c r="S93" s="14">
        <f t="shared" si="32"/>
        <v>-0.34373498900426824</v>
      </c>
      <c r="T93" s="87" t="s">
        <v>1073</v>
      </c>
      <c r="U93" s="9"/>
      <c r="V93" s="12"/>
      <c r="X93" s="10"/>
    </row>
    <row r="94" spans="1:28" s="3" customFormat="1" ht="37.5" customHeight="1" x14ac:dyDescent="0.25">
      <c r="A94" s="43" t="s">
        <v>1039</v>
      </c>
      <c r="B94" s="20" t="s">
        <v>1072</v>
      </c>
      <c r="C94" s="41" t="s">
        <v>1071</v>
      </c>
      <c r="D94" s="16">
        <v>104.77620802999999</v>
      </c>
      <c r="E94" s="18">
        <v>1.6385659299999999</v>
      </c>
      <c r="F94" s="16">
        <f t="shared" si="33"/>
        <v>103.13764209999999</v>
      </c>
      <c r="G94" s="17">
        <v>16.748103658000002</v>
      </c>
      <c r="H94" s="16">
        <f t="shared" si="34"/>
        <v>13.70162404</v>
      </c>
      <c r="I94" s="16">
        <v>0</v>
      </c>
      <c r="J94" s="16">
        <f>1.07643/1000</f>
        <v>1.07643E-3</v>
      </c>
      <c r="K94" s="16">
        <v>4.4334937999999999</v>
      </c>
      <c r="L94" s="16">
        <v>5.2874127399999997</v>
      </c>
      <c r="M94" s="16">
        <v>7.0359452000000005</v>
      </c>
      <c r="N94" s="16">
        <v>8.4131348700000004</v>
      </c>
      <c r="O94" s="16">
        <v>5.2786646579999994</v>
      </c>
      <c r="P94" s="16">
        <v>0</v>
      </c>
      <c r="Q94" s="16">
        <f t="shared" si="35"/>
        <v>89.436018059999995</v>
      </c>
      <c r="R94" s="16">
        <f t="shared" si="36"/>
        <v>2.2321850399999992</v>
      </c>
      <c r="S94" s="14">
        <f t="shared" si="32"/>
        <v>0.19462024602947006</v>
      </c>
      <c r="T94" s="87" t="s">
        <v>1070</v>
      </c>
      <c r="U94" s="9"/>
      <c r="V94" s="12"/>
      <c r="X94" s="10"/>
    </row>
    <row r="95" spans="1:28" s="3" customFormat="1" ht="63" x14ac:dyDescent="0.25">
      <c r="A95" s="43" t="s">
        <v>1039</v>
      </c>
      <c r="B95" s="20" t="s">
        <v>1069</v>
      </c>
      <c r="C95" s="41" t="s">
        <v>1068</v>
      </c>
      <c r="D95" s="16">
        <v>186.41013648299997</v>
      </c>
      <c r="E95" s="18">
        <v>18.761166929999998</v>
      </c>
      <c r="F95" s="16">
        <f t="shared" si="33"/>
        <v>167.64896955299997</v>
      </c>
      <c r="G95" s="17">
        <v>9.9333408339999991</v>
      </c>
      <c r="H95" s="16">
        <f t="shared" si="34"/>
        <v>6.1189893900000003</v>
      </c>
      <c r="I95" s="16">
        <v>0</v>
      </c>
      <c r="J95" s="16">
        <f>0.11078/1000</f>
        <v>1.1078000000000001E-4</v>
      </c>
      <c r="K95" s="16">
        <v>2.5380256399999999</v>
      </c>
      <c r="L95" s="16">
        <v>5.2876336200000003</v>
      </c>
      <c r="M95" s="16">
        <v>5.7540462100000003</v>
      </c>
      <c r="N95" s="16">
        <v>0.83124499000000007</v>
      </c>
      <c r="O95" s="16">
        <v>1.6412689840000001</v>
      </c>
      <c r="P95" s="16">
        <v>0</v>
      </c>
      <c r="Q95" s="16">
        <f t="shared" si="35"/>
        <v>161.52998016299998</v>
      </c>
      <c r="R95" s="16">
        <f t="shared" si="36"/>
        <v>-2.1730824599999989</v>
      </c>
      <c r="S95" s="14">
        <f t="shared" si="32"/>
        <v>-0.26206749040651395</v>
      </c>
      <c r="T95" s="87" t="s">
        <v>1065</v>
      </c>
      <c r="U95" s="9"/>
      <c r="V95" s="12"/>
      <c r="X95" s="10"/>
    </row>
    <row r="96" spans="1:28" s="3" customFormat="1" ht="44.25" customHeight="1" x14ac:dyDescent="0.25">
      <c r="A96" s="43" t="s">
        <v>1039</v>
      </c>
      <c r="B96" s="20" t="s">
        <v>1067</v>
      </c>
      <c r="C96" s="41" t="s">
        <v>1066</v>
      </c>
      <c r="D96" s="16">
        <v>215.0130382774</v>
      </c>
      <c r="E96" s="18">
        <v>120.79395064000001</v>
      </c>
      <c r="F96" s="16">
        <f t="shared" si="33"/>
        <v>94.219087637399994</v>
      </c>
      <c r="G96" s="17">
        <v>30.866363858000003</v>
      </c>
      <c r="H96" s="16">
        <f t="shared" si="34"/>
        <v>19.428647659999999</v>
      </c>
      <c r="I96" s="16">
        <v>3.7251918099999997</v>
      </c>
      <c r="J96" s="16">
        <f>2592.18893/1000</f>
        <v>2.5921889299999998</v>
      </c>
      <c r="K96" s="16">
        <v>7.3742063</v>
      </c>
      <c r="L96" s="16">
        <f>6298.52373/1000</f>
        <v>6.2985237300000003</v>
      </c>
      <c r="M96" s="16">
        <v>14.673759780000001</v>
      </c>
      <c r="N96" s="16">
        <v>10.537934999999999</v>
      </c>
      <c r="O96" s="16">
        <v>5.0932059680000004</v>
      </c>
      <c r="P96" s="16">
        <v>0</v>
      </c>
      <c r="Q96" s="16">
        <f t="shared" si="35"/>
        <v>74.790439977399998</v>
      </c>
      <c r="R96" s="16">
        <f t="shared" si="36"/>
        <v>-6.3445102300000009</v>
      </c>
      <c r="S96" s="14">
        <f t="shared" si="32"/>
        <v>-0.2461673597421942</v>
      </c>
      <c r="T96" s="87" t="s">
        <v>1065</v>
      </c>
      <c r="U96" s="9"/>
      <c r="V96" s="12"/>
      <c r="X96" s="10"/>
    </row>
    <row r="97" spans="1:29" s="3" customFormat="1" ht="31.5" x14ac:dyDescent="0.25">
      <c r="A97" s="43" t="s">
        <v>1039</v>
      </c>
      <c r="B97" s="20" t="s">
        <v>1064</v>
      </c>
      <c r="C97" s="41" t="s">
        <v>1063</v>
      </c>
      <c r="D97" s="16">
        <v>81.369379525999989</v>
      </c>
      <c r="E97" s="18">
        <v>61.016595169999995</v>
      </c>
      <c r="F97" s="16">
        <f t="shared" si="33"/>
        <v>20.352784355999994</v>
      </c>
      <c r="G97" s="17">
        <v>1.1617557599999964</v>
      </c>
      <c r="H97" s="16">
        <f t="shared" si="34"/>
        <v>1.1617557599999999</v>
      </c>
      <c r="I97" s="16">
        <v>1.1617557599999964</v>
      </c>
      <c r="J97" s="16">
        <f>1161.75576/1000</f>
        <v>1.1617557599999999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f t="shared" si="35"/>
        <v>19.191028595999995</v>
      </c>
      <c r="R97" s="16">
        <f t="shared" si="36"/>
        <v>3.5527136788005009E-15</v>
      </c>
      <c r="S97" s="14">
        <f t="shared" si="32"/>
        <v>3.0580555751240794E-15</v>
      </c>
      <c r="T97" s="65" t="s">
        <v>0</v>
      </c>
      <c r="U97" s="9"/>
      <c r="V97" s="12"/>
      <c r="X97" s="10"/>
    </row>
    <row r="98" spans="1:29" s="3" customFormat="1" ht="31.5" x14ac:dyDescent="0.25">
      <c r="A98" s="43" t="s">
        <v>1039</v>
      </c>
      <c r="B98" s="20" t="s">
        <v>1062</v>
      </c>
      <c r="C98" s="41" t="s">
        <v>1061</v>
      </c>
      <c r="D98" s="16">
        <v>40.549163786000001</v>
      </c>
      <c r="E98" s="18">
        <v>38.43388143</v>
      </c>
      <c r="F98" s="16">
        <f t="shared" si="33"/>
        <v>2.1152823560000016</v>
      </c>
      <c r="G98" s="17">
        <v>0.7866863259999991</v>
      </c>
      <c r="H98" s="16">
        <f t="shared" si="34"/>
        <v>0.78668611999999993</v>
      </c>
      <c r="I98" s="16">
        <v>0.7866863259999991</v>
      </c>
      <c r="J98" s="16">
        <f>786.68612/1000</f>
        <v>0.78668611999999993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f t="shared" si="35"/>
        <v>1.3285962360000017</v>
      </c>
      <c r="R98" s="16">
        <f t="shared" si="36"/>
        <v>-2.0599999916992573E-7</v>
      </c>
      <c r="S98" s="14">
        <f t="shared" si="32"/>
        <v>-2.6185786171898704E-7</v>
      </c>
      <c r="T98" s="22" t="s">
        <v>0</v>
      </c>
      <c r="U98" s="9"/>
      <c r="V98" s="12"/>
      <c r="X98" s="10"/>
    </row>
    <row r="99" spans="1:29" s="3" customFormat="1" ht="31.5" x14ac:dyDescent="0.25">
      <c r="A99" s="43" t="s">
        <v>1039</v>
      </c>
      <c r="B99" s="20" t="s">
        <v>1060</v>
      </c>
      <c r="C99" s="41" t="s">
        <v>1059</v>
      </c>
      <c r="D99" s="16">
        <v>101.4684</v>
      </c>
      <c r="E99" s="18">
        <v>18.85125227</v>
      </c>
      <c r="F99" s="16">
        <f t="shared" si="33"/>
        <v>82.617147729999999</v>
      </c>
      <c r="G99" s="17">
        <v>1.1383739960000021</v>
      </c>
      <c r="H99" s="16">
        <f t="shared" si="34"/>
        <v>1.1383733999999999</v>
      </c>
      <c r="I99" s="16">
        <v>1.1383739960000021</v>
      </c>
      <c r="J99" s="16">
        <f>1138.3734/1000</f>
        <v>1.1383733999999999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f t="shared" si="35"/>
        <v>81.478774329999993</v>
      </c>
      <c r="R99" s="16">
        <f t="shared" si="36"/>
        <v>-5.9600000223980487E-7</v>
      </c>
      <c r="S99" s="14">
        <f t="shared" si="32"/>
        <v>-5.2355377436063971E-7</v>
      </c>
      <c r="T99" s="22" t="s">
        <v>0</v>
      </c>
      <c r="U99" s="9"/>
      <c r="V99" s="12"/>
      <c r="X99" s="10"/>
    </row>
    <row r="100" spans="1:29" s="3" customFormat="1" ht="31.5" x14ac:dyDescent="0.25">
      <c r="A100" s="43" t="s">
        <v>1039</v>
      </c>
      <c r="B100" s="20" t="s">
        <v>1058</v>
      </c>
      <c r="C100" s="41" t="s">
        <v>1057</v>
      </c>
      <c r="D100" s="16">
        <v>171.75359999999998</v>
      </c>
      <c r="E100" s="18">
        <v>20.195947800000003</v>
      </c>
      <c r="F100" s="16">
        <f t="shared" si="33"/>
        <v>151.55765219999998</v>
      </c>
      <c r="G100" s="17">
        <v>57.809085941999989</v>
      </c>
      <c r="H100" s="16">
        <f t="shared" si="34"/>
        <v>40.528656159999997</v>
      </c>
      <c r="I100" s="16">
        <v>0.86721132000000001</v>
      </c>
      <c r="J100" s="16">
        <f>0.04839/1000</f>
        <v>4.8390000000000003E-5</v>
      </c>
      <c r="K100" s="16">
        <v>12.387426520000002</v>
      </c>
      <c r="L100" s="16">
        <v>25.238896709999999</v>
      </c>
      <c r="M100" s="16">
        <v>31.651875329999999</v>
      </c>
      <c r="N100" s="16">
        <v>15.28971106</v>
      </c>
      <c r="O100" s="16">
        <v>12.902572771999999</v>
      </c>
      <c r="P100" s="16">
        <v>0</v>
      </c>
      <c r="Q100" s="16">
        <f t="shared" si="35"/>
        <v>111.02899603999998</v>
      </c>
      <c r="R100" s="16">
        <f t="shared" si="36"/>
        <v>-4.3778570099999996</v>
      </c>
      <c r="S100" s="14">
        <f t="shared" si="32"/>
        <v>-9.7488241703981751E-2</v>
      </c>
      <c r="T100" s="87" t="s">
        <v>0</v>
      </c>
      <c r="U100" s="9"/>
      <c r="V100" s="12"/>
      <c r="X100" s="10"/>
    </row>
    <row r="101" spans="1:29" s="3" customFormat="1" ht="42" customHeight="1" x14ac:dyDescent="0.25">
      <c r="A101" s="81" t="s">
        <v>1039</v>
      </c>
      <c r="B101" s="83" t="s">
        <v>1056</v>
      </c>
      <c r="C101" s="84" t="s">
        <v>1055</v>
      </c>
      <c r="D101" s="16">
        <v>17.796726278000001</v>
      </c>
      <c r="E101" s="18">
        <v>0</v>
      </c>
      <c r="F101" s="16">
        <f t="shared" si="33"/>
        <v>17.796726278000001</v>
      </c>
      <c r="G101" s="17">
        <v>17.796726278000001</v>
      </c>
      <c r="H101" s="16">
        <f t="shared" si="34"/>
        <v>13.02171641</v>
      </c>
      <c r="I101" s="16">
        <v>0</v>
      </c>
      <c r="J101" s="16">
        <f>9.91025/1000</f>
        <v>9.9102499999999989E-3</v>
      </c>
      <c r="K101" s="16">
        <v>4.7051898000000003</v>
      </c>
      <c r="L101" s="16">
        <v>5.6918303999999997</v>
      </c>
      <c r="M101" s="16">
        <v>7.8896348099999996</v>
      </c>
      <c r="N101" s="16">
        <v>7.3199757600000002</v>
      </c>
      <c r="O101" s="16">
        <v>5.2019016680000005</v>
      </c>
      <c r="P101" s="16">
        <v>0</v>
      </c>
      <c r="Q101" s="16">
        <f t="shared" si="35"/>
        <v>4.7750098680000015</v>
      </c>
      <c r="R101" s="16">
        <f t="shared" si="36"/>
        <v>0.42689179999999993</v>
      </c>
      <c r="S101" s="14">
        <f t="shared" si="32"/>
        <v>3.3894223478194187E-2</v>
      </c>
      <c r="T101" s="87" t="s">
        <v>0</v>
      </c>
      <c r="U101" s="9"/>
      <c r="V101" s="12"/>
      <c r="X101" s="10"/>
    </row>
    <row r="102" spans="1:29" s="3" customFormat="1" ht="31.5" x14ac:dyDescent="0.25">
      <c r="A102" s="43" t="s">
        <v>1039</v>
      </c>
      <c r="B102" s="20" t="s">
        <v>1054</v>
      </c>
      <c r="C102" s="41" t="s">
        <v>1053</v>
      </c>
      <c r="D102" s="16">
        <v>137.78731286799999</v>
      </c>
      <c r="E102" s="18">
        <v>64.946736799999996</v>
      </c>
      <c r="F102" s="16">
        <f t="shared" si="33"/>
        <v>72.84057606799999</v>
      </c>
      <c r="G102" s="17">
        <v>6.8160597519999975</v>
      </c>
      <c r="H102" s="16">
        <f t="shared" si="34"/>
        <v>0.98072952000000002</v>
      </c>
      <c r="I102" s="16">
        <v>6.8160597519999975</v>
      </c>
      <c r="J102" s="16">
        <f>980.72952/1000</f>
        <v>0.98072952000000002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f t="shared" si="35"/>
        <v>71.859846547999993</v>
      </c>
      <c r="R102" s="16">
        <f t="shared" si="36"/>
        <v>-5.8353302319999978</v>
      </c>
      <c r="S102" s="14">
        <f t="shared" si="32"/>
        <v>-0.85611488811960168</v>
      </c>
      <c r="T102" s="22" t="s">
        <v>1052</v>
      </c>
      <c r="U102" s="9"/>
      <c r="V102" s="12"/>
      <c r="X102" s="10"/>
    </row>
    <row r="103" spans="1:29" s="3" customFormat="1" ht="126" x14ac:dyDescent="0.25">
      <c r="A103" s="43" t="s">
        <v>1039</v>
      </c>
      <c r="B103" s="20" t="s">
        <v>1051</v>
      </c>
      <c r="C103" s="41" t="s">
        <v>1050</v>
      </c>
      <c r="D103" s="16">
        <v>179.71764000000002</v>
      </c>
      <c r="E103" s="18">
        <v>20.50012151</v>
      </c>
      <c r="F103" s="16">
        <f t="shared" si="33"/>
        <v>159.21751849000003</v>
      </c>
      <c r="G103" s="17">
        <v>34.685760991999999</v>
      </c>
      <c r="H103" s="16">
        <f t="shared" si="34"/>
        <v>23.602114469999997</v>
      </c>
      <c r="I103" s="16">
        <v>0</v>
      </c>
      <c r="J103" s="16">
        <f>8126.9831/1000</f>
        <v>8.1269831000000003</v>
      </c>
      <c r="K103" s="16">
        <v>10.29394162</v>
      </c>
      <c r="L103" s="16">
        <v>12.518976159999999</v>
      </c>
      <c r="M103" s="16">
        <v>18.86421116</v>
      </c>
      <c r="N103" s="16">
        <v>2.9561552099999999</v>
      </c>
      <c r="O103" s="16">
        <v>5.5276082139999998</v>
      </c>
      <c r="P103" s="16">
        <v>0</v>
      </c>
      <c r="Q103" s="16">
        <f t="shared" si="35"/>
        <v>135.61540402000003</v>
      </c>
      <c r="R103" s="16">
        <f t="shared" si="36"/>
        <v>-5.5560383100000053</v>
      </c>
      <c r="S103" s="14">
        <f t="shared" si="32"/>
        <v>-0.19054836401745492</v>
      </c>
      <c r="T103" s="22" t="s">
        <v>1049</v>
      </c>
      <c r="U103" s="9"/>
      <c r="V103" s="12"/>
      <c r="X103" s="10"/>
    </row>
    <row r="104" spans="1:29" s="3" customFormat="1" ht="31.5" x14ac:dyDescent="0.25">
      <c r="A104" s="43" t="s">
        <v>1039</v>
      </c>
      <c r="B104" s="20" t="s">
        <v>1048</v>
      </c>
      <c r="C104" s="41" t="s">
        <v>1047</v>
      </c>
      <c r="D104" s="16">
        <v>131.079796784</v>
      </c>
      <c r="E104" s="18">
        <v>120.26512955</v>
      </c>
      <c r="F104" s="16">
        <f t="shared" si="33"/>
        <v>10.814667233999998</v>
      </c>
      <c r="G104" s="17">
        <v>10.814667234</v>
      </c>
      <c r="H104" s="16">
        <f t="shared" si="34"/>
        <v>8.5446552499999999</v>
      </c>
      <c r="I104" s="16">
        <v>0</v>
      </c>
      <c r="J104" s="16">
        <v>0</v>
      </c>
      <c r="K104" s="16">
        <v>2.6190760900000001</v>
      </c>
      <c r="L104" s="16">
        <v>3.46278161</v>
      </c>
      <c r="M104" s="16">
        <v>4.8301509400000002</v>
      </c>
      <c r="N104" s="16">
        <v>5.0818736399999995</v>
      </c>
      <c r="O104" s="16">
        <v>3.365440204</v>
      </c>
      <c r="P104" s="16">
        <v>0</v>
      </c>
      <c r="Q104" s="16">
        <f t="shared" si="35"/>
        <v>2.2700119839999982</v>
      </c>
      <c r="R104" s="16">
        <f t="shared" si="36"/>
        <v>1.0954282199999996</v>
      </c>
      <c r="S104" s="14">
        <f t="shared" si="32"/>
        <v>0.14705260231543776</v>
      </c>
      <c r="T104" s="22" t="s">
        <v>1046</v>
      </c>
      <c r="U104" s="9"/>
      <c r="V104" s="12"/>
      <c r="X104" s="10"/>
    </row>
    <row r="105" spans="1:29" s="3" customFormat="1" ht="33.75" customHeight="1" x14ac:dyDescent="0.25">
      <c r="A105" s="43" t="s">
        <v>1039</v>
      </c>
      <c r="B105" s="20" t="s">
        <v>1045</v>
      </c>
      <c r="C105" s="41" t="s">
        <v>1044</v>
      </c>
      <c r="D105" s="16">
        <v>282.31409908300003</v>
      </c>
      <c r="E105" s="18">
        <v>131.28150421999999</v>
      </c>
      <c r="F105" s="16">
        <f t="shared" si="33"/>
        <v>151.03259486300004</v>
      </c>
      <c r="G105" s="17">
        <v>39.578301869999997</v>
      </c>
      <c r="H105" s="16">
        <f t="shared" si="34"/>
        <v>27.487172430000001</v>
      </c>
      <c r="I105" s="16">
        <v>2.5861716700000001</v>
      </c>
      <c r="J105" s="16">
        <f>2365.31486/1000</f>
        <v>2.3653148599999998</v>
      </c>
      <c r="K105" s="16">
        <v>7.9352954900000006</v>
      </c>
      <c r="L105" s="16">
        <v>9.0897581600000006</v>
      </c>
      <c r="M105" s="16">
        <v>17.689082800000001</v>
      </c>
      <c r="N105" s="16">
        <v>16.032099410000001</v>
      </c>
      <c r="O105" s="16">
        <v>11.367751910000001</v>
      </c>
      <c r="P105" s="16">
        <v>0</v>
      </c>
      <c r="Q105" s="16">
        <f t="shared" si="35"/>
        <v>123.54542243300004</v>
      </c>
      <c r="R105" s="16">
        <f t="shared" si="36"/>
        <v>-0.72337753000000049</v>
      </c>
      <c r="S105" s="14">
        <f t="shared" si="32"/>
        <v>-2.5642092445049253E-2</v>
      </c>
      <c r="T105" s="22" t="s">
        <v>0</v>
      </c>
      <c r="U105" s="9"/>
      <c r="V105" s="12"/>
      <c r="X105" s="10"/>
    </row>
    <row r="106" spans="1:29" s="3" customFormat="1" ht="47.25" x14ac:dyDescent="0.25">
      <c r="A106" s="43" t="s">
        <v>1039</v>
      </c>
      <c r="B106" s="20" t="s">
        <v>1043</v>
      </c>
      <c r="C106" s="41" t="s">
        <v>1042</v>
      </c>
      <c r="D106" s="16">
        <v>551.9275702356</v>
      </c>
      <c r="E106" s="18">
        <v>186.18836367</v>
      </c>
      <c r="F106" s="16">
        <f t="shared" si="33"/>
        <v>365.7392065656</v>
      </c>
      <c r="G106" s="17">
        <v>35.686852333999987</v>
      </c>
      <c r="H106" s="16">
        <f t="shared" si="34"/>
        <v>20.74149375</v>
      </c>
      <c r="I106" s="16">
        <v>5.3263999999999996</v>
      </c>
      <c r="J106" s="16">
        <f>5272.86013/1000</f>
        <v>5.2728601299999998</v>
      </c>
      <c r="K106" s="16">
        <v>6.88240417</v>
      </c>
      <c r="L106" s="16">
        <v>8.6274495800000004</v>
      </c>
      <c r="M106" s="16">
        <v>14.75705293</v>
      </c>
      <c r="N106" s="16">
        <v>6.8411840399999999</v>
      </c>
      <c r="O106" s="16">
        <v>8.7209952340000001</v>
      </c>
      <c r="P106" s="16">
        <v>0</v>
      </c>
      <c r="Q106" s="16">
        <f t="shared" si="35"/>
        <v>344.99771281559998</v>
      </c>
      <c r="R106" s="16">
        <f t="shared" si="36"/>
        <v>-6.2243633500000008</v>
      </c>
      <c r="S106" s="14">
        <f t="shared" si="32"/>
        <v>-0.23082386467144783</v>
      </c>
      <c r="T106" s="22" t="s">
        <v>1036</v>
      </c>
      <c r="U106" s="9"/>
      <c r="V106" s="12"/>
      <c r="X106" s="10"/>
    </row>
    <row r="107" spans="1:29" s="3" customFormat="1" ht="31.5" x14ac:dyDescent="0.25">
      <c r="A107" s="43" t="s">
        <v>1039</v>
      </c>
      <c r="B107" s="48" t="s">
        <v>1041</v>
      </c>
      <c r="C107" s="19" t="s">
        <v>1040</v>
      </c>
      <c r="D107" s="16">
        <v>130.80982703219999</v>
      </c>
      <c r="E107" s="18">
        <v>8.7982014599999996</v>
      </c>
      <c r="F107" s="16">
        <f t="shared" si="33"/>
        <v>122.01162557219999</v>
      </c>
      <c r="G107" s="17">
        <v>16.692677019999998</v>
      </c>
      <c r="H107" s="16">
        <f t="shared" si="34"/>
        <v>11.670140570000001</v>
      </c>
      <c r="I107" s="16">
        <v>0</v>
      </c>
      <c r="J107" s="16">
        <f>16.3776/1000</f>
        <v>1.6377600000000003E-2</v>
      </c>
      <c r="K107" s="16">
        <v>3.0075661399999998</v>
      </c>
      <c r="L107" s="16">
        <v>5.9621557599999999</v>
      </c>
      <c r="M107" s="16">
        <v>9.3971946400000004</v>
      </c>
      <c r="N107" s="16">
        <v>5.6916072099999999</v>
      </c>
      <c r="O107" s="16">
        <v>4.2879162399999995</v>
      </c>
      <c r="P107" s="16">
        <v>0</v>
      </c>
      <c r="Q107" s="16">
        <f t="shared" si="35"/>
        <v>110.34148500219999</v>
      </c>
      <c r="R107" s="16">
        <f t="shared" si="36"/>
        <v>-0.73462020999999922</v>
      </c>
      <c r="S107" s="14">
        <f t="shared" si="32"/>
        <v>-5.9220828440675437E-2</v>
      </c>
      <c r="T107" s="22" t="s">
        <v>0</v>
      </c>
      <c r="U107" s="9"/>
      <c r="V107" s="12"/>
      <c r="X107" s="10"/>
    </row>
    <row r="108" spans="1:29" s="3" customFormat="1" ht="58.5" customHeight="1" x14ac:dyDescent="0.25">
      <c r="A108" s="43" t="s">
        <v>1039</v>
      </c>
      <c r="B108" s="48" t="s">
        <v>1038</v>
      </c>
      <c r="C108" s="19" t="s">
        <v>1037</v>
      </c>
      <c r="D108" s="16">
        <v>345.49679999999995</v>
      </c>
      <c r="E108" s="18">
        <v>0</v>
      </c>
      <c r="F108" s="16">
        <f t="shared" si="33"/>
        <v>345.49679999999995</v>
      </c>
      <c r="G108" s="17">
        <v>35.834300197999994</v>
      </c>
      <c r="H108" s="16">
        <f t="shared" si="34"/>
        <v>18.709449760000002</v>
      </c>
      <c r="I108" s="16">
        <v>0</v>
      </c>
      <c r="J108" s="16">
        <f>101.68559/1000</f>
        <v>0.10168559000000001</v>
      </c>
      <c r="K108" s="16">
        <v>11.364300499999999</v>
      </c>
      <c r="L108" s="16">
        <v>9.7263128600000002</v>
      </c>
      <c r="M108" s="16">
        <v>20.591136110000001</v>
      </c>
      <c r="N108" s="16">
        <v>8.881451310000001</v>
      </c>
      <c r="O108" s="16">
        <v>3.8788635880000002</v>
      </c>
      <c r="P108" s="16">
        <v>0</v>
      </c>
      <c r="Q108" s="16">
        <f t="shared" si="35"/>
        <v>326.78735023999997</v>
      </c>
      <c r="R108" s="16">
        <f t="shared" si="36"/>
        <v>-13.245986849999998</v>
      </c>
      <c r="S108" s="14">
        <f t="shared" si="32"/>
        <v>-0.41451434419941097</v>
      </c>
      <c r="T108" s="22" t="s">
        <v>1036</v>
      </c>
      <c r="U108" s="9"/>
      <c r="V108" s="12"/>
      <c r="X108" s="10"/>
    </row>
    <row r="109" spans="1:29" s="3" customFormat="1" ht="31.5" x14ac:dyDescent="0.25">
      <c r="A109" s="35" t="s">
        <v>981</v>
      </c>
      <c r="B109" s="37" t="s">
        <v>46</v>
      </c>
      <c r="C109" s="33" t="s">
        <v>11</v>
      </c>
      <c r="D109" s="28">
        <f t="shared" ref="D109:R109" si="37">SUM(D110:D133)</f>
        <v>2539.7333572507437</v>
      </c>
      <c r="E109" s="28">
        <f t="shared" si="37"/>
        <v>520.69202031999998</v>
      </c>
      <c r="F109" s="28">
        <f t="shared" si="37"/>
        <v>2019.0413369307441</v>
      </c>
      <c r="G109" s="28">
        <f t="shared" si="37"/>
        <v>307.62927186409757</v>
      </c>
      <c r="H109" s="28">
        <f t="shared" si="37"/>
        <v>136.22277713</v>
      </c>
      <c r="I109" s="28">
        <f t="shared" si="37"/>
        <v>9.0282622619999966</v>
      </c>
      <c r="J109" s="28">
        <f t="shared" si="37"/>
        <v>89.767122180000001</v>
      </c>
      <c r="K109" s="28">
        <f t="shared" si="37"/>
        <v>14.006023000000001</v>
      </c>
      <c r="L109" s="28">
        <f t="shared" si="37"/>
        <v>13.002902370000001</v>
      </c>
      <c r="M109" s="28">
        <f t="shared" si="37"/>
        <v>102.25190409199999</v>
      </c>
      <c r="N109" s="28">
        <f t="shared" si="37"/>
        <v>33.452752579999995</v>
      </c>
      <c r="O109" s="28">
        <f t="shared" si="37"/>
        <v>182.3430825101</v>
      </c>
      <c r="P109" s="28">
        <f t="shared" si="37"/>
        <v>0</v>
      </c>
      <c r="Q109" s="28">
        <f t="shared" si="37"/>
        <v>1945.3945253607442</v>
      </c>
      <c r="R109" s="28">
        <f t="shared" si="37"/>
        <v>-51.63937778399999</v>
      </c>
      <c r="S109" s="27">
        <f t="shared" si="32"/>
        <v>-0.41217134985318565</v>
      </c>
      <c r="T109" s="26" t="s">
        <v>0</v>
      </c>
      <c r="U109" s="9"/>
      <c r="V109" s="12"/>
      <c r="X109" s="10"/>
    </row>
    <row r="110" spans="1:29" s="3" customFormat="1" ht="47.25" x14ac:dyDescent="0.25">
      <c r="A110" s="43" t="s">
        <v>981</v>
      </c>
      <c r="B110" s="20" t="s">
        <v>1035</v>
      </c>
      <c r="C110" s="19" t="s">
        <v>1034</v>
      </c>
      <c r="D110" s="16">
        <v>293.55357750220003</v>
      </c>
      <c r="E110" s="18">
        <v>76.357946229999996</v>
      </c>
      <c r="F110" s="16">
        <f>D110-E110</f>
        <v>217.19563127220005</v>
      </c>
      <c r="G110" s="17">
        <v>1.1639999999999999</v>
      </c>
      <c r="H110" s="16">
        <f t="shared" ref="H110:H133" si="38">J110+L110+N110+P110</f>
        <v>0.74904424000000003</v>
      </c>
      <c r="I110" s="16">
        <v>0.29099999999999998</v>
      </c>
      <c r="J110" s="16">
        <v>0.28089158999999997</v>
      </c>
      <c r="K110" s="16">
        <v>0.29099999999999998</v>
      </c>
      <c r="L110" s="16">
        <v>0.28089159000000008</v>
      </c>
      <c r="M110" s="16">
        <v>0.29099999999999998</v>
      </c>
      <c r="N110" s="16">
        <v>0.18726105999999998</v>
      </c>
      <c r="O110" s="16">
        <v>0.29099999999999998</v>
      </c>
      <c r="P110" s="16">
        <v>0</v>
      </c>
      <c r="Q110" s="16">
        <f>F110-H110</f>
        <v>216.44658703220006</v>
      </c>
      <c r="R110" s="16">
        <f>H110-(I110+K110+M110)</f>
        <v>-0.12395575999999997</v>
      </c>
      <c r="S110" s="14">
        <f t="shared" si="32"/>
        <v>-0.14198827033218783</v>
      </c>
      <c r="T110" s="22" t="s">
        <v>944</v>
      </c>
      <c r="U110" s="9"/>
      <c r="V110" s="12"/>
      <c r="X110" s="10"/>
      <c r="AB110" s="4"/>
    </row>
    <row r="111" spans="1:29" s="3" customFormat="1" ht="31.5" x14ac:dyDescent="0.25">
      <c r="A111" s="43" t="s">
        <v>981</v>
      </c>
      <c r="B111" s="20" t="s">
        <v>1033</v>
      </c>
      <c r="C111" s="41" t="s">
        <v>1032</v>
      </c>
      <c r="D111" s="16">
        <v>216.90407048199998</v>
      </c>
      <c r="E111" s="18">
        <v>186.39707372999999</v>
      </c>
      <c r="F111" s="16">
        <f>D111-E111</f>
        <v>30.506996751999992</v>
      </c>
      <c r="G111" s="17">
        <v>16.092463112000001</v>
      </c>
      <c r="H111" s="16">
        <f t="shared" si="38"/>
        <v>4.5288600000000005E-2</v>
      </c>
      <c r="I111" s="16">
        <v>0.08</v>
      </c>
      <c r="J111" s="16">
        <v>4.5288600000000005E-2</v>
      </c>
      <c r="K111" s="16">
        <v>0</v>
      </c>
      <c r="L111" s="16">
        <v>0</v>
      </c>
      <c r="M111" s="16">
        <v>16.012463111999999</v>
      </c>
      <c r="N111" s="16">
        <v>0</v>
      </c>
      <c r="O111" s="16">
        <v>0</v>
      </c>
      <c r="P111" s="16">
        <v>0</v>
      </c>
      <c r="Q111" s="16">
        <f>F111-H111</f>
        <v>30.461708151999993</v>
      </c>
      <c r="R111" s="16">
        <f>H111-(I111+K111+M111)</f>
        <v>-16.047174511999998</v>
      </c>
      <c r="S111" s="14">
        <f t="shared" si="32"/>
        <v>-0.99718572603306277</v>
      </c>
      <c r="T111" s="22" t="s">
        <v>195</v>
      </c>
      <c r="U111" s="9"/>
      <c r="V111" s="12"/>
      <c r="X111" s="10"/>
      <c r="AB111" s="4"/>
    </row>
    <row r="112" spans="1:29" s="3" customFormat="1" ht="31.5" x14ac:dyDescent="0.25">
      <c r="A112" s="43" t="s">
        <v>981</v>
      </c>
      <c r="B112" s="20" t="s">
        <v>1031</v>
      </c>
      <c r="C112" s="41" t="s">
        <v>1030</v>
      </c>
      <c r="D112" s="16" t="s">
        <v>0</v>
      </c>
      <c r="E112" s="18" t="s">
        <v>0</v>
      </c>
      <c r="F112" s="16" t="s">
        <v>0</v>
      </c>
      <c r="G112" s="17" t="s">
        <v>0</v>
      </c>
      <c r="H112" s="16">
        <f t="shared" si="38"/>
        <v>5.495662900000001</v>
      </c>
      <c r="I112" s="16" t="s">
        <v>0</v>
      </c>
      <c r="J112" s="16">
        <v>4.9320000000000004</v>
      </c>
      <c r="K112" s="16" t="s">
        <v>0</v>
      </c>
      <c r="L112" s="16">
        <v>0.5636629000000003</v>
      </c>
      <c r="M112" s="16" t="s">
        <v>0</v>
      </c>
      <c r="N112" s="16">
        <v>0</v>
      </c>
      <c r="O112" s="16" t="s">
        <v>0</v>
      </c>
      <c r="P112" s="16">
        <v>0</v>
      </c>
      <c r="Q112" s="16" t="s">
        <v>0</v>
      </c>
      <c r="R112" s="16" t="s">
        <v>0</v>
      </c>
      <c r="S112" s="14" t="s">
        <v>0</v>
      </c>
      <c r="T112" s="22" t="s">
        <v>1025</v>
      </c>
      <c r="U112" s="9"/>
      <c r="V112" s="12"/>
      <c r="X112" s="10"/>
      <c r="AB112" s="4"/>
      <c r="AC112" s="86"/>
    </row>
    <row r="113" spans="1:28" s="3" customFormat="1" ht="31.5" x14ac:dyDescent="0.25">
      <c r="A113" s="43" t="s">
        <v>981</v>
      </c>
      <c r="B113" s="20" t="s">
        <v>1029</v>
      </c>
      <c r="C113" s="41" t="s">
        <v>1028</v>
      </c>
      <c r="D113" s="16" t="s">
        <v>0</v>
      </c>
      <c r="E113" s="18" t="s">
        <v>0</v>
      </c>
      <c r="F113" s="16" t="s">
        <v>0</v>
      </c>
      <c r="G113" s="17" t="s">
        <v>0</v>
      </c>
      <c r="H113" s="16">
        <f t="shared" si="38"/>
        <v>2.4660000000000002</v>
      </c>
      <c r="I113" s="16" t="s">
        <v>0</v>
      </c>
      <c r="J113" s="16">
        <v>2.4660000000000002</v>
      </c>
      <c r="K113" s="16" t="s">
        <v>0</v>
      </c>
      <c r="L113" s="16">
        <v>0</v>
      </c>
      <c r="M113" s="16" t="s">
        <v>0</v>
      </c>
      <c r="N113" s="16">
        <v>0</v>
      </c>
      <c r="O113" s="16" t="s">
        <v>0</v>
      </c>
      <c r="P113" s="16">
        <v>0</v>
      </c>
      <c r="Q113" s="16" t="s">
        <v>0</v>
      </c>
      <c r="R113" s="16" t="s">
        <v>0</v>
      </c>
      <c r="S113" s="14" t="s">
        <v>0</v>
      </c>
      <c r="T113" s="22" t="s">
        <v>195</v>
      </c>
      <c r="U113" s="9"/>
      <c r="V113" s="12"/>
      <c r="X113" s="10"/>
      <c r="AB113" s="4"/>
    </row>
    <row r="114" spans="1:28" s="3" customFormat="1" ht="31.5" x14ac:dyDescent="0.25">
      <c r="A114" s="43" t="s">
        <v>981</v>
      </c>
      <c r="B114" s="20" t="s">
        <v>1027</v>
      </c>
      <c r="C114" s="41" t="s">
        <v>1026</v>
      </c>
      <c r="D114" s="16" t="s">
        <v>0</v>
      </c>
      <c r="E114" s="18" t="s">
        <v>0</v>
      </c>
      <c r="F114" s="16" t="s">
        <v>0</v>
      </c>
      <c r="G114" s="17" t="s">
        <v>0</v>
      </c>
      <c r="H114" s="16">
        <f t="shared" si="38"/>
        <v>2.0006064000000001</v>
      </c>
      <c r="I114" s="16" t="s">
        <v>0</v>
      </c>
      <c r="J114" s="16">
        <v>9.9023100000000003E-2</v>
      </c>
      <c r="K114" s="16" t="s">
        <v>0</v>
      </c>
      <c r="L114" s="16">
        <v>1.90158329</v>
      </c>
      <c r="M114" s="16" t="s">
        <v>0</v>
      </c>
      <c r="N114" s="16">
        <v>1E-8</v>
      </c>
      <c r="O114" s="16" t="s">
        <v>0</v>
      </c>
      <c r="P114" s="16">
        <v>0</v>
      </c>
      <c r="Q114" s="16" t="s">
        <v>0</v>
      </c>
      <c r="R114" s="16" t="s">
        <v>0</v>
      </c>
      <c r="S114" s="14" t="s">
        <v>0</v>
      </c>
      <c r="T114" s="22" t="s">
        <v>1025</v>
      </c>
      <c r="U114" s="9"/>
      <c r="V114" s="12"/>
      <c r="X114" s="10"/>
      <c r="AB114" s="4"/>
    </row>
    <row r="115" spans="1:28" s="3" customFormat="1" ht="47.25" x14ac:dyDescent="0.25">
      <c r="A115" s="43" t="s">
        <v>981</v>
      </c>
      <c r="B115" s="20" t="s">
        <v>1024</v>
      </c>
      <c r="C115" s="19" t="s">
        <v>1023</v>
      </c>
      <c r="D115" s="16">
        <v>392.27368778248439</v>
      </c>
      <c r="E115" s="18">
        <v>55.531246360000004</v>
      </c>
      <c r="F115" s="16">
        <f t="shared" ref="F115:F122" si="39">D115-E115</f>
        <v>336.74244142248438</v>
      </c>
      <c r="G115" s="17">
        <v>23.94</v>
      </c>
      <c r="H115" s="16">
        <f t="shared" si="38"/>
        <v>7.6538529300000002</v>
      </c>
      <c r="I115" s="16">
        <v>0</v>
      </c>
      <c r="J115" s="16">
        <v>0</v>
      </c>
      <c r="K115" s="16">
        <v>0</v>
      </c>
      <c r="L115" s="16">
        <v>1.8581903900000001</v>
      </c>
      <c r="M115" s="16">
        <v>2.88</v>
      </c>
      <c r="N115" s="16">
        <v>5.7956625400000004</v>
      </c>
      <c r="O115" s="16">
        <v>21.06</v>
      </c>
      <c r="P115" s="16">
        <v>0</v>
      </c>
      <c r="Q115" s="16">
        <f t="shared" ref="Q115:Q122" si="40">F115-H115</f>
        <v>329.08858849248435</v>
      </c>
      <c r="R115" s="16">
        <f t="shared" ref="R115:R122" si="41">H115-(I115+K115+M115)</f>
        <v>4.7738529300000003</v>
      </c>
      <c r="S115" s="14">
        <f t="shared" ref="S115:S122" si="42">R115/(I115+K115+M115)</f>
        <v>1.6575878229166667</v>
      </c>
      <c r="T115" s="22" t="s">
        <v>1014</v>
      </c>
      <c r="U115" s="9"/>
      <c r="V115" s="12"/>
      <c r="X115" s="10"/>
      <c r="AB115" s="4"/>
    </row>
    <row r="116" spans="1:28" s="3" customFormat="1" ht="39" customHeight="1" x14ac:dyDescent="0.25">
      <c r="A116" s="43" t="s">
        <v>981</v>
      </c>
      <c r="B116" s="85" t="s">
        <v>1022</v>
      </c>
      <c r="C116" s="19" t="s">
        <v>1021</v>
      </c>
      <c r="D116" s="16">
        <v>155.52326661199999</v>
      </c>
      <c r="E116" s="18">
        <v>64.164339229999996</v>
      </c>
      <c r="F116" s="16">
        <f t="shared" si="39"/>
        <v>91.35892738199999</v>
      </c>
      <c r="G116" s="17">
        <v>15.853353261999999</v>
      </c>
      <c r="H116" s="16">
        <f t="shared" si="38"/>
        <v>7.7994524299999997</v>
      </c>
      <c r="I116" s="16">
        <v>1.402953262</v>
      </c>
      <c r="J116" s="16">
        <v>1.4888756999999992</v>
      </c>
      <c r="K116" s="16">
        <v>0</v>
      </c>
      <c r="L116" s="16">
        <v>1.7781169100000007</v>
      </c>
      <c r="M116" s="16">
        <v>0.16014618</v>
      </c>
      <c r="N116" s="16">
        <v>4.5324598199999997</v>
      </c>
      <c r="O116" s="16">
        <v>14.29025382</v>
      </c>
      <c r="P116" s="16">
        <v>0</v>
      </c>
      <c r="Q116" s="16">
        <f t="shared" si="40"/>
        <v>83.559474951999988</v>
      </c>
      <c r="R116" s="16">
        <f t="shared" si="41"/>
        <v>6.2363529880000002</v>
      </c>
      <c r="S116" s="14">
        <f t="shared" si="42"/>
        <v>3.9897352787872089</v>
      </c>
      <c r="T116" s="22" t="s">
        <v>1014</v>
      </c>
      <c r="U116" s="9"/>
      <c r="V116" s="12"/>
      <c r="X116" s="10"/>
      <c r="AB116" s="4"/>
    </row>
    <row r="117" spans="1:28" s="3" customFormat="1" ht="42" customHeight="1" x14ac:dyDescent="0.25">
      <c r="A117" s="81" t="s">
        <v>981</v>
      </c>
      <c r="B117" s="83" t="s">
        <v>1020</v>
      </c>
      <c r="C117" s="84" t="s">
        <v>1019</v>
      </c>
      <c r="D117" s="16">
        <v>117.8506</v>
      </c>
      <c r="E117" s="18">
        <v>0.64900000000000002</v>
      </c>
      <c r="F117" s="16">
        <f t="shared" si="39"/>
        <v>117.2016</v>
      </c>
      <c r="G117" s="17">
        <v>19.321200000000001</v>
      </c>
      <c r="H117" s="16">
        <f t="shared" si="38"/>
        <v>4.0716537700000002</v>
      </c>
      <c r="I117" s="16">
        <v>0</v>
      </c>
      <c r="J117" s="16">
        <v>0.14846000000000001</v>
      </c>
      <c r="K117" s="16">
        <v>0</v>
      </c>
      <c r="L117" s="16">
        <v>1.57758124</v>
      </c>
      <c r="M117" s="16">
        <v>2.4</v>
      </c>
      <c r="N117" s="16">
        <v>2.3456125299999999</v>
      </c>
      <c r="O117" s="16">
        <v>16.921200000000002</v>
      </c>
      <c r="P117" s="16">
        <v>0</v>
      </c>
      <c r="Q117" s="16">
        <f t="shared" si="40"/>
        <v>113.12994623</v>
      </c>
      <c r="R117" s="16">
        <f t="shared" si="41"/>
        <v>1.6716537700000003</v>
      </c>
      <c r="S117" s="14">
        <f t="shared" si="42"/>
        <v>0.69652240416666678</v>
      </c>
      <c r="T117" s="22" t="s">
        <v>1014</v>
      </c>
      <c r="U117" s="9"/>
      <c r="V117" s="12"/>
      <c r="X117" s="10"/>
      <c r="AB117" s="4"/>
    </row>
    <row r="118" spans="1:28" s="3" customFormat="1" ht="31.5" x14ac:dyDescent="0.25">
      <c r="A118" s="43" t="s">
        <v>981</v>
      </c>
      <c r="B118" s="20" t="s">
        <v>1018</v>
      </c>
      <c r="C118" s="19" t="s">
        <v>1017</v>
      </c>
      <c r="D118" s="16">
        <v>227.29016688600001</v>
      </c>
      <c r="E118" s="18">
        <v>20.02756582</v>
      </c>
      <c r="F118" s="16">
        <f t="shared" si="39"/>
        <v>207.262601066</v>
      </c>
      <c r="G118" s="17">
        <v>30.621108996</v>
      </c>
      <c r="H118" s="16">
        <f t="shared" si="38"/>
        <v>12.552639119999998</v>
      </c>
      <c r="I118" s="16">
        <v>0.153109</v>
      </c>
      <c r="J118" s="16">
        <v>0.15379998999999997</v>
      </c>
      <c r="K118" s="16">
        <v>0</v>
      </c>
      <c r="L118" s="16">
        <v>3.24310901</v>
      </c>
      <c r="M118" s="16">
        <v>0</v>
      </c>
      <c r="N118" s="16">
        <v>9.1557301199999994</v>
      </c>
      <c r="O118" s="16">
        <v>30.467999996</v>
      </c>
      <c r="P118" s="16">
        <v>0</v>
      </c>
      <c r="Q118" s="16">
        <f t="shared" si="40"/>
        <v>194.70996194599999</v>
      </c>
      <c r="R118" s="16">
        <f t="shared" si="41"/>
        <v>12.399530119999998</v>
      </c>
      <c r="S118" s="14">
        <f t="shared" si="42"/>
        <v>80.984985337243387</v>
      </c>
      <c r="T118" s="22" t="s">
        <v>1014</v>
      </c>
      <c r="U118" s="9"/>
      <c r="V118" s="12"/>
      <c r="X118" s="10"/>
      <c r="AB118" s="4"/>
    </row>
    <row r="119" spans="1:28" s="3" customFormat="1" ht="47.25" x14ac:dyDescent="0.25">
      <c r="A119" s="43" t="s">
        <v>981</v>
      </c>
      <c r="B119" s="20" t="s">
        <v>1016</v>
      </c>
      <c r="C119" s="19" t="s">
        <v>1015</v>
      </c>
      <c r="D119" s="16">
        <v>174.4106718532</v>
      </c>
      <c r="E119" s="18">
        <v>1.7994999999999999</v>
      </c>
      <c r="F119" s="16">
        <f t="shared" si="39"/>
        <v>172.61117185320001</v>
      </c>
      <c r="G119" s="17">
        <v>18.998000000000001</v>
      </c>
      <c r="H119" s="16">
        <f t="shared" si="38"/>
        <v>2.1824736599999999</v>
      </c>
      <c r="I119" s="16">
        <v>0</v>
      </c>
      <c r="J119" s="16">
        <v>0</v>
      </c>
      <c r="K119" s="16">
        <v>0</v>
      </c>
      <c r="L119" s="16">
        <v>1.57226566</v>
      </c>
      <c r="M119" s="16">
        <v>2.4</v>
      </c>
      <c r="N119" s="16">
        <v>0.61020799999999997</v>
      </c>
      <c r="O119" s="16">
        <v>16.597999999999999</v>
      </c>
      <c r="P119" s="16">
        <v>0</v>
      </c>
      <c r="Q119" s="16">
        <f t="shared" si="40"/>
        <v>170.42869819320001</v>
      </c>
      <c r="R119" s="16">
        <f t="shared" si="41"/>
        <v>-0.21752634000000004</v>
      </c>
      <c r="S119" s="14">
        <f t="shared" si="42"/>
        <v>-9.0635975000000021E-2</v>
      </c>
      <c r="T119" s="22" t="s">
        <v>1014</v>
      </c>
      <c r="U119" s="9"/>
      <c r="V119" s="12"/>
      <c r="X119" s="10"/>
      <c r="AB119" s="4"/>
    </row>
    <row r="120" spans="1:28" s="3" customFormat="1" ht="31.5" x14ac:dyDescent="0.25">
      <c r="A120" s="43" t="s">
        <v>981</v>
      </c>
      <c r="B120" s="20" t="s">
        <v>1013</v>
      </c>
      <c r="C120" s="19" t="s">
        <v>1012</v>
      </c>
      <c r="D120" s="16">
        <v>143.73239126800001</v>
      </c>
      <c r="E120" s="18">
        <v>31.33457202</v>
      </c>
      <c r="F120" s="16">
        <f t="shared" si="39"/>
        <v>112.39781924800002</v>
      </c>
      <c r="G120" s="17">
        <v>0.75999999999999635</v>
      </c>
      <c r="H120" s="16">
        <f t="shared" si="38"/>
        <v>8.2477957800000006</v>
      </c>
      <c r="I120" s="16">
        <v>0.75999999999999635</v>
      </c>
      <c r="J120" s="16">
        <v>8.2477957800000006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f t="shared" si="40"/>
        <v>104.15002346800001</v>
      </c>
      <c r="R120" s="16">
        <f t="shared" si="41"/>
        <v>7.4877957800000043</v>
      </c>
      <c r="S120" s="14">
        <f t="shared" si="42"/>
        <v>9.8523628684211051</v>
      </c>
      <c r="T120" s="22" t="s">
        <v>195</v>
      </c>
      <c r="U120" s="9"/>
      <c r="V120" s="12"/>
      <c r="X120" s="10"/>
      <c r="AB120" s="4"/>
    </row>
    <row r="121" spans="1:28" s="3" customFormat="1" ht="31.5" x14ac:dyDescent="0.25">
      <c r="A121" s="43" t="s">
        <v>981</v>
      </c>
      <c r="B121" s="20" t="s">
        <v>1011</v>
      </c>
      <c r="C121" s="41" t="s">
        <v>1010</v>
      </c>
      <c r="D121" s="16">
        <v>398.14979580677954</v>
      </c>
      <c r="E121" s="18">
        <v>38.656462160000004</v>
      </c>
      <c r="F121" s="16">
        <f t="shared" si="39"/>
        <v>359.49333364677955</v>
      </c>
      <c r="G121" s="17">
        <v>25.575199999999999</v>
      </c>
      <c r="H121" s="16">
        <f t="shared" si="38"/>
        <v>22.35302875</v>
      </c>
      <c r="I121" s="16">
        <v>1.6392</v>
      </c>
      <c r="J121" s="16">
        <v>18.967793889999999</v>
      </c>
      <c r="K121" s="16">
        <v>0</v>
      </c>
      <c r="L121" s="16">
        <v>0</v>
      </c>
      <c r="M121" s="16">
        <v>2.88</v>
      </c>
      <c r="N121" s="16">
        <v>3.3852348600000002</v>
      </c>
      <c r="O121" s="16">
        <v>21.056000000000001</v>
      </c>
      <c r="P121" s="16">
        <v>0</v>
      </c>
      <c r="Q121" s="16">
        <f t="shared" si="40"/>
        <v>337.14030489677953</v>
      </c>
      <c r="R121" s="16">
        <f t="shared" si="41"/>
        <v>17.833828750000002</v>
      </c>
      <c r="S121" s="14">
        <f t="shared" si="42"/>
        <v>3.9462357828819266</v>
      </c>
      <c r="T121" s="22" t="s">
        <v>195</v>
      </c>
      <c r="U121" s="9"/>
      <c r="V121" s="12"/>
      <c r="X121" s="10"/>
      <c r="AB121" s="4"/>
    </row>
    <row r="122" spans="1:28" s="3" customFormat="1" ht="31.5" x14ac:dyDescent="0.25">
      <c r="A122" s="43" t="s">
        <v>981</v>
      </c>
      <c r="B122" s="20" t="s">
        <v>1009</v>
      </c>
      <c r="C122" s="41" t="s">
        <v>1008</v>
      </c>
      <c r="D122" s="16">
        <v>29.939999999999998</v>
      </c>
      <c r="E122" s="18">
        <v>2.6579514</v>
      </c>
      <c r="F122" s="16">
        <f t="shared" si="39"/>
        <v>27.282048599999996</v>
      </c>
      <c r="G122" s="17">
        <v>27.06</v>
      </c>
      <c r="H122" s="16">
        <f t="shared" si="38"/>
        <v>0</v>
      </c>
      <c r="I122" s="16">
        <v>0</v>
      </c>
      <c r="J122" s="16">
        <v>0</v>
      </c>
      <c r="K122" s="16">
        <v>4.4420000000000002</v>
      </c>
      <c r="L122" s="16">
        <v>0</v>
      </c>
      <c r="M122" s="16">
        <v>20.797000000000001</v>
      </c>
      <c r="N122" s="16">
        <v>0</v>
      </c>
      <c r="O122" s="16">
        <v>1.821</v>
      </c>
      <c r="P122" s="16">
        <v>0</v>
      </c>
      <c r="Q122" s="16">
        <f t="shared" si="40"/>
        <v>27.282048599999996</v>
      </c>
      <c r="R122" s="16">
        <f t="shared" si="41"/>
        <v>-25.239000000000001</v>
      </c>
      <c r="S122" s="14">
        <f t="shared" si="42"/>
        <v>-1</v>
      </c>
      <c r="T122" s="22" t="s">
        <v>40</v>
      </c>
      <c r="U122" s="9"/>
      <c r="V122" s="12"/>
      <c r="X122" s="10"/>
      <c r="AB122" s="4"/>
    </row>
    <row r="123" spans="1:28" s="3" customFormat="1" ht="47.25" x14ac:dyDescent="0.25">
      <c r="A123" s="43" t="s">
        <v>981</v>
      </c>
      <c r="B123" s="20" t="s">
        <v>1007</v>
      </c>
      <c r="C123" s="41" t="s">
        <v>1006</v>
      </c>
      <c r="D123" s="16" t="s">
        <v>0</v>
      </c>
      <c r="E123" s="18" t="s">
        <v>0</v>
      </c>
      <c r="F123" s="16" t="s">
        <v>0</v>
      </c>
      <c r="G123" s="17" t="s">
        <v>0</v>
      </c>
      <c r="H123" s="16">
        <f t="shared" si="38"/>
        <v>50.584971600000003</v>
      </c>
      <c r="I123" s="16" t="s">
        <v>0</v>
      </c>
      <c r="J123" s="16">
        <v>50.584971600000003</v>
      </c>
      <c r="K123" s="16" t="s">
        <v>0</v>
      </c>
      <c r="L123" s="16">
        <v>0</v>
      </c>
      <c r="M123" s="16" t="s">
        <v>0</v>
      </c>
      <c r="N123" s="16">
        <v>0</v>
      </c>
      <c r="O123" s="16" t="s">
        <v>0</v>
      </c>
      <c r="P123" s="16">
        <v>0</v>
      </c>
      <c r="Q123" s="16" t="s">
        <v>0</v>
      </c>
      <c r="R123" s="16" t="s">
        <v>0</v>
      </c>
      <c r="S123" s="32" t="s">
        <v>0</v>
      </c>
      <c r="T123" s="22" t="s">
        <v>1005</v>
      </c>
      <c r="U123" s="9"/>
      <c r="V123" s="12"/>
      <c r="X123" s="10"/>
      <c r="AB123" s="4"/>
    </row>
    <row r="124" spans="1:28" s="3" customFormat="1" ht="47.25" x14ac:dyDescent="0.25">
      <c r="A124" s="81" t="s">
        <v>981</v>
      </c>
      <c r="B124" s="83" t="s">
        <v>1004</v>
      </c>
      <c r="C124" s="82" t="s">
        <v>1003</v>
      </c>
      <c r="D124" s="16">
        <v>52.417175999999991</v>
      </c>
      <c r="E124" s="18">
        <v>0</v>
      </c>
      <c r="F124" s="16">
        <f t="shared" ref="F124:F131" si="43">D124-E124</f>
        <v>52.417175999999991</v>
      </c>
      <c r="G124" s="17">
        <v>9.1199999999999992</v>
      </c>
      <c r="H124" s="16">
        <f t="shared" si="38"/>
        <v>0.14741606000000002</v>
      </c>
      <c r="I124" s="16">
        <v>0</v>
      </c>
      <c r="J124" s="16">
        <v>0.14741606000000002</v>
      </c>
      <c r="K124" s="16">
        <v>0</v>
      </c>
      <c r="L124" s="16">
        <v>0</v>
      </c>
      <c r="M124" s="16">
        <v>0</v>
      </c>
      <c r="N124" s="16">
        <v>0</v>
      </c>
      <c r="O124" s="16">
        <v>9.1199999999999992</v>
      </c>
      <c r="P124" s="16">
        <v>0</v>
      </c>
      <c r="Q124" s="16">
        <f t="shared" ref="Q124:Q131" si="44">F124-H124</f>
        <v>52.269759939999993</v>
      </c>
      <c r="R124" s="16">
        <f t="shared" ref="R124:R131" si="45">H124-(I124+K124+M124)</f>
        <v>0.14741606000000002</v>
      </c>
      <c r="S124" s="14">
        <v>1</v>
      </c>
      <c r="T124" s="22" t="s">
        <v>1002</v>
      </c>
      <c r="U124" s="9"/>
      <c r="V124" s="12"/>
      <c r="X124" s="10"/>
      <c r="AB124" s="4"/>
    </row>
    <row r="125" spans="1:28" s="3" customFormat="1" ht="94.5" x14ac:dyDescent="0.25">
      <c r="A125" s="81" t="s">
        <v>981</v>
      </c>
      <c r="B125" s="79" t="s">
        <v>1001</v>
      </c>
      <c r="C125" s="78" t="s">
        <v>1000</v>
      </c>
      <c r="D125" s="16">
        <v>25.891999999999999</v>
      </c>
      <c r="E125" s="18">
        <v>0</v>
      </c>
      <c r="F125" s="16">
        <f t="shared" si="43"/>
        <v>25.891999999999999</v>
      </c>
      <c r="G125" s="17">
        <v>25.891999999999999</v>
      </c>
      <c r="H125" s="16">
        <f t="shared" si="38"/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20.655790459999999</v>
      </c>
      <c r="N125" s="16">
        <v>0</v>
      </c>
      <c r="O125" s="16">
        <v>5.2362095399999999</v>
      </c>
      <c r="P125" s="16">
        <v>0</v>
      </c>
      <c r="Q125" s="16">
        <f t="shared" si="44"/>
        <v>25.891999999999999</v>
      </c>
      <c r="R125" s="16">
        <f t="shared" si="45"/>
        <v>-20.655790459999999</v>
      </c>
      <c r="S125" s="14">
        <f>R125/(I125+K125+M125)</f>
        <v>-1</v>
      </c>
      <c r="T125" s="22" t="s">
        <v>999</v>
      </c>
      <c r="U125" s="9"/>
      <c r="V125" s="12"/>
      <c r="X125" s="10"/>
      <c r="AB125" s="4"/>
    </row>
    <row r="126" spans="1:28" s="3" customFormat="1" ht="31.5" x14ac:dyDescent="0.25">
      <c r="A126" s="80" t="s">
        <v>981</v>
      </c>
      <c r="B126" s="79" t="s">
        <v>998</v>
      </c>
      <c r="C126" s="78" t="s">
        <v>997</v>
      </c>
      <c r="D126" s="16">
        <v>4.0105544679999996</v>
      </c>
      <c r="E126" s="18">
        <v>0</v>
      </c>
      <c r="F126" s="16">
        <f t="shared" si="43"/>
        <v>4.0105544679999996</v>
      </c>
      <c r="G126" s="17">
        <v>1.9634762319999999</v>
      </c>
      <c r="H126" s="16">
        <f t="shared" si="38"/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1.9634762319999999</v>
      </c>
      <c r="P126" s="16">
        <v>0</v>
      </c>
      <c r="Q126" s="16">
        <f t="shared" si="44"/>
        <v>4.0105544679999996</v>
      </c>
      <c r="R126" s="16">
        <f t="shared" si="45"/>
        <v>0</v>
      </c>
      <c r="S126" s="14">
        <v>0</v>
      </c>
      <c r="T126" s="22" t="s">
        <v>0</v>
      </c>
      <c r="U126" s="9"/>
      <c r="V126" s="12"/>
      <c r="X126" s="10"/>
      <c r="AB126" s="4"/>
    </row>
    <row r="127" spans="1:28" s="3" customFormat="1" ht="31.5" x14ac:dyDescent="0.25">
      <c r="A127" s="78" t="s">
        <v>981</v>
      </c>
      <c r="B127" s="79" t="s">
        <v>996</v>
      </c>
      <c r="C127" s="78" t="s">
        <v>995</v>
      </c>
      <c r="D127" s="16">
        <v>83.624159645999995</v>
      </c>
      <c r="E127" s="18">
        <v>36.585623839999997</v>
      </c>
      <c r="F127" s="16">
        <f t="shared" si="43"/>
        <v>47.038535805999999</v>
      </c>
      <c r="G127" s="17">
        <v>38.277477509999997</v>
      </c>
      <c r="H127" s="16">
        <f t="shared" si="38"/>
        <v>7.844166229999999</v>
      </c>
      <c r="I127" s="16">
        <v>1.4</v>
      </c>
      <c r="J127" s="16">
        <v>0.30880258999999999</v>
      </c>
      <c r="K127" s="16">
        <v>5.2402230000000003</v>
      </c>
      <c r="L127" s="16">
        <v>9.5000000000000001E-2</v>
      </c>
      <c r="M127" s="16">
        <v>16.673504340000001</v>
      </c>
      <c r="N127" s="16">
        <v>7.4403636399999993</v>
      </c>
      <c r="O127" s="16">
        <v>14.963750169999999</v>
      </c>
      <c r="P127" s="16">
        <v>0</v>
      </c>
      <c r="Q127" s="16">
        <f t="shared" si="44"/>
        <v>39.194369576</v>
      </c>
      <c r="R127" s="16">
        <f t="shared" si="45"/>
        <v>-15.469561110000001</v>
      </c>
      <c r="S127" s="14">
        <f>R127/(I127+K127+M127)</f>
        <v>-0.66353873339929015</v>
      </c>
      <c r="T127" s="22" t="s">
        <v>994</v>
      </c>
      <c r="U127" s="9"/>
      <c r="V127" s="12"/>
      <c r="X127" s="10"/>
    </row>
    <row r="128" spans="1:28" s="3" customFormat="1" ht="47.25" x14ac:dyDescent="0.25">
      <c r="A128" s="43" t="s">
        <v>981</v>
      </c>
      <c r="B128" s="42" t="s">
        <v>993</v>
      </c>
      <c r="C128" s="41" t="s">
        <v>992</v>
      </c>
      <c r="D128" s="16">
        <v>76.560210158918991</v>
      </c>
      <c r="E128" s="18">
        <v>3.2821865300000002</v>
      </c>
      <c r="F128" s="16">
        <f t="shared" si="43"/>
        <v>73.278023628918987</v>
      </c>
      <c r="G128" s="17">
        <v>1.44</v>
      </c>
      <c r="H128" s="16">
        <f t="shared" si="38"/>
        <v>0</v>
      </c>
      <c r="I128" s="16">
        <v>0</v>
      </c>
      <c r="J128" s="16">
        <v>0</v>
      </c>
      <c r="K128" s="16">
        <v>0.1</v>
      </c>
      <c r="L128" s="16">
        <v>0</v>
      </c>
      <c r="M128" s="16">
        <v>1.34</v>
      </c>
      <c r="N128" s="16">
        <v>0</v>
      </c>
      <c r="O128" s="16">
        <v>0</v>
      </c>
      <c r="P128" s="16">
        <v>0</v>
      </c>
      <c r="Q128" s="16">
        <f t="shared" si="44"/>
        <v>73.278023628918987</v>
      </c>
      <c r="R128" s="16">
        <f t="shared" si="45"/>
        <v>-1.4400000000000002</v>
      </c>
      <c r="S128" s="14">
        <f>R128/(I128+K128+M128)</f>
        <v>-1</v>
      </c>
      <c r="T128" s="22" t="s">
        <v>991</v>
      </c>
      <c r="U128" s="9"/>
      <c r="V128" s="12"/>
      <c r="X128" s="10"/>
    </row>
    <row r="129" spans="1:24" s="3" customFormat="1" ht="81.75" customHeight="1" x14ac:dyDescent="0.25">
      <c r="A129" s="43" t="s">
        <v>981</v>
      </c>
      <c r="B129" s="42" t="s">
        <v>990</v>
      </c>
      <c r="C129" s="41" t="s">
        <v>989</v>
      </c>
      <c r="D129" s="16">
        <v>77.707164799999987</v>
      </c>
      <c r="E129" s="18">
        <v>3.2485529999999998</v>
      </c>
      <c r="F129" s="16">
        <f t="shared" si="43"/>
        <v>74.458611799999986</v>
      </c>
      <c r="G129" s="17">
        <v>42.930005599999994</v>
      </c>
      <c r="H129" s="16">
        <f t="shared" si="38"/>
        <v>0</v>
      </c>
      <c r="I129" s="16">
        <v>3.302</v>
      </c>
      <c r="J129" s="16">
        <v>0</v>
      </c>
      <c r="K129" s="16">
        <v>3.9328000000000003</v>
      </c>
      <c r="L129" s="16">
        <v>0</v>
      </c>
      <c r="M129" s="16">
        <v>15.762</v>
      </c>
      <c r="N129" s="16">
        <v>0</v>
      </c>
      <c r="O129" s="16">
        <v>19.933205600000001</v>
      </c>
      <c r="P129" s="16">
        <v>0</v>
      </c>
      <c r="Q129" s="16">
        <f t="shared" si="44"/>
        <v>74.458611799999986</v>
      </c>
      <c r="R129" s="16">
        <f t="shared" si="45"/>
        <v>-22.9968</v>
      </c>
      <c r="S129" s="14">
        <f>R129/(I129+K129+M129)</f>
        <v>-1</v>
      </c>
      <c r="T129" s="22" t="s">
        <v>988</v>
      </c>
      <c r="U129" s="9"/>
      <c r="V129" s="12"/>
      <c r="X129" s="10"/>
    </row>
    <row r="130" spans="1:24" s="3" customFormat="1" ht="27" customHeight="1" x14ac:dyDescent="0.25">
      <c r="A130" s="43" t="s">
        <v>981</v>
      </c>
      <c r="B130" s="42" t="s">
        <v>987</v>
      </c>
      <c r="C130" s="41" t="s">
        <v>986</v>
      </c>
      <c r="D130" s="16">
        <v>6.4834396051611192</v>
      </c>
      <c r="E130" s="18">
        <v>0</v>
      </c>
      <c r="F130" s="16">
        <f t="shared" si="43"/>
        <v>6.4834396051611192</v>
      </c>
      <c r="G130" s="17">
        <v>6.4834396051611192</v>
      </c>
      <c r="H130" s="16">
        <f t="shared" si="38"/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6.4834396051600001</v>
      </c>
      <c r="P130" s="16">
        <v>0</v>
      </c>
      <c r="Q130" s="16">
        <f t="shared" si="44"/>
        <v>6.4834396051611192</v>
      </c>
      <c r="R130" s="16">
        <f t="shared" si="45"/>
        <v>0</v>
      </c>
      <c r="S130" s="14">
        <v>0</v>
      </c>
      <c r="T130" s="22" t="s">
        <v>0</v>
      </c>
      <c r="U130" s="9"/>
      <c r="V130" s="12"/>
      <c r="X130" s="10"/>
    </row>
    <row r="131" spans="1:24" s="3" customFormat="1" ht="31.5" x14ac:dyDescent="0.25">
      <c r="A131" s="43" t="s">
        <v>981</v>
      </c>
      <c r="B131" s="42" t="s">
        <v>985</v>
      </c>
      <c r="C131" s="41" t="s">
        <v>984</v>
      </c>
      <c r="D131" s="16">
        <v>63.410424380000002</v>
      </c>
      <c r="E131" s="18">
        <v>0</v>
      </c>
      <c r="F131" s="16">
        <f t="shared" si="43"/>
        <v>63.410424380000002</v>
      </c>
      <c r="G131" s="17">
        <v>2.1375475469364242</v>
      </c>
      <c r="H131" s="16">
        <f t="shared" si="38"/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2.13754754694</v>
      </c>
      <c r="P131" s="16">
        <v>0</v>
      </c>
      <c r="Q131" s="16">
        <f t="shared" si="44"/>
        <v>63.410424380000002</v>
      </c>
      <c r="R131" s="16">
        <f t="shared" si="45"/>
        <v>0</v>
      </c>
      <c r="S131" s="14">
        <v>0</v>
      </c>
      <c r="T131" s="22" t="s">
        <v>0</v>
      </c>
      <c r="U131" s="9"/>
      <c r="V131" s="12"/>
      <c r="X131" s="10"/>
    </row>
    <row r="132" spans="1:24" s="3" customFormat="1" ht="31.5" x14ac:dyDescent="0.25">
      <c r="A132" s="43" t="s">
        <v>981</v>
      </c>
      <c r="B132" s="42" t="s">
        <v>983</v>
      </c>
      <c r="C132" s="41" t="s">
        <v>982</v>
      </c>
      <c r="D132" s="16" t="s">
        <v>0</v>
      </c>
      <c r="E132" s="18" t="s">
        <v>0</v>
      </c>
      <c r="F132" s="16" t="s">
        <v>0</v>
      </c>
      <c r="G132" s="17" t="s">
        <v>0</v>
      </c>
      <c r="H132" s="16">
        <f t="shared" si="38"/>
        <v>1.1188682400000001</v>
      </c>
      <c r="I132" s="16" t="s">
        <v>0</v>
      </c>
      <c r="J132" s="16">
        <v>1.1188682400000001</v>
      </c>
      <c r="K132" s="16" t="s">
        <v>0</v>
      </c>
      <c r="L132" s="16">
        <v>0</v>
      </c>
      <c r="M132" s="16" t="s">
        <v>0</v>
      </c>
      <c r="N132" s="16">
        <v>0</v>
      </c>
      <c r="O132" s="16" t="s">
        <v>0</v>
      </c>
      <c r="P132" s="16">
        <v>0</v>
      </c>
      <c r="Q132" s="16" t="s">
        <v>0</v>
      </c>
      <c r="R132" s="16" t="s">
        <v>0</v>
      </c>
      <c r="S132" s="32" t="s">
        <v>0</v>
      </c>
      <c r="T132" s="22" t="s">
        <v>62</v>
      </c>
      <c r="U132" s="9"/>
      <c r="V132" s="12"/>
      <c r="X132" s="10"/>
    </row>
    <row r="133" spans="1:24" s="3" customFormat="1" ht="94.5" x14ac:dyDescent="0.25">
      <c r="A133" s="43" t="s">
        <v>981</v>
      </c>
      <c r="B133" s="75" t="s">
        <v>980</v>
      </c>
      <c r="C133" s="41" t="s">
        <v>979</v>
      </c>
      <c r="D133" s="16" t="s">
        <v>0</v>
      </c>
      <c r="E133" s="18" t="s">
        <v>0</v>
      </c>
      <c r="F133" s="16" t="s">
        <v>0</v>
      </c>
      <c r="G133" s="17" t="s">
        <v>0</v>
      </c>
      <c r="H133" s="16">
        <f t="shared" si="38"/>
        <v>0.90985642</v>
      </c>
      <c r="I133" s="16" t="s">
        <v>0</v>
      </c>
      <c r="J133" s="16">
        <f>777.13504/1000</f>
        <v>0.77713504</v>
      </c>
      <c r="K133" s="16" t="s">
        <v>0</v>
      </c>
      <c r="L133" s="16">
        <v>0.13250138</v>
      </c>
      <c r="M133" s="16" t="s">
        <v>0</v>
      </c>
      <c r="N133" s="16">
        <v>2.2000000000000001E-4</v>
      </c>
      <c r="O133" s="16" t="s">
        <v>0</v>
      </c>
      <c r="P133" s="16">
        <v>0</v>
      </c>
      <c r="Q133" s="16" t="s">
        <v>0</v>
      </c>
      <c r="R133" s="16" t="s">
        <v>0</v>
      </c>
      <c r="S133" s="32" t="s">
        <v>0</v>
      </c>
      <c r="T133" s="22" t="s">
        <v>978</v>
      </c>
      <c r="U133" s="9"/>
      <c r="V133" s="12"/>
      <c r="X133" s="10"/>
    </row>
    <row r="134" spans="1:24" s="3" customFormat="1" ht="47.25" x14ac:dyDescent="0.25">
      <c r="A134" s="35" t="s">
        <v>977</v>
      </c>
      <c r="B134" s="37" t="s">
        <v>34</v>
      </c>
      <c r="C134" s="33" t="s">
        <v>11</v>
      </c>
      <c r="D134" s="28">
        <f t="shared" ref="D134:R134" si="46">D135</f>
        <v>0</v>
      </c>
      <c r="E134" s="28">
        <f t="shared" si="46"/>
        <v>0</v>
      </c>
      <c r="F134" s="28">
        <f t="shared" si="46"/>
        <v>0</v>
      </c>
      <c r="G134" s="28">
        <f t="shared" si="46"/>
        <v>0</v>
      </c>
      <c r="H134" s="28">
        <f t="shared" si="46"/>
        <v>0</v>
      </c>
      <c r="I134" s="28">
        <f t="shared" si="46"/>
        <v>0</v>
      </c>
      <c r="J134" s="28">
        <f t="shared" si="46"/>
        <v>0</v>
      </c>
      <c r="K134" s="28">
        <f t="shared" si="46"/>
        <v>0</v>
      </c>
      <c r="L134" s="28">
        <f t="shared" si="46"/>
        <v>0</v>
      </c>
      <c r="M134" s="28">
        <f t="shared" si="46"/>
        <v>0</v>
      </c>
      <c r="N134" s="28">
        <f t="shared" si="46"/>
        <v>0</v>
      </c>
      <c r="O134" s="28">
        <f t="shared" si="46"/>
        <v>0</v>
      </c>
      <c r="P134" s="28">
        <f t="shared" si="46"/>
        <v>0</v>
      </c>
      <c r="Q134" s="28">
        <f t="shared" si="46"/>
        <v>0</v>
      </c>
      <c r="R134" s="28">
        <f t="shared" si="46"/>
        <v>0</v>
      </c>
      <c r="S134" s="27">
        <v>0</v>
      </c>
      <c r="T134" s="26" t="s">
        <v>0</v>
      </c>
      <c r="U134" s="9"/>
      <c r="V134" s="12"/>
      <c r="X134" s="10"/>
    </row>
    <row r="135" spans="1:24" s="3" customFormat="1" x14ac:dyDescent="0.25">
      <c r="A135" s="35" t="s">
        <v>976</v>
      </c>
      <c r="B135" s="37" t="s">
        <v>975</v>
      </c>
      <c r="C135" s="33" t="s">
        <v>11</v>
      </c>
      <c r="D135" s="28">
        <f t="shared" ref="D135:R135" si="47">D136+D137</f>
        <v>0</v>
      </c>
      <c r="E135" s="28">
        <f t="shared" si="47"/>
        <v>0</v>
      </c>
      <c r="F135" s="28">
        <f t="shared" si="47"/>
        <v>0</v>
      </c>
      <c r="G135" s="28">
        <f t="shared" si="47"/>
        <v>0</v>
      </c>
      <c r="H135" s="28">
        <f t="shared" si="47"/>
        <v>0</v>
      </c>
      <c r="I135" s="28">
        <f t="shared" si="47"/>
        <v>0</v>
      </c>
      <c r="J135" s="28">
        <f t="shared" si="47"/>
        <v>0</v>
      </c>
      <c r="K135" s="28">
        <f t="shared" si="47"/>
        <v>0</v>
      </c>
      <c r="L135" s="28">
        <f t="shared" si="47"/>
        <v>0</v>
      </c>
      <c r="M135" s="28">
        <f t="shared" si="47"/>
        <v>0</v>
      </c>
      <c r="N135" s="28">
        <f t="shared" si="47"/>
        <v>0</v>
      </c>
      <c r="O135" s="28">
        <f t="shared" si="47"/>
        <v>0</v>
      </c>
      <c r="P135" s="28">
        <f t="shared" si="47"/>
        <v>0</v>
      </c>
      <c r="Q135" s="28">
        <f t="shared" si="47"/>
        <v>0</v>
      </c>
      <c r="R135" s="28">
        <f t="shared" si="47"/>
        <v>0</v>
      </c>
      <c r="S135" s="27">
        <v>0</v>
      </c>
      <c r="T135" s="26" t="s">
        <v>0</v>
      </c>
      <c r="U135" s="9"/>
      <c r="V135" s="12"/>
      <c r="X135" s="10"/>
    </row>
    <row r="136" spans="1:24" s="3" customFormat="1" ht="47.25" x14ac:dyDescent="0.25">
      <c r="A136" s="35" t="s">
        <v>974</v>
      </c>
      <c r="B136" s="34" t="s">
        <v>27</v>
      </c>
      <c r="C136" s="33" t="s">
        <v>11</v>
      </c>
      <c r="D136" s="28">
        <v>0</v>
      </c>
      <c r="E136" s="28">
        <v>0</v>
      </c>
      <c r="F136" s="28">
        <v>0</v>
      </c>
      <c r="G136" s="28">
        <v>0</v>
      </c>
      <c r="H136" s="28">
        <v>0</v>
      </c>
      <c r="I136" s="28">
        <v>0</v>
      </c>
      <c r="J136" s="28">
        <v>0</v>
      </c>
      <c r="K136" s="28">
        <v>0</v>
      </c>
      <c r="L136" s="28">
        <v>0</v>
      </c>
      <c r="M136" s="28">
        <v>0</v>
      </c>
      <c r="N136" s="28">
        <v>0</v>
      </c>
      <c r="O136" s="28">
        <v>0</v>
      </c>
      <c r="P136" s="28">
        <v>0</v>
      </c>
      <c r="Q136" s="28">
        <v>0</v>
      </c>
      <c r="R136" s="28">
        <v>0</v>
      </c>
      <c r="S136" s="27">
        <v>0</v>
      </c>
      <c r="T136" s="26" t="s">
        <v>0</v>
      </c>
      <c r="U136" s="9"/>
      <c r="V136" s="12"/>
      <c r="X136" s="10"/>
    </row>
    <row r="137" spans="1:24" s="3" customFormat="1" ht="47.25" x14ac:dyDescent="0.25">
      <c r="A137" s="38" t="s">
        <v>973</v>
      </c>
      <c r="B137" s="37" t="s">
        <v>25</v>
      </c>
      <c r="C137" s="33" t="s">
        <v>11</v>
      </c>
      <c r="D137" s="28">
        <f t="shared" ref="D137:R137" si="48">SUM(D138)</f>
        <v>0</v>
      </c>
      <c r="E137" s="28">
        <f t="shared" si="48"/>
        <v>0</v>
      </c>
      <c r="F137" s="28">
        <f t="shared" si="48"/>
        <v>0</v>
      </c>
      <c r="G137" s="28">
        <f t="shared" si="48"/>
        <v>0</v>
      </c>
      <c r="H137" s="28">
        <f t="shared" si="48"/>
        <v>0</v>
      </c>
      <c r="I137" s="28">
        <f t="shared" si="48"/>
        <v>0</v>
      </c>
      <c r="J137" s="28">
        <f t="shared" si="48"/>
        <v>0</v>
      </c>
      <c r="K137" s="28">
        <f t="shared" si="48"/>
        <v>0</v>
      </c>
      <c r="L137" s="28">
        <f t="shared" si="48"/>
        <v>0</v>
      </c>
      <c r="M137" s="28">
        <f t="shared" si="48"/>
        <v>0</v>
      </c>
      <c r="N137" s="28">
        <f t="shared" si="48"/>
        <v>0</v>
      </c>
      <c r="O137" s="28">
        <f t="shared" si="48"/>
        <v>0</v>
      </c>
      <c r="P137" s="28">
        <f t="shared" si="48"/>
        <v>0</v>
      </c>
      <c r="Q137" s="28">
        <f t="shared" si="48"/>
        <v>0</v>
      </c>
      <c r="R137" s="28">
        <f t="shared" si="48"/>
        <v>0</v>
      </c>
      <c r="S137" s="27">
        <v>0</v>
      </c>
      <c r="T137" s="26" t="s">
        <v>0</v>
      </c>
      <c r="U137" s="9"/>
      <c r="V137" s="12"/>
      <c r="X137" s="10"/>
    </row>
    <row r="138" spans="1:24" s="3" customFormat="1" ht="47.25" x14ac:dyDescent="0.25">
      <c r="A138" s="43" t="s">
        <v>973</v>
      </c>
      <c r="B138" s="75" t="s">
        <v>972</v>
      </c>
      <c r="C138" s="41" t="s">
        <v>971</v>
      </c>
      <c r="D138" s="16" t="s">
        <v>0</v>
      </c>
      <c r="E138" s="18" t="s">
        <v>0</v>
      </c>
      <c r="F138" s="16" t="s">
        <v>0</v>
      </c>
      <c r="G138" s="17" t="s">
        <v>0</v>
      </c>
      <c r="H138" s="16">
        <f>J138+L138+N138+P138</f>
        <v>0</v>
      </c>
      <c r="I138" s="16" t="s">
        <v>0</v>
      </c>
      <c r="J138" s="16">
        <v>0</v>
      </c>
      <c r="K138" s="16" t="s">
        <v>0</v>
      </c>
      <c r="L138" s="16">
        <v>0</v>
      </c>
      <c r="M138" s="16" t="s">
        <v>0</v>
      </c>
      <c r="N138" s="16">
        <v>0</v>
      </c>
      <c r="O138" s="16" t="s">
        <v>0</v>
      </c>
      <c r="P138" s="16">
        <v>0</v>
      </c>
      <c r="Q138" s="16" t="s">
        <v>0</v>
      </c>
      <c r="R138" s="16" t="s">
        <v>0</v>
      </c>
      <c r="S138" s="32" t="s">
        <v>0</v>
      </c>
      <c r="T138" s="22" t="s">
        <v>0</v>
      </c>
      <c r="U138" s="9"/>
      <c r="V138" s="12"/>
      <c r="X138" s="10"/>
    </row>
    <row r="139" spans="1:24" s="3" customFormat="1" x14ac:dyDescent="0.25">
      <c r="A139" s="35" t="s">
        <v>970</v>
      </c>
      <c r="B139" s="77" t="s">
        <v>29</v>
      </c>
      <c r="C139" s="44" t="s">
        <v>11</v>
      </c>
      <c r="D139" s="28">
        <v>0</v>
      </c>
      <c r="E139" s="76">
        <v>0</v>
      </c>
      <c r="F139" s="28">
        <v>0</v>
      </c>
      <c r="G139" s="28">
        <v>0</v>
      </c>
      <c r="H139" s="28">
        <v>0</v>
      </c>
      <c r="I139" s="28">
        <v>0</v>
      </c>
      <c r="J139" s="28">
        <v>0</v>
      </c>
      <c r="K139" s="28">
        <v>0</v>
      </c>
      <c r="L139" s="28">
        <v>0</v>
      </c>
      <c r="M139" s="28">
        <v>0</v>
      </c>
      <c r="N139" s="28">
        <v>0</v>
      </c>
      <c r="O139" s="28">
        <v>0</v>
      </c>
      <c r="P139" s="28">
        <v>0</v>
      </c>
      <c r="Q139" s="28">
        <v>0</v>
      </c>
      <c r="R139" s="28">
        <v>0</v>
      </c>
      <c r="S139" s="27">
        <v>0</v>
      </c>
      <c r="T139" s="26" t="s">
        <v>0</v>
      </c>
      <c r="U139" s="9"/>
      <c r="V139" s="12"/>
      <c r="X139" s="10"/>
    </row>
    <row r="140" spans="1:24" s="3" customFormat="1" ht="47.25" x14ac:dyDescent="0.25">
      <c r="A140" s="35" t="s">
        <v>969</v>
      </c>
      <c r="B140" s="77" t="s">
        <v>27</v>
      </c>
      <c r="C140" s="44" t="s">
        <v>11</v>
      </c>
      <c r="D140" s="28">
        <v>0</v>
      </c>
      <c r="E140" s="76">
        <v>0</v>
      </c>
      <c r="F140" s="28">
        <v>0</v>
      </c>
      <c r="G140" s="28">
        <v>0</v>
      </c>
      <c r="H140" s="28">
        <v>0</v>
      </c>
      <c r="I140" s="28">
        <v>0</v>
      </c>
      <c r="J140" s="28">
        <v>0</v>
      </c>
      <c r="K140" s="28">
        <v>0</v>
      </c>
      <c r="L140" s="28">
        <v>0</v>
      </c>
      <c r="M140" s="28">
        <v>0</v>
      </c>
      <c r="N140" s="28">
        <v>0</v>
      </c>
      <c r="O140" s="28">
        <v>0</v>
      </c>
      <c r="P140" s="28">
        <v>0</v>
      </c>
      <c r="Q140" s="28">
        <v>0</v>
      </c>
      <c r="R140" s="28">
        <v>0</v>
      </c>
      <c r="S140" s="27">
        <v>0</v>
      </c>
      <c r="T140" s="26" t="s">
        <v>0</v>
      </c>
      <c r="U140" s="9"/>
      <c r="V140" s="12"/>
      <c r="X140" s="10"/>
    </row>
    <row r="141" spans="1:24" s="3" customFormat="1" ht="47.25" x14ac:dyDescent="0.25">
      <c r="A141" s="35" t="s">
        <v>968</v>
      </c>
      <c r="B141" s="77" t="s">
        <v>25</v>
      </c>
      <c r="C141" s="44" t="s">
        <v>11</v>
      </c>
      <c r="D141" s="28">
        <v>0</v>
      </c>
      <c r="E141" s="76">
        <v>0</v>
      </c>
      <c r="F141" s="28">
        <v>0</v>
      </c>
      <c r="G141" s="28">
        <v>0</v>
      </c>
      <c r="H141" s="28">
        <v>0</v>
      </c>
      <c r="I141" s="28">
        <v>0</v>
      </c>
      <c r="J141" s="28">
        <v>0</v>
      </c>
      <c r="K141" s="28">
        <v>0</v>
      </c>
      <c r="L141" s="28">
        <v>0</v>
      </c>
      <c r="M141" s="28">
        <v>0</v>
      </c>
      <c r="N141" s="28">
        <v>0</v>
      </c>
      <c r="O141" s="28">
        <v>0</v>
      </c>
      <c r="P141" s="28">
        <v>0</v>
      </c>
      <c r="Q141" s="28">
        <v>0</v>
      </c>
      <c r="R141" s="28">
        <v>0</v>
      </c>
      <c r="S141" s="27">
        <v>0</v>
      </c>
      <c r="T141" s="26" t="s">
        <v>0</v>
      </c>
      <c r="U141" s="9"/>
      <c r="V141" s="12"/>
      <c r="X141" s="10"/>
    </row>
    <row r="142" spans="1:24" s="3" customFormat="1" x14ac:dyDescent="0.25">
      <c r="A142" s="59" t="s">
        <v>967</v>
      </c>
      <c r="B142" s="37" t="s">
        <v>23</v>
      </c>
      <c r="C142" s="33" t="s">
        <v>11</v>
      </c>
      <c r="D142" s="28">
        <f t="shared" ref="D142:R142" si="49">SUM(D149,D146,D144,D143)</f>
        <v>5844.5938226633716</v>
      </c>
      <c r="E142" s="28">
        <f t="shared" si="49"/>
        <v>1108.4827597400001</v>
      </c>
      <c r="F142" s="28">
        <f t="shared" si="49"/>
        <v>4736.1110629233717</v>
      </c>
      <c r="G142" s="28">
        <f t="shared" si="49"/>
        <v>1156.4333733779999</v>
      </c>
      <c r="H142" s="28">
        <f t="shared" si="49"/>
        <v>562.92087374000005</v>
      </c>
      <c r="I142" s="28">
        <f t="shared" si="49"/>
        <v>37.024932969999995</v>
      </c>
      <c r="J142" s="28">
        <f t="shared" si="49"/>
        <v>104.97494499999999</v>
      </c>
      <c r="K142" s="28">
        <f t="shared" si="49"/>
        <v>91.17275798</v>
      </c>
      <c r="L142" s="28">
        <f t="shared" si="49"/>
        <v>233.89289124999999</v>
      </c>
      <c r="M142" s="28">
        <f t="shared" si="49"/>
        <v>92.378723059999984</v>
      </c>
      <c r="N142" s="28">
        <f t="shared" si="49"/>
        <v>224.05303749000001</v>
      </c>
      <c r="O142" s="28">
        <f t="shared" si="49"/>
        <v>935.85695936999991</v>
      </c>
      <c r="P142" s="28">
        <f t="shared" si="49"/>
        <v>0</v>
      </c>
      <c r="Q142" s="28">
        <f t="shared" si="49"/>
        <v>4173.1901891833713</v>
      </c>
      <c r="R142" s="28">
        <f t="shared" si="49"/>
        <v>342.34445972999993</v>
      </c>
      <c r="S142" s="27">
        <f>R142/(I142+K142+M142)</f>
        <v>1.5520447245754914</v>
      </c>
      <c r="T142" s="26" t="s">
        <v>0</v>
      </c>
      <c r="U142" s="9"/>
      <c r="V142" s="12"/>
      <c r="X142" s="10"/>
    </row>
    <row r="143" spans="1:24" s="3" customFormat="1" ht="31.5" x14ac:dyDescent="0.25">
      <c r="A143" s="35" t="s">
        <v>966</v>
      </c>
      <c r="B143" s="37" t="s">
        <v>21</v>
      </c>
      <c r="C143" s="33" t="s">
        <v>11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28">
        <v>0</v>
      </c>
      <c r="O143" s="28">
        <v>0</v>
      </c>
      <c r="P143" s="28">
        <v>0</v>
      </c>
      <c r="Q143" s="28">
        <v>0</v>
      </c>
      <c r="R143" s="28">
        <v>0</v>
      </c>
      <c r="S143" s="27">
        <v>0</v>
      </c>
      <c r="T143" s="26" t="s">
        <v>0</v>
      </c>
      <c r="U143" s="9"/>
      <c r="V143" s="12"/>
      <c r="X143" s="10"/>
    </row>
    <row r="144" spans="1:24" s="3" customFormat="1" x14ac:dyDescent="0.25">
      <c r="A144" s="35" t="s">
        <v>965</v>
      </c>
      <c r="B144" s="37" t="s">
        <v>19</v>
      </c>
      <c r="C144" s="33" t="s">
        <v>11</v>
      </c>
      <c r="D144" s="28">
        <f t="shared" ref="D144:R144" si="50">SUM(D145)</f>
        <v>676.19578354199996</v>
      </c>
      <c r="E144" s="28">
        <f t="shared" si="50"/>
        <v>26.236181039999998</v>
      </c>
      <c r="F144" s="28">
        <f t="shared" si="50"/>
        <v>649.95960250199994</v>
      </c>
      <c r="G144" s="28">
        <f t="shared" si="50"/>
        <v>340.66961858799993</v>
      </c>
      <c r="H144" s="76">
        <f t="shared" si="50"/>
        <v>2.8536514799999999</v>
      </c>
      <c r="I144" s="28">
        <f t="shared" si="50"/>
        <v>0.71111404</v>
      </c>
      <c r="J144" s="28">
        <f t="shared" si="50"/>
        <v>1.5</v>
      </c>
      <c r="K144" s="28">
        <f t="shared" si="50"/>
        <v>0.71111404</v>
      </c>
      <c r="L144" s="28">
        <f t="shared" si="50"/>
        <v>0</v>
      </c>
      <c r="M144" s="28">
        <f t="shared" si="50"/>
        <v>2.9375345100000003</v>
      </c>
      <c r="N144" s="28">
        <f t="shared" si="50"/>
        <v>1.3536514799999999</v>
      </c>
      <c r="O144" s="28">
        <f t="shared" si="50"/>
        <v>336.30985599799999</v>
      </c>
      <c r="P144" s="28">
        <f t="shared" si="50"/>
        <v>0</v>
      </c>
      <c r="Q144" s="28">
        <f t="shared" si="50"/>
        <v>647.10595102199989</v>
      </c>
      <c r="R144" s="28">
        <f t="shared" si="50"/>
        <v>-1.5061111100000009</v>
      </c>
      <c r="S144" s="27">
        <f t="shared" ref="S144:S155" si="51">R144/(I144+K144+M144)</f>
        <v>-0.34545713875672313</v>
      </c>
      <c r="T144" s="26" t="s">
        <v>0</v>
      </c>
      <c r="U144" s="9"/>
      <c r="V144" s="12"/>
      <c r="X144" s="10"/>
    </row>
    <row r="145" spans="1:28" s="3" customFormat="1" ht="63" x14ac:dyDescent="0.25">
      <c r="A145" s="43" t="s">
        <v>965</v>
      </c>
      <c r="B145" s="75" t="s">
        <v>964</v>
      </c>
      <c r="C145" s="41" t="s">
        <v>963</v>
      </c>
      <c r="D145" s="16">
        <v>676.19578354199996</v>
      </c>
      <c r="E145" s="18">
        <v>26.236181039999998</v>
      </c>
      <c r="F145" s="16">
        <f>D145-E145</f>
        <v>649.95960250199994</v>
      </c>
      <c r="G145" s="17">
        <v>340.66961858799993</v>
      </c>
      <c r="H145" s="16">
        <f>J145+L145+N145+P145</f>
        <v>2.8536514799999999</v>
      </c>
      <c r="I145" s="16">
        <v>0.71111404</v>
      </c>
      <c r="J145" s="16">
        <v>1.5</v>
      </c>
      <c r="K145" s="16">
        <v>0.71111404</v>
      </c>
      <c r="L145" s="16">
        <v>0</v>
      </c>
      <c r="M145" s="16">
        <v>2.9375345100000003</v>
      </c>
      <c r="N145" s="16">
        <v>1.3536514799999999</v>
      </c>
      <c r="O145" s="16">
        <v>336.30985599799999</v>
      </c>
      <c r="P145" s="16">
        <v>0</v>
      </c>
      <c r="Q145" s="16">
        <f>F145-H145</f>
        <v>647.10595102199989</v>
      </c>
      <c r="R145" s="16">
        <f>H145-(I145+K145+M145)</f>
        <v>-1.5061111100000009</v>
      </c>
      <c r="S145" s="14">
        <f t="shared" si="51"/>
        <v>-0.34545713875672313</v>
      </c>
      <c r="T145" s="22" t="s">
        <v>962</v>
      </c>
      <c r="U145" s="9"/>
      <c r="V145" s="12"/>
      <c r="X145" s="10"/>
      <c r="AB145" s="4"/>
    </row>
    <row r="146" spans="1:28" s="3" customFormat="1" x14ac:dyDescent="0.25">
      <c r="A146" s="35" t="s">
        <v>958</v>
      </c>
      <c r="B146" s="37" t="s">
        <v>17</v>
      </c>
      <c r="C146" s="33" t="s">
        <v>11</v>
      </c>
      <c r="D146" s="28">
        <f t="shared" ref="D146:R146" si="52">SUM(D147:D148)</f>
        <v>977.90614433999986</v>
      </c>
      <c r="E146" s="28">
        <f t="shared" si="52"/>
        <v>400.29217977999997</v>
      </c>
      <c r="F146" s="28">
        <f t="shared" si="52"/>
        <v>577.61396455999989</v>
      </c>
      <c r="G146" s="28">
        <f t="shared" si="52"/>
        <v>318.312192622</v>
      </c>
      <c r="H146" s="28">
        <f t="shared" si="52"/>
        <v>272.58701805999999</v>
      </c>
      <c r="I146" s="28">
        <f t="shared" si="52"/>
        <v>30.895913369999999</v>
      </c>
      <c r="J146" s="28">
        <f t="shared" si="52"/>
        <v>37.353401079999998</v>
      </c>
      <c r="K146" s="28">
        <f t="shared" si="52"/>
        <v>74.879919360000002</v>
      </c>
      <c r="L146" s="28">
        <f t="shared" si="52"/>
        <v>137.86912734999999</v>
      </c>
      <c r="M146" s="28">
        <f t="shared" si="52"/>
        <v>87.065426839999972</v>
      </c>
      <c r="N146" s="28">
        <f t="shared" si="52"/>
        <v>97.364489630000008</v>
      </c>
      <c r="O146" s="28">
        <f t="shared" si="52"/>
        <v>125.47093305199999</v>
      </c>
      <c r="P146" s="28">
        <f t="shared" si="52"/>
        <v>0</v>
      </c>
      <c r="Q146" s="28">
        <f t="shared" si="52"/>
        <v>305.02694649999995</v>
      </c>
      <c r="R146" s="28">
        <f t="shared" si="52"/>
        <v>79.745758489999986</v>
      </c>
      <c r="S146" s="27">
        <f t="shared" si="51"/>
        <v>0.41353058296662315</v>
      </c>
      <c r="T146" s="26" t="s">
        <v>0</v>
      </c>
      <c r="U146" s="9"/>
      <c r="V146" s="12"/>
      <c r="X146" s="10"/>
    </row>
    <row r="147" spans="1:28" s="3" customFormat="1" ht="63" x14ac:dyDescent="0.25">
      <c r="A147" s="43" t="s">
        <v>958</v>
      </c>
      <c r="B147" s="75" t="s">
        <v>961</v>
      </c>
      <c r="C147" s="41" t="s">
        <v>960</v>
      </c>
      <c r="D147" s="16">
        <v>802.04092315999992</v>
      </c>
      <c r="E147" s="18">
        <v>373.52520129999999</v>
      </c>
      <c r="F147" s="16">
        <f>D147-E147</f>
        <v>428.51572185999993</v>
      </c>
      <c r="G147" s="17">
        <v>235.50642264999999</v>
      </c>
      <c r="H147" s="16">
        <f>J147+L147+N147+P147</f>
        <v>214.10321054999997</v>
      </c>
      <c r="I147" s="16">
        <v>26.27726711</v>
      </c>
      <c r="J147" s="16">
        <v>27.235472699999999</v>
      </c>
      <c r="K147" s="16">
        <v>42.534428500000004</v>
      </c>
      <c r="L147" s="16">
        <v>104.29801410999998</v>
      </c>
      <c r="M147" s="16">
        <v>56.694426839999977</v>
      </c>
      <c r="N147" s="16">
        <v>82.569723740000001</v>
      </c>
      <c r="O147" s="16">
        <v>110.0003002</v>
      </c>
      <c r="P147" s="16">
        <v>0</v>
      </c>
      <c r="Q147" s="16">
        <f>F147-H147</f>
        <v>214.41251130999996</v>
      </c>
      <c r="R147" s="16">
        <f>H147-(I147+K147+M147)</f>
        <v>88.597088099999993</v>
      </c>
      <c r="S147" s="14">
        <f t="shared" si="51"/>
        <v>0.70591845537492348</v>
      </c>
      <c r="T147" s="22" t="s">
        <v>959</v>
      </c>
      <c r="U147" s="9"/>
      <c r="V147" s="12"/>
      <c r="X147" s="10"/>
    </row>
    <row r="148" spans="1:28" s="3" customFormat="1" ht="58.5" customHeight="1" x14ac:dyDescent="0.25">
      <c r="A148" s="43" t="s">
        <v>958</v>
      </c>
      <c r="B148" s="70" t="s">
        <v>957</v>
      </c>
      <c r="C148" s="47" t="s">
        <v>956</v>
      </c>
      <c r="D148" s="16">
        <v>175.86522117999999</v>
      </c>
      <c r="E148" s="18">
        <v>26.766978479999999</v>
      </c>
      <c r="F148" s="16">
        <f>D148-E148</f>
        <v>149.09824269999999</v>
      </c>
      <c r="G148" s="17">
        <v>82.805769971999979</v>
      </c>
      <c r="H148" s="16">
        <f>J148+L148+N148+P148</f>
        <v>58.483807509999998</v>
      </c>
      <c r="I148" s="16">
        <v>4.6186462599999993</v>
      </c>
      <c r="J148" s="16">
        <f>10117.92838/1000</f>
        <v>10.117928379999999</v>
      </c>
      <c r="K148" s="16">
        <v>32.345490859999998</v>
      </c>
      <c r="L148" s="16">
        <v>33.571113240000003</v>
      </c>
      <c r="M148" s="16">
        <v>30.370999999999999</v>
      </c>
      <c r="N148" s="16">
        <v>14.794765890000001</v>
      </c>
      <c r="O148" s="16">
        <v>15.470632852000001</v>
      </c>
      <c r="P148" s="16">
        <v>0</v>
      </c>
      <c r="Q148" s="16">
        <f>F148-H148</f>
        <v>90.614435189999995</v>
      </c>
      <c r="R148" s="16">
        <f>H148-(I148+K148+M148)</f>
        <v>-8.8513296100000005</v>
      </c>
      <c r="S148" s="14">
        <f t="shared" si="51"/>
        <v>-0.13145186879512513</v>
      </c>
      <c r="T148" s="22" t="s">
        <v>955</v>
      </c>
      <c r="U148" s="9"/>
      <c r="V148" s="12"/>
      <c r="X148" s="10"/>
    </row>
    <row r="149" spans="1:28" s="3" customFormat="1" x14ac:dyDescent="0.25">
      <c r="A149" s="35" t="s">
        <v>940</v>
      </c>
      <c r="B149" s="37" t="s">
        <v>15</v>
      </c>
      <c r="C149" s="33" t="s">
        <v>11</v>
      </c>
      <c r="D149" s="28">
        <f t="shared" ref="D149:R149" si="53">SUM(D150:D155)</f>
        <v>4190.4918947813721</v>
      </c>
      <c r="E149" s="28">
        <f t="shared" si="53"/>
        <v>681.95439892000002</v>
      </c>
      <c r="F149" s="28">
        <f t="shared" si="53"/>
        <v>3508.5374958613716</v>
      </c>
      <c r="G149" s="28">
        <f t="shared" si="53"/>
        <v>497.45156216800001</v>
      </c>
      <c r="H149" s="28">
        <f t="shared" si="53"/>
        <v>287.4802042</v>
      </c>
      <c r="I149" s="28">
        <f t="shared" si="53"/>
        <v>5.4179055599999995</v>
      </c>
      <c r="J149" s="28">
        <f t="shared" si="53"/>
        <v>66.121543919999993</v>
      </c>
      <c r="K149" s="28">
        <f t="shared" si="53"/>
        <v>15.581724579999998</v>
      </c>
      <c r="L149" s="28">
        <f t="shared" si="53"/>
        <v>96.023763899999992</v>
      </c>
      <c r="M149" s="28">
        <f t="shared" si="53"/>
        <v>2.3757617099999999</v>
      </c>
      <c r="N149" s="28">
        <f t="shared" si="53"/>
        <v>125.33489638</v>
      </c>
      <c r="O149" s="28">
        <f t="shared" si="53"/>
        <v>474.07617031999996</v>
      </c>
      <c r="P149" s="28">
        <f t="shared" si="53"/>
        <v>0</v>
      </c>
      <c r="Q149" s="28">
        <f t="shared" si="53"/>
        <v>3221.0572916613714</v>
      </c>
      <c r="R149" s="28">
        <f t="shared" si="53"/>
        <v>264.10481234999997</v>
      </c>
      <c r="S149" s="27">
        <f t="shared" si="51"/>
        <v>11.298412195387433</v>
      </c>
      <c r="T149" s="26" t="s">
        <v>0</v>
      </c>
      <c r="U149" s="9"/>
      <c r="V149" s="12"/>
      <c r="X149" s="10"/>
    </row>
    <row r="150" spans="1:28" s="3" customFormat="1" ht="31.5" x14ac:dyDescent="0.25">
      <c r="A150" s="43" t="s">
        <v>940</v>
      </c>
      <c r="B150" s="75" t="s">
        <v>954</v>
      </c>
      <c r="C150" s="41" t="s">
        <v>953</v>
      </c>
      <c r="D150" s="16">
        <v>1791.0005641759719</v>
      </c>
      <c r="E150" s="18">
        <v>64.642270920000001</v>
      </c>
      <c r="F150" s="16">
        <f t="shared" ref="F150:F155" si="54">D150-E150</f>
        <v>1726.3582932559718</v>
      </c>
      <c r="G150" s="17">
        <v>0.66205886999999997</v>
      </c>
      <c r="H150" s="16">
        <f t="shared" ref="H150:H155" si="55">J150+L150+N150+P150</f>
        <v>3.1078169999999999E-2</v>
      </c>
      <c r="I150" s="16">
        <v>0.16551471000000001</v>
      </c>
      <c r="J150" s="16">
        <v>1.035939E-2</v>
      </c>
      <c r="K150" s="16">
        <v>0.16551471000000001</v>
      </c>
      <c r="L150" s="16">
        <v>1.035939E-2</v>
      </c>
      <c r="M150" s="16">
        <v>0.16551471000000001</v>
      </c>
      <c r="N150" s="16">
        <v>1.035939E-2</v>
      </c>
      <c r="O150" s="16">
        <v>0.16551473999999999</v>
      </c>
      <c r="P150" s="16">
        <v>0</v>
      </c>
      <c r="Q150" s="16">
        <f t="shared" ref="Q150:Q155" si="56">F150-H150</f>
        <v>1726.3272150859718</v>
      </c>
      <c r="R150" s="16">
        <f t="shared" ref="R150:R155" si="57">H150-(I150+K150+M150)</f>
        <v>-0.46546596000000001</v>
      </c>
      <c r="S150" s="14">
        <f t="shared" si="51"/>
        <v>-0.93741106153042231</v>
      </c>
      <c r="T150" s="22" t="s">
        <v>944</v>
      </c>
      <c r="U150" s="9"/>
      <c r="V150" s="12"/>
      <c r="X150" s="10"/>
      <c r="AB150" s="4"/>
    </row>
    <row r="151" spans="1:28" s="3" customFormat="1" ht="31.5" x14ac:dyDescent="0.25">
      <c r="A151" s="43" t="s">
        <v>940</v>
      </c>
      <c r="B151" s="48" t="s">
        <v>952</v>
      </c>
      <c r="C151" s="41" t="s">
        <v>951</v>
      </c>
      <c r="D151" s="16">
        <v>466.01362633999997</v>
      </c>
      <c r="E151" s="18">
        <v>341.62047317999998</v>
      </c>
      <c r="F151" s="16">
        <f t="shared" si="54"/>
        <v>124.39315316</v>
      </c>
      <c r="G151" s="17">
        <v>58.824778660000014</v>
      </c>
      <c r="H151" s="16">
        <f t="shared" si="55"/>
        <v>29.563055600000002</v>
      </c>
      <c r="I151" s="16">
        <v>3.04214385</v>
      </c>
      <c r="J151" s="16">
        <v>12.67948208</v>
      </c>
      <c r="K151" s="16">
        <v>13.205962869999999</v>
      </c>
      <c r="L151" s="16">
        <v>8.9668854000000007</v>
      </c>
      <c r="M151" s="16">
        <v>0</v>
      </c>
      <c r="N151" s="16">
        <v>7.9166881199999999</v>
      </c>
      <c r="O151" s="16">
        <v>42.576671939999997</v>
      </c>
      <c r="P151" s="16">
        <v>0</v>
      </c>
      <c r="Q151" s="16">
        <f t="shared" si="56"/>
        <v>94.830097559999999</v>
      </c>
      <c r="R151" s="16">
        <f t="shared" si="57"/>
        <v>13.314948880000003</v>
      </c>
      <c r="S151" s="14">
        <f t="shared" si="51"/>
        <v>0.81947694641926894</v>
      </c>
      <c r="T151" s="22" t="s">
        <v>950</v>
      </c>
      <c r="U151" s="9"/>
      <c r="V151" s="12"/>
      <c r="X151" s="10"/>
      <c r="AB151" s="4"/>
    </row>
    <row r="152" spans="1:28" s="3" customFormat="1" ht="47.25" x14ac:dyDescent="0.25">
      <c r="A152" s="43" t="s">
        <v>940</v>
      </c>
      <c r="B152" s="48" t="s">
        <v>949</v>
      </c>
      <c r="C152" s="41" t="s">
        <v>948</v>
      </c>
      <c r="D152" s="16">
        <v>276.1959566868</v>
      </c>
      <c r="E152" s="18">
        <v>59.210399750000001</v>
      </c>
      <c r="F152" s="16">
        <f t="shared" si="54"/>
        <v>216.98555693680001</v>
      </c>
      <c r="G152" s="17">
        <v>0.32572800000000002</v>
      </c>
      <c r="H152" s="16">
        <f t="shared" si="55"/>
        <v>0.20616472</v>
      </c>
      <c r="I152" s="16">
        <v>8.1432000000000004E-2</v>
      </c>
      <c r="J152" s="16">
        <v>7.7311770000000002E-2</v>
      </c>
      <c r="K152" s="16">
        <v>8.1432000000000004E-2</v>
      </c>
      <c r="L152" s="16">
        <v>7.7311770000000002E-2</v>
      </c>
      <c r="M152" s="16">
        <v>8.1432000000000004E-2</v>
      </c>
      <c r="N152" s="16">
        <v>5.1541179999999999E-2</v>
      </c>
      <c r="O152" s="16">
        <v>8.1432000000000004E-2</v>
      </c>
      <c r="P152" s="16">
        <v>0</v>
      </c>
      <c r="Q152" s="16">
        <f t="shared" si="56"/>
        <v>216.77939221680001</v>
      </c>
      <c r="R152" s="16">
        <f t="shared" si="57"/>
        <v>-3.8131280000000017E-2</v>
      </c>
      <c r="S152" s="14">
        <f t="shared" si="51"/>
        <v>-0.15608638700592731</v>
      </c>
      <c r="T152" s="22" t="s">
        <v>947</v>
      </c>
      <c r="U152" s="9"/>
      <c r="V152" s="12"/>
      <c r="X152" s="10"/>
      <c r="AB152" s="4"/>
    </row>
    <row r="153" spans="1:28" s="3" customFormat="1" ht="47.25" x14ac:dyDescent="0.25">
      <c r="A153" s="43" t="s">
        <v>940</v>
      </c>
      <c r="B153" s="48" t="s">
        <v>946</v>
      </c>
      <c r="C153" s="19" t="s">
        <v>945</v>
      </c>
      <c r="D153" s="16">
        <v>401.37698772000005</v>
      </c>
      <c r="E153" s="18">
        <v>151.92841749000002</v>
      </c>
      <c r="F153" s="16">
        <f t="shared" si="54"/>
        <v>249.44857023000003</v>
      </c>
      <c r="G153" s="17">
        <v>0.13126003</v>
      </c>
      <c r="H153" s="16">
        <f t="shared" si="55"/>
        <v>7.7275530000000009E-2</v>
      </c>
      <c r="I153" s="16">
        <v>3.2814999999999997E-2</v>
      </c>
      <c r="J153" s="16">
        <v>2.5758509999999998E-2</v>
      </c>
      <c r="K153" s="16">
        <v>3.2814999999999997E-2</v>
      </c>
      <c r="L153" s="16">
        <v>2.5758510000000005E-2</v>
      </c>
      <c r="M153" s="16">
        <v>3.2814999999999997E-2</v>
      </c>
      <c r="N153" s="16">
        <v>2.5758510000000002E-2</v>
      </c>
      <c r="O153" s="16">
        <v>3.2815030000000002E-2</v>
      </c>
      <c r="P153" s="16">
        <v>0</v>
      </c>
      <c r="Q153" s="16">
        <f t="shared" si="56"/>
        <v>249.37129470000002</v>
      </c>
      <c r="R153" s="16">
        <f t="shared" si="57"/>
        <v>-2.1169469999999982E-2</v>
      </c>
      <c r="S153" s="14">
        <f t="shared" si="51"/>
        <v>-0.21503854944385173</v>
      </c>
      <c r="T153" s="22" t="s">
        <v>944</v>
      </c>
      <c r="U153" s="9"/>
      <c r="V153" s="12"/>
      <c r="X153" s="10"/>
      <c r="AB153" s="4"/>
    </row>
    <row r="154" spans="1:28" s="3" customFormat="1" ht="31.5" x14ac:dyDescent="0.25">
      <c r="A154" s="43" t="s">
        <v>940</v>
      </c>
      <c r="B154" s="48" t="s">
        <v>943</v>
      </c>
      <c r="C154" s="41" t="s">
        <v>942</v>
      </c>
      <c r="D154" s="16">
        <v>509.81378981800003</v>
      </c>
      <c r="E154" s="18">
        <v>63.171889210000003</v>
      </c>
      <c r="F154" s="16">
        <f t="shared" si="54"/>
        <v>446.64190060800001</v>
      </c>
      <c r="G154" s="17">
        <v>399.62543660800003</v>
      </c>
      <c r="H154" s="16">
        <f t="shared" si="55"/>
        <v>257.60263018000001</v>
      </c>
      <c r="I154" s="16">
        <v>1.9359999999999999</v>
      </c>
      <c r="J154" s="16">
        <v>53.328632169999999</v>
      </c>
      <c r="K154" s="16">
        <v>1.9359999999999999</v>
      </c>
      <c r="L154" s="16">
        <v>86.943448829999994</v>
      </c>
      <c r="M154" s="16">
        <v>1.9359999999999999</v>
      </c>
      <c r="N154" s="16">
        <v>117.33054918000001</v>
      </c>
      <c r="O154" s="16">
        <v>393.81743660999996</v>
      </c>
      <c r="P154" s="16">
        <v>0</v>
      </c>
      <c r="Q154" s="16">
        <f t="shared" si="56"/>
        <v>189.03927042800001</v>
      </c>
      <c r="R154" s="16">
        <f t="shared" si="57"/>
        <v>251.79463018000001</v>
      </c>
      <c r="S154" s="14">
        <f t="shared" si="51"/>
        <v>43.353069934573007</v>
      </c>
      <c r="T154" s="22" t="s">
        <v>941</v>
      </c>
      <c r="U154" s="9"/>
      <c r="V154" s="12"/>
      <c r="X154" s="10"/>
      <c r="AB154" s="4"/>
    </row>
    <row r="155" spans="1:28" s="3" customFormat="1" ht="39" customHeight="1" x14ac:dyDescent="0.25">
      <c r="A155" s="43" t="s">
        <v>940</v>
      </c>
      <c r="B155" s="48" t="s">
        <v>939</v>
      </c>
      <c r="C155" s="41" t="s">
        <v>938</v>
      </c>
      <c r="D155" s="16">
        <v>746.09097004059981</v>
      </c>
      <c r="E155" s="18">
        <v>1.38094837</v>
      </c>
      <c r="F155" s="16">
        <f t="shared" si="54"/>
        <v>744.71002167059976</v>
      </c>
      <c r="G155" s="17">
        <v>37.882300000000001</v>
      </c>
      <c r="H155" s="16">
        <f t="shared" si="55"/>
        <v>0</v>
      </c>
      <c r="I155" s="16">
        <v>0.16</v>
      </c>
      <c r="J155" s="16">
        <v>0</v>
      </c>
      <c r="K155" s="16">
        <v>0.16</v>
      </c>
      <c r="L155" s="16">
        <v>0</v>
      </c>
      <c r="M155" s="16">
        <v>0.16</v>
      </c>
      <c r="N155" s="16">
        <v>0</v>
      </c>
      <c r="O155" s="16">
        <v>37.402300000000004</v>
      </c>
      <c r="P155" s="16">
        <v>0</v>
      </c>
      <c r="Q155" s="16">
        <f t="shared" si="56"/>
        <v>744.71002167059976</v>
      </c>
      <c r="R155" s="16">
        <f t="shared" si="57"/>
        <v>-0.48</v>
      </c>
      <c r="S155" s="14">
        <f t="shared" si="51"/>
        <v>-1</v>
      </c>
      <c r="T155" s="22" t="s">
        <v>831</v>
      </c>
      <c r="U155" s="9"/>
      <c r="V155" s="12"/>
      <c r="X155" s="10"/>
      <c r="AB155" s="4"/>
    </row>
    <row r="156" spans="1:28" s="3" customFormat="1" ht="31.5" x14ac:dyDescent="0.25">
      <c r="A156" s="35" t="s">
        <v>937</v>
      </c>
      <c r="B156" s="34" t="s">
        <v>13</v>
      </c>
      <c r="C156" s="33" t="s">
        <v>11</v>
      </c>
      <c r="D156" s="28">
        <v>0</v>
      </c>
      <c r="E156" s="28">
        <v>0</v>
      </c>
      <c r="F156" s="28">
        <v>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28">
        <v>0</v>
      </c>
      <c r="O156" s="28">
        <v>0</v>
      </c>
      <c r="P156" s="28">
        <v>0</v>
      </c>
      <c r="Q156" s="28">
        <v>0</v>
      </c>
      <c r="R156" s="28">
        <v>0</v>
      </c>
      <c r="S156" s="27">
        <v>0</v>
      </c>
      <c r="T156" s="26" t="s">
        <v>0</v>
      </c>
      <c r="U156" s="9"/>
      <c r="V156" s="12"/>
      <c r="X156" s="10"/>
    </row>
    <row r="157" spans="1:28" s="3" customFormat="1" x14ac:dyDescent="0.25">
      <c r="A157" s="35" t="s">
        <v>830</v>
      </c>
      <c r="B157" s="34" t="s">
        <v>12</v>
      </c>
      <c r="C157" s="33" t="s">
        <v>11</v>
      </c>
      <c r="D157" s="28">
        <f t="shared" ref="D157:R157" si="58">SUM(D158:D159,D160:D204,D205:D207)</f>
        <v>559.88301246880508</v>
      </c>
      <c r="E157" s="28">
        <f t="shared" si="58"/>
        <v>254.83358283000001</v>
      </c>
      <c r="F157" s="28">
        <f t="shared" si="58"/>
        <v>305.04942963880518</v>
      </c>
      <c r="G157" s="28">
        <f t="shared" si="58"/>
        <v>225.15539347880519</v>
      </c>
      <c r="H157" s="28">
        <f t="shared" si="58"/>
        <v>254.20677833999997</v>
      </c>
      <c r="I157" s="28">
        <f t="shared" si="58"/>
        <v>0.7786559999999999</v>
      </c>
      <c r="J157" s="28">
        <f t="shared" si="58"/>
        <v>45.472674249999997</v>
      </c>
      <c r="K157" s="28">
        <f t="shared" si="58"/>
        <v>156.569258658</v>
      </c>
      <c r="L157" s="28">
        <f t="shared" si="58"/>
        <v>68.520405289999985</v>
      </c>
      <c r="M157" s="28">
        <f t="shared" si="58"/>
        <v>40.113599999999998</v>
      </c>
      <c r="N157" s="28">
        <f t="shared" si="58"/>
        <v>140.2136988</v>
      </c>
      <c r="O157" s="28">
        <f t="shared" si="58"/>
        <v>27.693878820810003</v>
      </c>
      <c r="P157" s="28">
        <f t="shared" si="58"/>
        <v>0</v>
      </c>
      <c r="Q157" s="28">
        <f t="shared" si="58"/>
        <v>87.25822872880515</v>
      </c>
      <c r="R157" s="28">
        <f t="shared" si="58"/>
        <v>20.329686252000005</v>
      </c>
      <c r="S157" s="27">
        <f>R157/(I157+K157+M157)</f>
        <v>0.10295518236660282</v>
      </c>
      <c r="T157" s="26" t="s">
        <v>0</v>
      </c>
      <c r="U157" s="9"/>
      <c r="V157" s="12"/>
      <c r="X157" s="10"/>
    </row>
    <row r="158" spans="1:28" s="3" customFormat="1" ht="31.5" x14ac:dyDescent="0.25">
      <c r="A158" s="56" t="s">
        <v>830</v>
      </c>
      <c r="B158" s="71" t="s">
        <v>936</v>
      </c>
      <c r="C158" s="74" t="s">
        <v>935</v>
      </c>
      <c r="D158" s="16" t="s">
        <v>0</v>
      </c>
      <c r="E158" s="18" t="s">
        <v>0</v>
      </c>
      <c r="F158" s="16" t="s">
        <v>0</v>
      </c>
      <c r="G158" s="17" t="s">
        <v>0</v>
      </c>
      <c r="H158" s="16">
        <f t="shared" ref="H158:H189" si="59">J158+L158+N158+P158</f>
        <v>8.8899109799999998</v>
      </c>
      <c r="I158" s="16" t="s">
        <v>0</v>
      </c>
      <c r="J158" s="16">
        <v>0</v>
      </c>
      <c r="K158" s="16" t="s">
        <v>0</v>
      </c>
      <c r="L158" s="16">
        <v>8.8899109799999998</v>
      </c>
      <c r="M158" s="16" t="s">
        <v>0</v>
      </c>
      <c r="N158" s="16">
        <v>0</v>
      </c>
      <c r="O158" s="16" t="s">
        <v>0</v>
      </c>
      <c r="P158" s="16">
        <v>0</v>
      </c>
      <c r="Q158" s="16" t="s">
        <v>0</v>
      </c>
      <c r="R158" s="16" t="s">
        <v>0</v>
      </c>
      <c r="S158" s="32" t="s">
        <v>0</v>
      </c>
      <c r="T158" s="13" t="s">
        <v>195</v>
      </c>
      <c r="U158" s="9"/>
      <c r="V158" s="12"/>
      <c r="X158" s="10"/>
      <c r="AB158" s="4"/>
    </row>
    <row r="159" spans="1:28" s="3" customFormat="1" ht="31.5" x14ac:dyDescent="0.25">
      <c r="A159" s="56" t="s">
        <v>830</v>
      </c>
      <c r="B159" s="24" t="s">
        <v>934</v>
      </c>
      <c r="C159" s="74" t="s">
        <v>933</v>
      </c>
      <c r="D159" s="16">
        <v>306.13191286799997</v>
      </c>
      <c r="E159" s="18">
        <v>114.60035280999999</v>
      </c>
      <c r="F159" s="16">
        <f t="shared" ref="F159:F177" si="60">D159-E159</f>
        <v>191.53156005799997</v>
      </c>
      <c r="G159" s="17">
        <v>156.56925865799997</v>
      </c>
      <c r="H159" s="16">
        <f t="shared" si="59"/>
        <v>175.98357253</v>
      </c>
      <c r="I159" s="16">
        <v>0</v>
      </c>
      <c r="J159" s="16">
        <v>17.768626439999998</v>
      </c>
      <c r="K159" s="16">
        <v>156.569258658</v>
      </c>
      <c r="L159" s="16">
        <v>38.588312839999993</v>
      </c>
      <c r="M159" s="16">
        <v>0</v>
      </c>
      <c r="N159" s="16">
        <v>119.62663325</v>
      </c>
      <c r="O159" s="16">
        <v>0</v>
      </c>
      <c r="P159" s="16">
        <v>0</v>
      </c>
      <c r="Q159" s="16">
        <f t="shared" ref="Q159:Q177" si="61">F159-H159</f>
        <v>15.547987527999965</v>
      </c>
      <c r="R159" s="16">
        <f t="shared" ref="R159:R177" si="62">H159-(I159+K159+M159)</f>
        <v>19.414313872000008</v>
      </c>
      <c r="S159" s="14">
        <f>R159/(I159+K159+M159)</f>
        <v>0.12399824868818859</v>
      </c>
      <c r="T159" s="13" t="s">
        <v>0</v>
      </c>
      <c r="U159" s="9"/>
      <c r="V159" s="12"/>
      <c r="X159" s="10"/>
      <c r="AB159" s="4"/>
    </row>
    <row r="160" spans="1:28" s="3" customFormat="1" ht="31.5" x14ac:dyDescent="0.25">
      <c r="A160" s="56" t="s">
        <v>830</v>
      </c>
      <c r="B160" s="24" t="s">
        <v>932</v>
      </c>
      <c r="C160" s="74" t="s">
        <v>931</v>
      </c>
      <c r="D160" s="16">
        <v>0.32815662400000001</v>
      </c>
      <c r="E160" s="18">
        <v>9.6146620000000002E-2</v>
      </c>
      <c r="F160" s="16">
        <f t="shared" si="60"/>
        <v>0.23201000399999999</v>
      </c>
      <c r="G160" s="17">
        <v>0.23201000399999999</v>
      </c>
      <c r="H160" s="16">
        <f t="shared" si="59"/>
        <v>0.11553713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0.11553713</v>
      </c>
      <c r="O160" s="16">
        <v>0.23201000400000002</v>
      </c>
      <c r="P160" s="16">
        <v>0</v>
      </c>
      <c r="Q160" s="16">
        <f t="shared" si="61"/>
        <v>0.11647287399999999</v>
      </c>
      <c r="R160" s="16">
        <f t="shared" si="62"/>
        <v>0.11553713</v>
      </c>
      <c r="S160" s="14">
        <v>1</v>
      </c>
      <c r="T160" s="13" t="s">
        <v>1</v>
      </c>
      <c r="U160" s="9"/>
      <c r="V160" s="12"/>
      <c r="X160" s="10"/>
      <c r="AB160" s="4"/>
    </row>
    <row r="161" spans="1:28" s="3" customFormat="1" ht="31.5" x14ac:dyDescent="0.25">
      <c r="A161" s="43" t="s">
        <v>830</v>
      </c>
      <c r="B161" s="20" t="s">
        <v>930</v>
      </c>
      <c r="C161" s="19" t="s">
        <v>929</v>
      </c>
      <c r="D161" s="16">
        <v>0.61406694399999995</v>
      </c>
      <c r="E161" s="18">
        <v>0.32124999999999998</v>
      </c>
      <c r="F161" s="16">
        <f t="shared" si="60"/>
        <v>0.29281694399999997</v>
      </c>
      <c r="G161" s="17">
        <v>0.29281694399999997</v>
      </c>
      <c r="H161" s="16">
        <f t="shared" si="59"/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0.29281694399999997</v>
      </c>
      <c r="P161" s="16">
        <v>0</v>
      </c>
      <c r="Q161" s="16">
        <f t="shared" si="61"/>
        <v>0.29281694399999997</v>
      </c>
      <c r="R161" s="16">
        <f t="shared" si="62"/>
        <v>0</v>
      </c>
      <c r="S161" s="14">
        <v>0</v>
      </c>
      <c r="T161" s="65" t="s">
        <v>0</v>
      </c>
      <c r="U161" s="9"/>
      <c r="V161" s="12"/>
      <c r="X161" s="10"/>
      <c r="AB161" s="4"/>
    </row>
    <row r="162" spans="1:28" s="3" customFormat="1" ht="31.5" x14ac:dyDescent="0.25">
      <c r="A162" s="43" t="s">
        <v>830</v>
      </c>
      <c r="B162" s="20" t="s">
        <v>928</v>
      </c>
      <c r="C162" s="19" t="s">
        <v>927</v>
      </c>
      <c r="D162" s="16">
        <v>0.56539464000000006</v>
      </c>
      <c r="E162" s="18">
        <v>0.32731440000000001</v>
      </c>
      <c r="F162" s="16">
        <f t="shared" si="60"/>
        <v>0.23808024000000005</v>
      </c>
      <c r="G162" s="17">
        <v>0.23809464</v>
      </c>
      <c r="H162" s="16">
        <f t="shared" si="59"/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0.23809464</v>
      </c>
      <c r="P162" s="16">
        <v>0</v>
      </c>
      <c r="Q162" s="16">
        <f t="shared" si="61"/>
        <v>0.23808024000000005</v>
      </c>
      <c r="R162" s="16">
        <f t="shared" si="62"/>
        <v>0</v>
      </c>
      <c r="S162" s="14">
        <v>0</v>
      </c>
      <c r="T162" s="22" t="s">
        <v>0</v>
      </c>
      <c r="U162" s="9"/>
      <c r="V162" s="12"/>
      <c r="X162" s="10"/>
      <c r="AB162" s="4"/>
    </row>
    <row r="163" spans="1:28" s="3" customFormat="1" ht="31.5" x14ac:dyDescent="0.25">
      <c r="A163" s="43" t="s">
        <v>830</v>
      </c>
      <c r="B163" s="20" t="s">
        <v>926</v>
      </c>
      <c r="C163" s="19" t="s">
        <v>925</v>
      </c>
      <c r="D163" s="16">
        <v>1.0455741362052</v>
      </c>
      <c r="E163" s="18">
        <v>0</v>
      </c>
      <c r="F163" s="16">
        <f t="shared" si="60"/>
        <v>1.0455741362052</v>
      </c>
      <c r="G163" s="17">
        <v>1.0455741362052</v>
      </c>
      <c r="H163" s="16">
        <f t="shared" si="59"/>
        <v>1.1000003999999999</v>
      </c>
      <c r="I163" s="16">
        <v>0</v>
      </c>
      <c r="J163" s="16">
        <v>0</v>
      </c>
      <c r="K163" s="16">
        <v>0</v>
      </c>
      <c r="L163" s="16">
        <v>1.1000003999999999</v>
      </c>
      <c r="M163" s="16">
        <v>0</v>
      </c>
      <c r="N163" s="16">
        <v>0</v>
      </c>
      <c r="O163" s="16">
        <v>1.0455741362099999</v>
      </c>
      <c r="P163" s="16">
        <v>0</v>
      </c>
      <c r="Q163" s="16">
        <f t="shared" si="61"/>
        <v>-5.4426263794799867E-2</v>
      </c>
      <c r="R163" s="16">
        <f t="shared" si="62"/>
        <v>1.1000003999999999</v>
      </c>
      <c r="S163" s="14">
        <v>1</v>
      </c>
      <c r="T163" s="22" t="s">
        <v>859</v>
      </c>
      <c r="U163" s="9"/>
      <c r="V163" s="12"/>
      <c r="X163" s="10"/>
      <c r="AB163" s="4"/>
    </row>
    <row r="164" spans="1:28" s="3" customFormat="1" ht="31.5" x14ac:dyDescent="0.25">
      <c r="A164" s="43" t="s">
        <v>830</v>
      </c>
      <c r="B164" s="20" t="s">
        <v>924</v>
      </c>
      <c r="C164" s="19" t="s">
        <v>923</v>
      </c>
      <c r="D164" s="16">
        <v>0.60713146620000003</v>
      </c>
      <c r="E164" s="18">
        <v>0</v>
      </c>
      <c r="F164" s="16">
        <f t="shared" si="60"/>
        <v>0.60713146620000003</v>
      </c>
      <c r="G164" s="17">
        <v>0.60713146620000003</v>
      </c>
      <c r="H164" s="16">
        <f t="shared" si="59"/>
        <v>0.65499960000000002</v>
      </c>
      <c r="I164" s="16">
        <v>0</v>
      </c>
      <c r="J164" s="16">
        <v>0</v>
      </c>
      <c r="K164" s="16">
        <v>0</v>
      </c>
      <c r="L164" s="16">
        <v>0.65499960000000002</v>
      </c>
      <c r="M164" s="16">
        <v>0</v>
      </c>
      <c r="N164" s="16">
        <v>0</v>
      </c>
      <c r="O164" s="16">
        <v>0.60713146620000003</v>
      </c>
      <c r="P164" s="16">
        <v>0</v>
      </c>
      <c r="Q164" s="16">
        <f t="shared" si="61"/>
        <v>-4.786813379999999E-2</v>
      </c>
      <c r="R164" s="16">
        <f t="shared" si="62"/>
        <v>0.65499960000000002</v>
      </c>
      <c r="S164" s="14">
        <v>1</v>
      </c>
      <c r="T164" s="22" t="s">
        <v>859</v>
      </c>
      <c r="U164" s="9"/>
      <c r="V164" s="12"/>
      <c r="X164" s="10"/>
      <c r="AB164" s="4"/>
    </row>
    <row r="165" spans="1:28" s="3" customFormat="1" ht="31.5" x14ac:dyDescent="0.25">
      <c r="A165" s="43" t="s">
        <v>830</v>
      </c>
      <c r="B165" s="20" t="s">
        <v>922</v>
      </c>
      <c r="C165" s="19" t="s">
        <v>921</v>
      </c>
      <c r="D165" s="16">
        <v>0.11493762134400001</v>
      </c>
      <c r="E165" s="18">
        <v>0</v>
      </c>
      <c r="F165" s="16">
        <f t="shared" si="60"/>
        <v>0.11493762134400001</v>
      </c>
      <c r="G165" s="17">
        <v>0.11493762134400001</v>
      </c>
      <c r="H165" s="16">
        <f t="shared" si="59"/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0.11493762134</v>
      </c>
      <c r="P165" s="16">
        <v>0</v>
      </c>
      <c r="Q165" s="16">
        <f t="shared" si="61"/>
        <v>0.11493762134400001</v>
      </c>
      <c r="R165" s="16">
        <f t="shared" si="62"/>
        <v>0</v>
      </c>
      <c r="S165" s="14">
        <v>0</v>
      </c>
      <c r="T165" s="22" t="s">
        <v>0</v>
      </c>
      <c r="U165" s="9"/>
      <c r="V165" s="12"/>
      <c r="X165" s="10"/>
      <c r="AB165" s="4"/>
    </row>
    <row r="166" spans="1:28" s="3" customFormat="1" ht="31.5" x14ac:dyDescent="0.25">
      <c r="A166" s="43" t="s">
        <v>830</v>
      </c>
      <c r="B166" s="20" t="s">
        <v>920</v>
      </c>
      <c r="C166" s="19" t="s">
        <v>919</v>
      </c>
      <c r="D166" s="16">
        <v>0.76530214799999996</v>
      </c>
      <c r="E166" s="18">
        <v>0</v>
      </c>
      <c r="F166" s="16">
        <f t="shared" si="60"/>
        <v>0.76530214799999996</v>
      </c>
      <c r="G166" s="17">
        <v>0.76530214799999996</v>
      </c>
      <c r="H166" s="16">
        <f t="shared" si="59"/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0.76530214799999996</v>
      </c>
      <c r="P166" s="16">
        <v>0</v>
      </c>
      <c r="Q166" s="16">
        <f t="shared" si="61"/>
        <v>0.76530214799999996</v>
      </c>
      <c r="R166" s="16">
        <f t="shared" si="62"/>
        <v>0</v>
      </c>
      <c r="S166" s="14">
        <v>0</v>
      </c>
      <c r="T166" s="22" t="s">
        <v>0</v>
      </c>
      <c r="U166" s="9"/>
      <c r="V166" s="12"/>
      <c r="X166" s="10"/>
      <c r="AB166" s="4"/>
    </row>
    <row r="167" spans="1:28" s="3" customFormat="1" ht="31.5" x14ac:dyDescent="0.25">
      <c r="A167" s="43" t="s">
        <v>830</v>
      </c>
      <c r="B167" s="20" t="s">
        <v>918</v>
      </c>
      <c r="C167" s="19" t="s">
        <v>917</v>
      </c>
      <c r="D167" s="16">
        <v>1.019466</v>
      </c>
      <c r="E167" s="18">
        <v>0</v>
      </c>
      <c r="F167" s="16">
        <f t="shared" si="60"/>
        <v>1.019466</v>
      </c>
      <c r="G167" s="17">
        <v>1.019466</v>
      </c>
      <c r="H167" s="16">
        <f t="shared" si="59"/>
        <v>1.1000003999999999</v>
      </c>
      <c r="I167" s="16">
        <v>0</v>
      </c>
      <c r="J167" s="16">
        <v>0</v>
      </c>
      <c r="K167" s="16">
        <v>0</v>
      </c>
      <c r="L167" s="16">
        <v>1.1000003999999999</v>
      </c>
      <c r="M167" s="16">
        <v>0</v>
      </c>
      <c r="N167" s="16">
        <v>0</v>
      </c>
      <c r="O167" s="16">
        <v>1.019466</v>
      </c>
      <c r="P167" s="16">
        <v>0</v>
      </c>
      <c r="Q167" s="16">
        <f t="shared" si="61"/>
        <v>-8.0534399999999895E-2</v>
      </c>
      <c r="R167" s="16">
        <f t="shared" si="62"/>
        <v>1.1000003999999999</v>
      </c>
      <c r="S167" s="14">
        <v>1</v>
      </c>
      <c r="T167" s="22" t="s">
        <v>859</v>
      </c>
      <c r="U167" s="9"/>
      <c r="V167" s="12"/>
      <c r="X167" s="10"/>
      <c r="AB167" s="4"/>
    </row>
    <row r="168" spans="1:28" s="3" customFormat="1" x14ac:dyDescent="0.25">
      <c r="A168" s="43" t="s">
        <v>830</v>
      </c>
      <c r="B168" s="20" t="s">
        <v>916</v>
      </c>
      <c r="C168" s="19" t="s">
        <v>915</v>
      </c>
      <c r="D168" s="16">
        <v>0.33482407200000003</v>
      </c>
      <c r="E168" s="18">
        <v>0</v>
      </c>
      <c r="F168" s="16">
        <f t="shared" si="60"/>
        <v>0.33482407200000003</v>
      </c>
      <c r="G168" s="17">
        <v>0.33482407200000003</v>
      </c>
      <c r="H168" s="16">
        <f t="shared" si="59"/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0.33482407200000003</v>
      </c>
      <c r="P168" s="16">
        <v>0</v>
      </c>
      <c r="Q168" s="16">
        <f t="shared" si="61"/>
        <v>0.33482407200000003</v>
      </c>
      <c r="R168" s="16">
        <f t="shared" si="62"/>
        <v>0</v>
      </c>
      <c r="S168" s="14">
        <v>0</v>
      </c>
      <c r="T168" s="22" t="s">
        <v>0</v>
      </c>
      <c r="U168" s="9"/>
      <c r="V168" s="12"/>
      <c r="X168" s="10"/>
      <c r="AB168" s="4"/>
    </row>
    <row r="169" spans="1:28" s="3" customFormat="1" x14ac:dyDescent="0.25">
      <c r="A169" s="43" t="s">
        <v>830</v>
      </c>
      <c r="B169" s="20" t="s">
        <v>914</v>
      </c>
      <c r="C169" s="19" t="s">
        <v>913</v>
      </c>
      <c r="D169" s="16">
        <v>0.13252071420000003</v>
      </c>
      <c r="E169" s="18">
        <v>0</v>
      </c>
      <c r="F169" s="16">
        <f t="shared" si="60"/>
        <v>0.13252071420000003</v>
      </c>
      <c r="G169" s="17">
        <v>0.13252071420000003</v>
      </c>
      <c r="H169" s="16">
        <f t="shared" si="59"/>
        <v>0.11640164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0.11640164</v>
      </c>
      <c r="O169" s="16">
        <v>0.13252071419999997</v>
      </c>
      <c r="P169" s="16">
        <v>0</v>
      </c>
      <c r="Q169" s="16">
        <f t="shared" si="61"/>
        <v>1.6119074200000028E-2</v>
      </c>
      <c r="R169" s="16">
        <f t="shared" si="62"/>
        <v>0.11640164</v>
      </c>
      <c r="S169" s="14">
        <v>1</v>
      </c>
      <c r="T169" s="22" t="s">
        <v>859</v>
      </c>
      <c r="U169" s="9"/>
      <c r="V169" s="12"/>
      <c r="X169" s="10"/>
      <c r="AB169" s="4"/>
    </row>
    <row r="170" spans="1:28" s="3" customFormat="1" ht="31.5" x14ac:dyDescent="0.25">
      <c r="A170" s="43" t="s">
        <v>830</v>
      </c>
      <c r="B170" s="20" t="s">
        <v>912</v>
      </c>
      <c r="C170" s="19" t="s">
        <v>911</v>
      </c>
      <c r="D170" s="16">
        <v>0.15226218</v>
      </c>
      <c r="E170" s="18">
        <v>0</v>
      </c>
      <c r="F170" s="16">
        <f t="shared" si="60"/>
        <v>0.15226218</v>
      </c>
      <c r="G170" s="17">
        <v>0.15226218</v>
      </c>
      <c r="H170" s="16">
        <f t="shared" si="59"/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0.15226218</v>
      </c>
      <c r="P170" s="16">
        <v>0</v>
      </c>
      <c r="Q170" s="16">
        <f t="shared" si="61"/>
        <v>0.15226218</v>
      </c>
      <c r="R170" s="16">
        <f t="shared" si="62"/>
        <v>0</v>
      </c>
      <c r="S170" s="14">
        <v>0</v>
      </c>
      <c r="T170" s="22" t="s">
        <v>0</v>
      </c>
      <c r="U170" s="9"/>
      <c r="V170" s="12"/>
      <c r="X170" s="10"/>
      <c r="AB170" s="4"/>
    </row>
    <row r="171" spans="1:28" s="3" customFormat="1" x14ac:dyDescent="0.25">
      <c r="A171" s="43" t="s">
        <v>830</v>
      </c>
      <c r="B171" s="20" t="s">
        <v>910</v>
      </c>
      <c r="C171" s="19" t="s">
        <v>909</v>
      </c>
      <c r="D171" s="16">
        <v>0.37312455600000005</v>
      </c>
      <c r="E171" s="18">
        <v>0</v>
      </c>
      <c r="F171" s="16">
        <f t="shared" si="60"/>
        <v>0.37312455600000005</v>
      </c>
      <c r="G171" s="17">
        <v>0.37312455600000005</v>
      </c>
      <c r="H171" s="16">
        <f t="shared" si="59"/>
        <v>0.30854113999999999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0.30854113999999999</v>
      </c>
      <c r="O171" s="16">
        <v>0.373124556</v>
      </c>
      <c r="P171" s="16">
        <v>0</v>
      </c>
      <c r="Q171" s="16">
        <f t="shared" si="61"/>
        <v>6.458341600000006E-2</v>
      </c>
      <c r="R171" s="16">
        <f t="shared" si="62"/>
        <v>0.30854113999999999</v>
      </c>
      <c r="S171" s="14">
        <v>1</v>
      </c>
      <c r="T171" s="22" t="s">
        <v>859</v>
      </c>
      <c r="U171" s="9"/>
      <c r="V171" s="12"/>
      <c r="X171" s="10"/>
      <c r="AB171" s="4"/>
    </row>
    <row r="172" spans="1:28" s="3" customFormat="1" ht="31.5" x14ac:dyDescent="0.25">
      <c r="A172" s="43" t="s">
        <v>830</v>
      </c>
      <c r="B172" s="20" t="s">
        <v>908</v>
      </c>
      <c r="C172" s="19" t="s">
        <v>907</v>
      </c>
      <c r="D172" s="16">
        <v>0.13163095199999997</v>
      </c>
      <c r="E172" s="18">
        <v>0</v>
      </c>
      <c r="F172" s="16">
        <f t="shared" si="60"/>
        <v>0.13163095199999997</v>
      </c>
      <c r="G172" s="17">
        <v>0.13163095199999997</v>
      </c>
      <c r="H172" s="16">
        <f t="shared" si="59"/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0.131630952</v>
      </c>
      <c r="P172" s="16">
        <v>0</v>
      </c>
      <c r="Q172" s="16">
        <f t="shared" si="61"/>
        <v>0.13163095199999997</v>
      </c>
      <c r="R172" s="16">
        <f t="shared" si="62"/>
        <v>0</v>
      </c>
      <c r="S172" s="14">
        <v>0</v>
      </c>
      <c r="T172" s="22" t="s">
        <v>0</v>
      </c>
      <c r="U172" s="9"/>
      <c r="V172" s="12"/>
      <c r="X172" s="10"/>
      <c r="AB172" s="4"/>
    </row>
    <row r="173" spans="1:28" s="3" customFormat="1" ht="47.25" x14ac:dyDescent="0.25">
      <c r="A173" s="43" t="s">
        <v>830</v>
      </c>
      <c r="B173" s="20" t="s">
        <v>906</v>
      </c>
      <c r="C173" s="19" t="s">
        <v>905</v>
      </c>
      <c r="D173" s="16">
        <v>0.35253791999999995</v>
      </c>
      <c r="E173" s="18">
        <v>0</v>
      </c>
      <c r="F173" s="16">
        <f t="shared" si="60"/>
        <v>0.35253791999999995</v>
      </c>
      <c r="G173" s="17">
        <v>0.35253791999999995</v>
      </c>
      <c r="H173" s="16">
        <f t="shared" si="59"/>
        <v>0.36471870000000001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0.36471870000000001</v>
      </c>
      <c r="O173" s="16">
        <v>0.35253792</v>
      </c>
      <c r="P173" s="16">
        <v>0</v>
      </c>
      <c r="Q173" s="16">
        <f t="shared" si="61"/>
        <v>-1.2180780000000058E-2</v>
      </c>
      <c r="R173" s="16">
        <f t="shared" si="62"/>
        <v>0.36471870000000001</v>
      </c>
      <c r="S173" s="14">
        <v>1</v>
      </c>
      <c r="T173" s="22" t="s">
        <v>904</v>
      </c>
      <c r="U173" s="9"/>
      <c r="V173" s="12"/>
      <c r="X173" s="10"/>
      <c r="AB173" s="4"/>
    </row>
    <row r="174" spans="1:28" s="3" customFormat="1" ht="31.5" x14ac:dyDescent="0.25">
      <c r="A174" s="43" t="s">
        <v>830</v>
      </c>
      <c r="B174" s="20" t="s">
        <v>903</v>
      </c>
      <c r="C174" s="19" t="s">
        <v>902</v>
      </c>
      <c r="D174" s="16">
        <v>0.10595869199999999</v>
      </c>
      <c r="E174" s="18">
        <v>0</v>
      </c>
      <c r="F174" s="16">
        <f t="shared" si="60"/>
        <v>0.10595869199999999</v>
      </c>
      <c r="G174" s="17">
        <v>0.10595869199999999</v>
      </c>
      <c r="H174" s="16">
        <f t="shared" si="59"/>
        <v>0.10557647000000001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0.10557647000000001</v>
      </c>
      <c r="O174" s="16">
        <v>0.10595869199999999</v>
      </c>
      <c r="P174" s="16">
        <v>0</v>
      </c>
      <c r="Q174" s="16">
        <f t="shared" si="61"/>
        <v>3.8222199999998763E-4</v>
      </c>
      <c r="R174" s="16">
        <f t="shared" si="62"/>
        <v>0.10557647000000001</v>
      </c>
      <c r="S174" s="14">
        <v>1</v>
      </c>
      <c r="T174" s="22" t="s">
        <v>859</v>
      </c>
      <c r="U174" s="9"/>
      <c r="V174" s="12"/>
      <c r="X174" s="10"/>
      <c r="AB174" s="4"/>
    </row>
    <row r="175" spans="1:28" s="3" customFormat="1" ht="31.5" x14ac:dyDescent="0.25">
      <c r="A175" s="43" t="s">
        <v>830</v>
      </c>
      <c r="B175" s="20" t="s">
        <v>901</v>
      </c>
      <c r="C175" s="19" t="s">
        <v>900</v>
      </c>
      <c r="D175" s="16">
        <v>0.2038932</v>
      </c>
      <c r="E175" s="18">
        <v>0</v>
      </c>
      <c r="F175" s="16">
        <f t="shared" si="60"/>
        <v>0.2038932</v>
      </c>
      <c r="G175" s="17">
        <v>0.2038932</v>
      </c>
      <c r="H175" s="16">
        <f t="shared" si="59"/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0.2038932</v>
      </c>
      <c r="P175" s="16">
        <v>0</v>
      </c>
      <c r="Q175" s="16">
        <f t="shared" si="61"/>
        <v>0.2038932</v>
      </c>
      <c r="R175" s="16">
        <f t="shared" si="62"/>
        <v>0</v>
      </c>
      <c r="S175" s="14">
        <v>0</v>
      </c>
      <c r="T175" s="22" t="s">
        <v>0</v>
      </c>
      <c r="U175" s="9"/>
      <c r="V175" s="12"/>
      <c r="X175" s="10"/>
      <c r="AB175" s="4"/>
    </row>
    <row r="176" spans="1:28" s="3" customFormat="1" ht="31.5" x14ac:dyDescent="0.25">
      <c r="A176" s="43" t="s">
        <v>830</v>
      </c>
      <c r="B176" s="20" t="s">
        <v>899</v>
      </c>
      <c r="C176" s="19" t="s">
        <v>898</v>
      </c>
      <c r="D176" s="16">
        <v>0.1177581888</v>
      </c>
      <c r="E176" s="18">
        <v>0</v>
      </c>
      <c r="F176" s="16">
        <f t="shared" si="60"/>
        <v>0.1177581888</v>
      </c>
      <c r="G176" s="17">
        <v>0.1177581888</v>
      </c>
      <c r="H176" s="16">
        <f t="shared" si="59"/>
        <v>0.11640165000000001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0.11640165000000001</v>
      </c>
      <c r="O176" s="16">
        <v>0.1177581888</v>
      </c>
      <c r="P176" s="16">
        <v>0</v>
      </c>
      <c r="Q176" s="16">
        <f t="shared" si="61"/>
        <v>1.3565387999999873E-3</v>
      </c>
      <c r="R176" s="16">
        <f t="shared" si="62"/>
        <v>0.11640165000000001</v>
      </c>
      <c r="S176" s="14">
        <v>1</v>
      </c>
      <c r="T176" s="22" t="s">
        <v>859</v>
      </c>
      <c r="U176" s="9"/>
      <c r="V176" s="12"/>
      <c r="X176" s="10"/>
      <c r="AB176" s="4"/>
    </row>
    <row r="177" spans="1:28" s="3" customFormat="1" ht="31.5" x14ac:dyDescent="0.25">
      <c r="A177" s="43" t="s">
        <v>830</v>
      </c>
      <c r="B177" s="20" t="s">
        <v>897</v>
      </c>
      <c r="C177" s="19" t="s">
        <v>896</v>
      </c>
      <c r="D177" s="16">
        <v>0.144499135896</v>
      </c>
      <c r="E177" s="18">
        <v>0</v>
      </c>
      <c r="F177" s="16">
        <f t="shared" si="60"/>
        <v>0.144499135896</v>
      </c>
      <c r="G177" s="17">
        <v>0.144499135896</v>
      </c>
      <c r="H177" s="16">
        <f t="shared" si="59"/>
        <v>0.12565159000000001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0.12565159000000001</v>
      </c>
      <c r="O177" s="16">
        <v>0.14449913589999999</v>
      </c>
      <c r="P177" s="16">
        <v>0</v>
      </c>
      <c r="Q177" s="16">
        <f t="shared" si="61"/>
        <v>1.884754589599999E-2</v>
      </c>
      <c r="R177" s="16">
        <f t="shared" si="62"/>
        <v>0.12565159000000001</v>
      </c>
      <c r="S177" s="14">
        <v>1</v>
      </c>
      <c r="T177" s="22" t="s">
        <v>859</v>
      </c>
      <c r="U177" s="9"/>
      <c r="V177" s="12"/>
      <c r="X177" s="10"/>
      <c r="AB177" s="4"/>
    </row>
    <row r="178" spans="1:28" s="3" customFormat="1" ht="31.5" x14ac:dyDescent="0.25">
      <c r="A178" s="43" t="s">
        <v>830</v>
      </c>
      <c r="B178" s="20" t="s">
        <v>895</v>
      </c>
      <c r="C178" s="19" t="s">
        <v>894</v>
      </c>
      <c r="D178" s="16" t="s">
        <v>0</v>
      </c>
      <c r="E178" s="18" t="s">
        <v>0</v>
      </c>
      <c r="F178" s="16" t="s">
        <v>0</v>
      </c>
      <c r="G178" s="17" t="s">
        <v>0</v>
      </c>
      <c r="H178" s="16">
        <f t="shared" si="59"/>
        <v>8.1119999999999998E-2</v>
      </c>
      <c r="I178" s="16" t="s">
        <v>0</v>
      </c>
      <c r="J178" s="16">
        <v>0</v>
      </c>
      <c r="K178" s="16" t="s">
        <v>0</v>
      </c>
      <c r="L178" s="16">
        <v>0</v>
      </c>
      <c r="M178" s="16" t="s">
        <v>0</v>
      </c>
      <c r="N178" s="16">
        <v>8.1119999999999998E-2</v>
      </c>
      <c r="O178" s="16" t="s">
        <v>0</v>
      </c>
      <c r="P178" s="16">
        <v>0</v>
      </c>
      <c r="Q178" s="16" t="s">
        <v>0</v>
      </c>
      <c r="R178" s="16" t="s">
        <v>0</v>
      </c>
      <c r="S178" s="14" t="s">
        <v>0</v>
      </c>
      <c r="T178" s="22" t="s">
        <v>893</v>
      </c>
      <c r="U178" s="9"/>
      <c r="V178" s="12"/>
      <c r="X178" s="10"/>
      <c r="AB178" s="4"/>
    </row>
    <row r="179" spans="1:28" s="3" customFormat="1" ht="47.25" x14ac:dyDescent="0.25">
      <c r="A179" s="43" t="s">
        <v>830</v>
      </c>
      <c r="B179" s="20" t="s">
        <v>892</v>
      </c>
      <c r="C179" s="19" t="s">
        <v>891</v>
      </c>
      <c r="D179" s="16">
        <v>0.46158999599999995</v>
      </c>
      <c r="E179" s="18">
        <v>0</v>
      </c>
      <c r="F179" s="16">
        <f t="shared" ref="F179:F184" si="63">D179-E179</f>
        <v>0.46158999599999995</v>
      </c>
      <c r="G179" s="17">
        <v>0.46158999599999995</v>
      </c>
      <c r="H179" s="16">
        <f t="shared" si="59"/>
        <v>0.17108186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0.17108186</v>
      </c>
      <c r="O179" s="16">
        <v>0.461589996</v>
      </c>
      <c r="P179" s="16">
        <v>0</v>
      </c>
      <c r="Q179" s="16">
        <f t="shared" ref="Q179:Q184" si="64">F179-H179</f>
        <v>0.29050813599999992</v>
      </c>
      <c r="R179" s="16">
        <f t="shared" ref="R179:R184" si="65">H179-(I179+K179+M179)</f>
        <v>0.17108186</v>
      </c>
      <c r="S179" s="14">
        <v>1</v>
      </c>
      <c r="T179" s="22" t="s">
        <v>859</v>
      </c>
      <c r="U179" s="9"/>
      <c r="V179" s="12"/>
      <c r="X179" s="10"/>
      <c r="AB179" s="4"/>
    </row>
    <row r="180" spans="1:28" s="3" customFormat="1" ht="31.5" x14ac:dyDescent="0.25">
      <c r="A180" s="43" t="s">
        <v>830</v>
      </c>
      <c r="B180" s="20" t="s">
        <v>890</v>
      </c>
      <c r="C180" s="19" t="s">
        <v>889</v>
      </c>
      <c r="D180" s="16">
        <v>0.14544162360000001</v>
      </c>
      <c r="E180" s="18">
        <v>0</v>
      </c>
      <c r="F180" s="16">
        <f t="shared" si="63"/>
        <v>0.14544162360000001</v>
      </c>
      <c r="G180" s="17">
        <v>0.14544162360000001</v>
      </c>
      <c r="H180" s="16">
        <f t="shared" si="59"/>
        <v>0.13197058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0.13197058</v>
      </c>
      <c r="O180" s="16">
        <v>0.14544162360000001</v>
      </c>
      <c r="P180" s="16">
        <v>0</v>
      </c>
      <c r="Q180" s="16">
        <f t="shared" si="64"/>
        <v>1.347104360000001E-2</v>
      </c>
      <c r="R180" s="16">
        <f t="shared" si="65"/>
        <v>0.13197058</v>
      </c>
      <c r="S180" s="14">
        <v>1</v>
      </c>
      <c r="T180" s="22" t="s">
        <v>859</v>
      </c>
      <c r="U180" s="9"/>
      <c r="V180" s="12"/>
      <c r="X180" s="10"/>
      <c r="AB180" s="4"/>
    </row>
    <row r="181" spans="1:28" s="3" customFormat="1" ht="31.5" x14ac:dyDescent="0.25">
      <c r="A181" s="43" t="s">
        <v>830</v>
      </c>
      <c r="B181" s="20" t="s">
        <v>888</v>
      </c>
      <c r="C181" s="19" t="s">
        <v>887</v>
      </c>
      <c r="D181" s="16">
        <v>6.417702900000001E-2</v>
      </c>
      <c r="E181" s="18">
        <v>0</v>
      </c>
      <c r="F181" s="16">
        <f t="shared" si="63"/>
        <v>6.417702900000001E-2</v>
      </c>
      <c r="G181" s="17">
        <v>6.417702900000001E-2</v>
      </c>
      <c r="H181" s="16">
        <f t="shared" si="59"/>
        <v>5.4804000000000005E-2</v>
      </c>
      <c r="I181" s="16">
        <v>0</v>
      </c>
      <c r="J181" s="16">
        <v>0</v>
      </c>
      <c r="K181" s="16">
        <v>0</v>
      </c>
      <c r="L181" s="16">
        <v>5.4804000000000005E-2</v>
      </c>
      <c r="M181" s="16">
        <v>0</v>
      </c>
      <c r="N181" s="16">
        <v>0</v>
      </c>
      <c r="O181" s="16">
        <v>6.417702900000001E-2</v>
      </c>
      <c r="P181" s="16">
        <v>0</v>
      </c>
      <c r="Q181" s="16">
        <f t="shared" si="64"/>
        <v>9.3730290000000049E-3</v>
      </c>
      <c r="R181" s="16">
        <f t="shared" si="65"/>
        <v>5.4804000000000005E-2</v>
      </c>
      <c r="S181" s="14">
        <v>1</v>
      </c>
      <c r="T181" s="22" t="s">
        <v>859</v>
      </c>
      <c r="U181" s="9"/>
      <c r="V181" s="12"/>
      <c r="X181" s="10"/>
      <c r="AB181" s="4"/>
    </row>
    <row r="182" spans="1:28" s="3" customFormat="1" ht="31.5" x14ac:dyDescent="0.25">
      <c r="A182" s="43" t="s">
        <v>830</v>
      </c>
      <c r="B182" s="20" t="s">
        <v>886</v>
      </c>
      <c r="C182" s="19" t="s">
        <v>885</v>
      </c>
      <c r="D182" s="16">
        <v>1.4468644080000002</v>
      </c>
      <c r="E182" s="18">
        <v>0</v>
      </c>
      <c r="F182" s="16">
        <f t="shared" si="63"/>
        <v>1.4468644080000002</v>
      </c>
      <c r="G182" s="17">
        <v>1.4468644080000002</v>
      </c>
      <c r="H182" s="16">
        <f t="shared" si="59"/>
        <v>1.077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1.077</v>
      </c>
      <c r="O182" s="16">
        <v>1.4468644079999999</v>
      </c>
      <c r="P182" s="16">
        <v>0</v>
      </c>
      <c r="Q182" s="16">
        <f t="shared" si="64"/>
        <v>0.3698644080000002</v>
      </c>
      <c r="R182" s="16">
        <f t="shared" si="65"/>
        <v>1.077</v>
      </c>
      <c r="S182" s="14">
        <v>1</v>
      </c>
      <c r="T182" s="22" t="s">
        <v>859</v>
      </c>
      <c r="U182" s="9"/>
      <c r="V182" s="12"/>
      <c r="X182" s="10"/>
      <c r="AB182" s="4"/>
    </row>
    <row r="183" spans="1:28" s="3" customFormat="1" ht="47.25" x14ac:dyDescent="0.25">
      <c r="A183" s="43" t="s">
        <v>830</v>
      </c>
      <c r="B183" s="20" t="s">
        <v>884</v>
      </c>
      <c r="C183" s="19" t="s">
        <v>883</v>
      </c>
      <c r="D183" s="16">
        <v>1.3297605375599999</v>
      </c>
      <c r="E183" s="18">
        <v>0</v>
      </c>
      <c r="F183" s="16">
        <f t="shared" si="63"/>
        <v>1.3297605375599999</v>
      </c>
      <c r="G183" s="17">
        <v>1.3297605375599999</v>
      </c>
      <c r="H183" s="16">
        <f t="shared" si="59"/>
        <v>1.3295999999999999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1.3295999999999999</v>
      </c>
      <c r="O183" s="16">
        <v>1.3297605375600001</v>
      </c>
      <c r="P183" s="16">
        <v>0</v>
      </c>
      <c r="Q183" s="16">
        <f t="shared" si="64"/>
        <v>1.6053756000000696E-4</v>
      </c>
      <c r="R183" s="16">
        <f t="shared" si="65"/>
        <v>1.3295999999999999</v>
      </c>
      <c r="S183" s="14">
        <v>1</v>
      </c>
      <c r="T183" s="22" t="s">
        <v>859</v>
      </c>
      <c r="U183" s="9"/>
      <c r="V183" s="12"/>
      <c r="X183" s="10"/>
      <c r="AB183" s="4"/>
    </row>
    <row r="184" spans="1:28" s="3" customFormat="1" ht="32.25" customHeight="1" x14ac:dyDescent="0.25">
      <c r="A184" s="43" t="s">
        <v>830</v>
      </c>
      <c r="B184" s="20" t="s">
        <v>882</v>
      </c>
      <c r="C184" s="19" t="s">
        <v>881</v>
      </c>
      <c r="D184" s="16">
        <v>1.518</v>
      </c>
      <c r="E184" s="18">
        <v>0</v>
      </c>
      <c r="F184" s="16">
        <f t="shared" si="63"/>
        <v>1.518</v>
      </c>
      <c r="G184" s="17">
        <v>0.48599999999999999</v>
      </c>
      <c r="H184" s="16">
        <f t="shared" si="59"/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0.48599999999999999</v>
      </c>
      <c r="P184" s="16">
        <v>0</v>
      </c>
      <c r="Q184" s="16">
        <f t="shared" si="64"/>
        <v>1.518</v>
      </c>
      <c r="R184" s="16">
        <f t="shared" si="65"/>
        <v>0</v>
      </c>
      <c r="S184" s="14">
        <v>0</v>
      </c>
      <c r="T184" s="22" t="s">
        <v>0</v>
      </c>
      <c r="U184" s="9"/>
      <c r="V184" s="12"/>
      <c r="X184" s="10"/>
    </row>
    <row r="185" spans="1:28" s="3" customFormat="1" ht="66" customHeight="1" x14ac:dyDescent="0.25">
      <c r="A185" s="43" t="s">
        <v>830</v>
      </c>
      <c r="B185" s="20" t="s">
        <v>880</v>
      </c>
      <c r="C185" s="41" t="s">
        <v>879</v>
      </c>
      <c r="D185" s="16" t="s">
        <v>0</v>
      </c>
      <c r="E185" s="18" t="s">
        <v>0</v>
      </c>
      <c r="F185" s="16" t="s">
        <v>0</v>
      </c>
      <c r="G185" s="17" t="s">
        <v>0</v>
      </c>
      <c r="H185" s="16">
        <f t="shared" si="59"/>
        <v>0.57278832999999996</v>
      </c>
      <c r="I185" s="16" t="s">
        <v>0</v>
      </c>
      <c r="J185" s="16">
        <v>0</v>
      </c>
      <c r="K185" s="16" t="s">
        <v>0</v>
      </c>
      <c r="L185" s="16">
        <f>572.78833/1000</f>
        <v>0.57278832999999996</v>
      </c>
      <c r="M185" s="16" t="s">
        <v>0</v>
      </c>
      <c r="N185" s="16">
        <v>0</v>
      </c>
      <c r="O185" s="16" t="s">
        <v>0</v>
      </c>
      <c r="P185" s="16">
        <v>0</v>
      </c>
      <c r="Q185" s="16" t="s">
        <v>0</v>
      </c>
      <c r="R185" s="16" t="s">
        <v>0</v>
      </c>
      <c r="S185" s="14" t="s">
        <v>0</v>
      </c>
      <c r="T185" s="22" t="s">
        <v>878</v>
      </c>
      <c r="U185" s="9"/>
      <c r="V185" s="12"/>
      <c r="X185" s="10"/>
    </row>
    <row r="186" spans="1:28" s="3" customFormat="1" ht="33" customHeight="1" x14ac:dyDescent="0.25">
      <c r="A186" s="43" t="s">
        <v>830</v>
      </c>
      <c r="B186" s="20" t="s">
        <v>877</v>
      </c>
      <c r="C186" s="41" t="s">
        <v>876</v>
      </c>
      <c r="D186" s="16" t="s">
        <v>0</v>
      </c>
      <c r="E186" s="18" t="s">
        <v>0</v>
      </c>
      <c r="F186" s="16" t="s">
        <v>0</v>
      </c>
      <c r="G186" s="17" t="s">
        <v>0</v>
      </c>
      <c r="H186" s="16">
        <f t="shared" si="59"/>
        <v>25.49807487</v>
      </c>
      <c r="I186" s="16" t="s">
        <v>0</v>
      </c>
      <c r="J186" s="16">
        <v>25.49807487</v>
      </c>
      <c r="K186" s="16" t="s">
        <v>0</v>
      </c>
      <c r="L186" s="16">
        <v>0</v>
      </c>
      <c r="M186" s="16" t="s">
        <v>0</v>
      </c>
      <c r="N186" s="16">
        <v>0</v>
      </c>
      <c r="O186" s="16" t="s">
        <v>0</v>
      </c>
      <c r="P186" s="16">
        <v>0</v>
      </c>
      <c r="Q186" s="16" t="s">
        <v>0</v>
      </c>
      <c r="R186" s="16" t="s">
        <v>0</v>
      </c>
      <c r="S186" s="32" t="s">
        <v>0</v>
      </c>
      <c r="T186" s="67" t="s">
        <v>195</v>
      </c>
      <c r="U186" s="9"/>
      <c r="V186" s="12"/>
      <c r="X186" s="10"/>
      <c r="AB186" s="4"/>
    </row>
    <row r="187" spans="1:28" s="3" customFormat="1" ht="31.5" x14ac:dyDescent="0.25">
      <c r="A187" s="43" t="s">
        <v>830</v>
      </c>
      <c r="B187" s="20" t="s">
        <v>875</v>
      </c>
      <c r="C187" s="41" t="s">
        <v>874</v>
      </c>
      <c r="D187" s="16" t="s">
        <v>0</v>
      </c>
      <c r="E187" s="16" t="s">
        <v>0</v>
      </c>
      <c r="F187" s="16" t="s">
        <v>0</v>
      </c>
      <c r="G187" s="16" t="s">
        <v>0</v>
      </c>
      <c r="H187" s="16">
        <f t="shared" si="59"/>
        <v>6.2543249999999995E-2</v>
      </c>
      <c r="I187" s="16" t="s">
        <v>0</v>
      </c>
      <c r="J187" s="16">
        <v>6.2543249999999995E-2</v>
      </c>
      <c r="K187" s="16" t="s">
        <v>0</v>
      </c>
      <c r="L187" s="16">
        <v>0</v>
      </c>
      <c r="M187" s="16" t="s">
        <v>0</v>
      </c>
      <c r="N187" s="16">
        <v>0</v>
      </c>
      <c r="O187" s="16" t="s">
        <v>0</v>
      </c>
      <c r="P187" s="16">
        <v>0</v>
      </c>
      <c r="Q187" s="16" t="s">
        <v>0</v>
      </c>
      <c r="R187" s="16" t="s">
        <v>0</v>
      </c>
      <c r="S187" s="32" t="s">
        <v>0</v>
      </c>
      <c r="T187" s="13" t="s">
        <v>195</v>
      </c>
      <c r="U187" s="9"/>
      <c r="V187" s="12"/>
      <c r="X187" s="10"/>
      <c r="AB187" s="4"/>
    </row>
    <row r="188" spans="1:28" s="3" customFormat="1" ht="31.5" x14ac:dyDescent="0.25">
      <c r="A188" s="43" t="s">
        <v>830</v>
      </c>
      <c r="B188" s="20" t="s">
        <v>873</v>
      </c>
      <c r="C188" s="41" t="s">
        <v>872</v>
      </c>
      <c r="D188" s="16">
        <v>7.1940954759999993</v>
      </c>
      <c r="E188" s="18">
        <v>0</v>
      </c>
      <c r="F188" s="16">
        <f>D188-E188</f>
        <v>7.1940954759999993</v>
      </c>
      <c r="G188" s="17">
        <v>0.86324631600000001</v>
      </c>
      <c r="H188" s="16">
        <f t="shared" si="59"/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0.86324631600000001</v>
      </c>
      <c r="P188" s="16">
        <v>0</v>
      </c>
      <c r="Q188" s="16">
        <f>F188-H188</f>
        <v>7.1940954759999993</v>
      </c>
      <c r="R188" s="16">
        <f>H188-(I188+K188+M188)</f>
        <v>0</v>
      </c>
      <c r="S188" s="14">
        <v>0</v>
      </c>
      <c r="T188" s="22" t="s">
        <v>0</v>
      </c>
      <c r="U188" s="9"/>
      <c r="V188" s="12"/>
      <c r="X188" s="10"/>
    </row>
    <row r="189" spans="1:28" s="3" customFormat="1" ht="35.25" customHeight="1" x14ac:dyDescent="0.25">
      <c r="A189" s="43" t="s">
        <v>830</v>
      </c>
      <c r="B189" s="20" t="s">
        <v>871</v>
      </c>
      <c r="C189" s="41" t="s">
        <v>870</v>
      </c>
      <c r="D189" s="16" t="s">
        <v>0</v>
      </c>
      <c r="E189" s="18" t="s">
        <v>0</v>
      </c>
      <c r="F189" s="16" t="s">
        <v>0</v>
      </c>
      <c r="G189" s="17" t="s">
        <v>0</v>
      </c>
      <c r="H189" s="16">
        <f t="shared" si="59"/>
        <v>0.8627999999999999</v>
      </c>
      <c r="I189" s="16" t="s">
        <v>0</v>
      </c>
      <c r="J189" s="16">
        <v>0</v>
      </c>
      <c r="K189" s="16" t="s">
        <v>0</v>
      </c>
      <c r="L189" s="16">
        <v>0</v>
      </c>
      <c r="M189" s="16" t="s">
        <v>0</v>
      </c>
      <c r="N189" s="16">
        <v>0.8627999999999999</v>
      </c>
      <c r="O189" s="16" t="s">
        <v>0</v>
      </c>
      <c r="P189" s="16">
        <v>0</v>
      </c>
      <c r="Q189" s="16" t="s">
        <v>0</v>
      </c>
      <c r="R189" s="16" t="s">
        <v>0</v>
      </c>
      <c r="S189" s="14" t="s">
        <v>0</v>
      </c>
      <c r="T189" s="19" t="s">
        <v>869</v>
      </c>
      <c r="U189" s="9"/>
      <c r="V189" s="12"/>
      <c r="X189" s="10"/>
    </row>
    <row r="190" spans="1:28" s="3" customFormat="1" ht="31.5" x14ac:dyDescent="0.25">
      <c r="A190" s="43" t="s">
        <v>830</v>
      </c>
      <c r="B190" s="20" t="s">
        <v>868</v>
      </c>
      <c r="C190" s="41" t="s">
        <v>867</v>
      </c>
      <c r="D190" s="16">
        <v>19.71920274</v>
      </c>
      <c r="E190" s="18">
        <v>10.515000000000001</v>
      </c>
      <c r="F190" s="16">
        <f t="shared" ref="F190:F201" si="66">D190-E190</f>
        <v>9.2042027399999995</v>
      </c>
      <c r="G190" s="17">
        <v>9.2042027400000013</v>
      </c>
      <c r="H190" s="16">
        <f t="shared" ref="H190:H207" si="67">J190+L190+N190+P190</f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9.2042027400000013</v>
      </c>
      <c r="P190" s="16">
        <v>0</v>
      </c>
      <c r="Q190" s="16">
        <f t="shared" ref="Q190:Q201" si="68">F190-H190</f>
        <v>9.2042027399999995</v>
      </c>
      <c r="R190" s="16">
        <f t="shared" ref="R190:R201" si="69">H190-(I190+K190+M190)</f>
        <v>0</v>
      </c>
      <c r="S190" s="14">
        <v>0</v>
      </c>
      <c r="T190" s="22" t="s">
        <v>0</v>
      </c>
      <c r="U190" s="9"/>
      <c r="V190" s="12"/>
      <c r="X190" s="10"/>
    </row>
    <row r="191" spans="1:28" s="3" customFormat="1" ht="47.25" x14ac:dyDescent="0.25">
      <c r="A191" s="43" t="s">
        <v>830</v>
      </c>
      <c r="B191" s="20" t="s">
        <v>866</v>
      </c>
      <c r="C191" s="41" t="s">
        <v>865</v>
      </c>
      <c r="D191" s="16">
        <v>0.16800000000000001</v>
      </c>
      <c r="E191" s="18">
        <v>0</v>
      </c>
      <c r="F191" s="16">
        <f t="shared" si="66"/>
        <v>0.16800000000000001</v>
      </c>
      <c r="G191" s="17">
        <v>0.16800000000000001</v>
      </c>
      <c r="H191" s="16">
        <f t="shared" si="67"/>
        <v>9.9599999999999994E-2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9.9599999999999994E-2</v>
      </c>
      <c r="O191" s="16">
        <v>0.16800000000000001</v>
      </c>
      <c r="P191" s="16">
        <v>0</v>
      </c>
      <c r="Q191" s="16">
        <f t="shared" si="68"/>
        <v>6.8400000000000016E-2</v>
      </c>
      <c r="R191" s="16">
        <f t="shared" si="69"/>
        <v>9.9599999999999994E-2</v>
      </c>
      <c r="S191" s="14">
        <v>1</v>
      </c>
      <c r="T191" s="22" t="s">
        <v>864</v>
      </c>
      <c r="U191" s="9"/>
      <c r="V191" s="12"/>
      <c r="X191" s="10"/>
    </row>
    <row r="192" spans="1:28" s="3" customFormat="1" x14ac:dyDescent="0.25">
      <c r="A192" s="43" t="s">
        <v>830</v>
      </c>
      <c r="B192" s="20" t="s">
        <v>863</v>
      </c>
      <c r="C192" s="41" t="s">
        <v>862</v>
      </c>
      <c r="D192" s="16">
        <v>0.90765359999999995</v>
      </c>
      <c r="E192" s="18">
        <v>0</v>
      </c>
      <c r="F192" s="16">
        <f t="shared" si="66"/>
        <v>0.90765359999999995</v>
      </c>
      <c r="G192" s="17">
        <v>0.90765359999999995</v>
      </c>
      <c r="H192" s="16">
        <f t="shared" si="67"/>
        <v>0.4288787</v>
      </c>
      <c r="I192" s="16">
        <v>0</v>
      </c>
      <c r="J192" s="16">
        <v>0</v>
      </c>
      <c r="K192" s="16">
        <v>0</v>
      </c>
      <c r="L192" s="16">
        <v>0.4288787</v>
      </c>
      <c r="M192" s="16">
        <v>0</v>
      </c>
      <c r="N192" s="16">
        <v>0</v>
      </c>
      <c r="O192" s="16">
        <v>0.90765359999999995</v>
      </c>
      <c r="P192" s="16">
        <v>0</v>
      </c>
      <c r="Q192" s="16">
        <f t="shared" si="68"/>
        <v>0.47877489999999995</v>
      </c>
      <c r="R192" s="16">
        <f t="shared" si="69"/>
        <v>0.4288787</v>
      </c>
      <c r="S192" s="14">
        <v>1</v>
      </c>
      <c r="T192" s="22" t="s">
        <v>859</v>
      </c>
      <c r="U192" s="9"/>
      <c r="V192" s="12"/>
      <c r="X192" s="10"/>
    </row>
    <row r="193" spans="1:28" s="3" customFormat="1" x14ac:dyDescent="0.25">
      <c r="A193" s="43" t="s">
        <v>830</v>
      </c>
      <c r="B193" s="20" t="s">
        <v>861</v>
      </c>
      <c r="C193" s="41" t="s">
        <v>860</v>
      </c>
      <c r="D193" s="16">
        <v>2.94</v>
      </c>
      <c r="E193" s="18">
        <v>0</v>
      </c>
      <c r="F193" s="16">
        <f t="shared" si="66"/>
        <v>2.94</v>
      </c>
      <c r="G193" s="17">
        <v>1.44</v>
      </c>
      <c r="H193" s="16">
        <f t="shared" si="67"/>
        <v>0.80999003999999997</v>
      </c>
      <c r="I193" s="16">
        <v>0</v>
      </c>
      <c r="J193" s="16">
        <v>0</v>
      </c>
      <c r="K193" s="16">
        <v>0</v>
      </c>
      <c r="L193" s="16">
        <v>0.80999003999999997</v>
      </c>
      <c r="M193" s="16">
        <v>0</v>
      </c>
      <c r="N193" s="16">
        <v>0</v>
      </c>
      <c r="O193" s="16">
        <v>1.44</v>
      </c>
      <c r="P193" s="16">
        <v>0</v>
      </c>
      <c r="Q193" s="16">
        <f t="shared" si="68"/>
        <v>2.1300099599999998</v>
      </c>
      <c r="R193" s="16">
        <f t="shared" si="69"/>
        <v>0.80999003999999997</v>
      </c>
      <c r="S193" s="14">
        <v>1</v>
      </c>
      <c r="T193" s="22" t="s">
        <v>859</v>
      </c>
      <c r="U193" s="9"/>
      <c r="V193" s="12"/>
      <c r="X193" s="10"/>
    </row>
    <row r="194" spans="1:28" s="3" customFormat="1" ht="47.25" x14ac:dyDescent="0.25">
      <c r="A194" s="43" t="s">
        <v>830</v>
      </c>
      <c r="B194" s="20" t="s">
        <v>858</v>
      </c>
      <c r="C194" s="41" t="s">
        <v>857</v>
      </c>
      <c r="D194" s="16">
        <v>6.4487999999999994</v>
      </c>
      <c r="E194" s="18">
        <v>0</v>
      </c>
      <c r="F194" s="16">
        <f t="shared" si="66"/>
        <v>6.4487999999999994</v>
      </c>
      <c r="G194" s="17">
        <v>3.1487999999999996</v>
      </c>
      <c r="H194" s="16">
        <f t="shared" si="67"/>
        <v>3.1488</v>
      </c>
      <c r="I194" s="16">
        <v>0</v>
      </c>
      <c r="J194" s="16">
        <v>0</v>
      </c>
      <c r="K194" s="16">
        <v>0</v>
      </c>
      <c r="L194" s="16">
        <v>0</v>
      </c>
      <c r="M194" s="16">
        <v>3.1488</v>
      </c>
      <c r="N194" s="16">
        <v>3.1488</v>
      </c>
      <c r="O194" s="16">
        <v>0</v>
      </c>
      <c r="P194" s="16">
        <v>0</v>
      </c>
      <c r="Q194" s="16">
        <f t="shared" si="68"/>
        <v>3.2999999999999994</v>
      </c>
      <c r="R194" s="16">
        <f t="shared" si="69"/>
        <v>0</v>
      </c>
      <c r="S194" s="14">
        <f t="shared" ref="S194:S201" si="70">R194/(I194+K194+M194)</f>
        <v>0</v>
      </c>
      <c r="T194" s="22" t="s">
        <v>0</v>
      </c>
      <c r="U194" s="9"/>
      <c r="V194" s="12"/>
      <c r="X194" s="10"/>
    </row>
    <row r="195" spans="1:28" s="3" customFormat="1" ht="31.5" x14ac:dyDescent="0.25">
      <c r="A195" s="43" t="s">
        <v>830</v>
      </c>
      <c r="B195" s="20" t="s">
        <v>856</v>
      </c>
      <c r="C195" s="41" t="s">
        <v>855</v>
      </c>
      <c r="D195" s="16">
        <v>25.221599999999999</v>
      </c>
      <c r="E195" s="18">
        <v>0</v>
      </c>
      <c r="F195" s="16">
        <f t="shared" si="66"/>
        <v>25.221599999999999</v>
      </c>
      <c r="G195" s="17">
        <v>11.9964</v>
      </c>
      <c r="H195" s="16">
        <f t="shared" si="67"/>
        <v>11.876040000000001</v>
      </c>
      <c r="I195" s="16">
        <v>0</v>
      </c>
      <c r="J195" s="16">
        <v>0</v>
      </c>
      <c r="K195" s="16">
        <v>0</v>
      </c>
      <c r="L195" s="16">
        <f>11876.04/1000</f>
        <v>11.876040000000001</v>
      </c>
      <c r="M195" s="16">
        <v>11.9964</v>
      </c>
      <c r="N195" s="16">
        <v>0</v>
      </c>
      <c r="O195" s="16">
        <v>0</v>
      </c>
      <c r="P195" s="16">
        <v>0</v>
      </c>
      <c r="Q195" s="16">
        <f t="shared" si="68"/>
        <v>13.345559999999997</v>
      </c>
      <c r="R195" s="16">
        <f t="shared" si="69"/>
        <v>-0.12035999999999802</v>
      </c>
      <c r="S195" s="14">
        <f t="shared" si="70"/>
        <v>-1.0033009902970727E-2</v>
      </c>
      <c r="T195" s="22" t="s">
        <v>0</v>
      </c>
      <c r="U195" s="9"/>
      <c r="V195" s="12"/>
      <c r="X195" s="10"/>
    </row>
    <row r="196" spans="1:28" s="3" customFormat="1" ht="31.5" x14ac:dyDescent="0.25">
      <c r="A196" s="43" t="s">
        <v>830</v>
      </c>
      <c r="B196" s="20" t="s">
        <v>854</v>
      </c>
      <c r="C196" s="41" t="s">
        <v>853</v>
      </c>
      <c r="D196" s="16">
        <v>0.47159999999999996</v>
      </c>
      <c r="E196" s="18">
        <v>0</v>
      </c>
      <c r="F196" s="16">
        <f t="shared" si="66"/>
        <v>0.47159999999999996</v>
      </c>
      <c r="G196" s="17">
        <v>0.47159999999999996</v>
      </c>
      <c r="H196" s="16">
        <f t="shared" si="67"/>
        <v>0.47</v>
      </c>
      <c r="I196" s="16">
        <v>0</v>
      </c>
      <c r="J196" s="16">
        <f>470/1000</f>
        <v>0.47</v>
      </c>
      <c r="K196" s="16">
        <v>0</v>
      </c>
      <c r="L196" s="16">
        <v>0</v>
      </c>
      <c r="M196" s="16">
        <v>0.47160000000000002</v>
      </c>
      <c r="N196" s="16">
        <v>0</v>
      </c>
      <c r="O196" s="16">
        <v>0</v>
      </c>
      <c r="P196" s="16">
        <v>0</v>
      </c>
      <c r="Q196" s="16">
        <f t="shared" si="68"/>
        <v>1.5999999999999903E-3</v>
      </c>
      <c r="R196" s="16">
        <f t="shared" si="69"/>
        <v>-1.6000000000000458E-3</v>
      </c>
      <c r="S196" s="14">
        <f t="shared" si="70"/>
        <v>-3.3927056827821158E-3</v>
      </c>
      <c r="T196" s="19" t="s">
        <v>0</v>
      </c>
      <c r="U196" s="9"/>
      <c r="V196" s="12"/>
      <c r="X196" s="10"/>
    </row>
    <row r="197" spans="1:28" s="3" customFormat="1" ht="47.25" x14ac:dyDescent="0.25">
      <c r="A197" s="43" t="s">
        <v>830</v>
      </c>
      <c r="B197" s="20" t="s">
        <v>852</v>
      </c>
      <c r="C197" s="41" t="s">
        <v>851</v>
      </c>
      <c r="D197" s="16">
        <v>3.1080000000000001</v>
      </c>
      <c r="E197" s="18">
        <v>0</v>
      </c>
      <c r="F197" s="16">
        <f t="shared" si="66"/>
        <v>3.1080000000000001</v>
      </c>
      <c r="G197" s="17">
        <v>0.98399999999999999</v>
      </c>
      <c r="H197" s="16">
        <f t="shared" si="67"/>
        <v>0.89237369</v>
      </c>
      <c r="I197" s="16">
        <v>0</v>
      </c>
      <c r="J197" s="16">
        <f>892.37369/1000</f>
        <v>0.89237369</v>
      </c>
      <c r="K197" s="16">
        <v>0</v>
      </c>
      <c r="L197" s="16">
        <v>0</v>
      </c>
      <c r="M197" s="16">
        <v>0.98399999999999999</v>
      </c>
      <c r="N197" s="16">
        <v>0</v>
      </c>
      <c r="O197" s="16">
        <v>0</v>
      </c>
      <c r="P197" s="16">
        <v>0</v>
      </c>
      <c r="Q197" s="16">
        <f t="shared" si="68"/>
        <v>2.2156263100000002</v>
      </c>
      <c r="R197" s="16">
        <f t="shared" si="69"/>
        <v>-9.1626309999999989E-2</v>
      </c>
      <c r="S197" s="14">
        <f t="shared" si="70"/>
        <v>-9.3116168699186985E-2</v>
      </c>
      <c r="T197" s="19" t="s">
        <v>0</v>
      </c>
      <c r="U197" s="9"/>
      <c r="V197" s="12"/>
      <c r="X197" s="10"/>
    </row>
    <row r="198" spans="1:28" s="3" customFormat="1" ht="47.25" x14ac:dyDescent="0.25">
      <c r="A198" s="43" t="s">
        <v>830</v>
      </c>
      <c r="B198" s="20" t="s">
        <v>850</v>
      </c>
      <c r="C198" s="41" t="s">
        <v>849</v>
      </c>
      <c r="D198" s="16">
        <v>11.7156</v>
      </c>
      <c r="E198" s="18">
        <v>0</v>
      </c>
      <c r="F198" s="16">
        <f t="shared" si="66"/>
        <v>11.7156</v>
      </c>
      <c r="G198" s="17">
        <v>3.5951999999999997</v>
      </c>
      <c r="H198" s="16">
        <f t="shared" si="67"/>
        <v>3.5951999999999997</v>
      </c>
      <c r="I198" s="16">
        <v>0</v>
      </c>
      <c r="J198" s="16">
        <v>0</v>
      </c>
      <c r="K198" s="16">
        <v>0</v>
      </c>
      <c r="L198" s="16">
        <v>0</v>
      </c>
      <c r="M198" s="16">
        <v>3.5951999999999997</v>
      </c>
      <c r="N198" s="16">
        <v>3.5951999999999997</v>
      </c>
      <c r="O198" s="16">
        <v>0</v>
      </c>
      <c r="P198" s="16">
        <v>0</v>
      </c>
      <c r="Q198" s="16">
        <f t="shared" si="68"/>
        <v>8.1204000000000001</v>
      </c>
      <c r="R198" s="16">
        <f t="shared" si="69"/>
        <v>0</v>
      </c>
      <c r="S198" s="14">
        <f t="shared" si="70"/>
        <v>0</v>
      </c>
      <c r="T198" s="22" t="s">
        <v>0</v>
      </c>
      <c r="U198" s="9"/>
      <c r="V198" s="12"/>
      <c r="X198" s="10"/>
    </row>
    <row r="199" spans="1:28" s="3" customFormat="1" ht="31.5" x14ac:dyDescent="0.25">
      <c r="A199" s="43" t="s">
        <v>830</v>
      </c>
      <c r="B199" s="20" t="s">
        <v>848</v>
      </c>
      <c r="C199" s="41" t="s">
        <v>847</v>
      </c>
      <c r="D199" s="16">
        <v>5.5404</v>
      </c>
      <c r="E199" s="18">
        <v>0</v>
      </c>
      <c r="F199" s="16">
        <f t="shared" si="66"/>
        <v>5.5404</v>
      </c>
      <c r="G199" s="17">
        <v>3.5531999999999999</v>
      </c>
      <c r="H199" s="16">
        <f t="shared" si="67"/>
        <v>3.4930087899999998</v>
      </c>
      <c r="I199" s="16">
        <v>0</v>
      </c>
      <c r="J199" s="16">
        <v>0</v>
      </c>
      <c r="K199" s="16">
        <v>0</v>
      </c>
      <c r="L199" s="16">
        <v>0</v>
      </c>
      <c r="M199" s="16">
        <v>3.5531999999999999</v>
      </c>
      <c r="N199" s="16">
        <v>3.4930087899999998</v>
      </c>
      <c r="O199" s="16">
        <v>0</v>
      </c>
      <c r="P199" s="16">
        <v>0</v>
      </c>
      <c r="Q199" s="16">
        <f t="shared" si="68"/>
        <v>2.0473912100000002</v>
      </c>
      <c r="R199" s="16">
        <f t="shared" si="69"/>
        <v>-6.0191210000000162E-2</v>
      </c>
      <c r="S199" s="14">
        <f t="shared" si="70"/>
        <v>-1.694000056287295E-2</v>
      </c>
      <c r="T199" s="22" t="s">
        <v>0</v>
      </c>
      <c r="U199" s="9"/>
      <c r="V199" s="12"/>
      <c r="X199" s="10"/>
    </row>
    <row r="200" spans="1:28" s="3" customFormat="1" ht="31.5" x14ac:dyDescent="0.25">
      <c r="A200" s="43" t="s">
        <v>830</v>
      </c>
      <c r="B200" s="20" t="s">
        <v>846</v>
      </c>
      <c r="C200" s="41" t="s">
        <v>845</v>
      </c>
      <c r="D200" s="16">
        <v>5.4047999999999998</v>
      </c>
      <c r="E200" s="18">
        <v>0</v>
      </c>
      <c r="F200" s="16">
        <f t="shared" si="66"/>
        <v>5.4047999999999998</v>
      </c>
      <c r="G200" s="17">
        <v>5.4047999999999998</v>
      </c>
      <c r="H200" s="16">
        <f t="shared" si="67"/>
        <v>5.3440559999999993</v>
      </c>
      <c r="I200" s="16">
        <v>0</v>
      </c>
      <c r="J200" s="16">
        <v>0</v>
      </c>
      <c r="K200" s="16">
        <v>0</v>
      </c>
      <c r="L200" s="16">
        <v>0</v>
      </c>
      <c r="M200" s="16">
        <v>5.4047999999999998</v>
      </c>
      <c r="N200" s="16">
        <v>5.3440559999999993</v>
      </c>
      <c r="O200" s="16">
        <v>0</v>
      </c>
      <c r="P200" s="16">
        <v>0</v>
      </c>
      <c r="Q200" s="16">
        <f t="shared" si="68"/>
        <v>6.0744000000000575E-2</v>
      </c>
      <c r="R200" s="16">
        <f t="shared" si="69"/>
        <v>-6.0744000000000575E-2</v>
      </c>
      <c r="S200" s="14">
        <f t="shared" si="70"/>
        <v>-1.1238898756660853E-2</v>
      </c>
      <c r="T200" s="22" t="s">
        <v>0</v>
      </c>
      <c r="U200" s="9"/>
      <c r="V200" s="12"/>
      <c r="X200" s="10"/>
    </row>
    <row r="201" spans="1:28" s="3" customFormat="1" ht="31.5" x14ac:dyDescent="0.25">
      <c r="A201" s="43" t="s">
        <v>830</v>
      </c>
      <c r="B201" s="20" t="s">
        <v>844</v>
      </c>
      <c r="C201" s="41" t="s">
        <v>843</v>
      </c>
      <c r="D201" s="16">
        <v>4.4748000000000001</v>
      </c>
      <c r="E201" s="18">
        <v>0</v>
      </c>
      <c r="F201" s="16">
        <f t="shared" si="66"/>
        <v>4.4748000000000001</v>
      </c>
      <c r="G201" s="17">
        <v>4.4748000000000001</v>
      </c>
      <c r="H201" s="16">
        <f t="shared" si="67"/>
        <v>3.9918400000000003</v>
      </c>
      <c r="I201" s="16">
        <v>0</v>
      </c>
      <c r="J201" s="16">
        <v>0</v>
      </c>
      <c r="K201" s="16">
        <v>0</v>
      </c>
      <c r="L201" s="16">
        <f>3991.84/1000</f>
        <v>3.9918400000000003</v>
      </c>
      <c r="M201" s="16">
        <v>4.4748000000000001</v>
      </c>
      <c r="N201" s="16">
        <v>0</v>
      </c>
      <c r="O201" s="16">
        <v>0</v>
      </c>
      <c r="P201" s="16">
        <v>0</v>
      </c>
      <c r="Q201" s="16">
        <f t="shared" si="68"/>
        <v>0.48295999999999983</v>
      </c>
      <c r="R201" s="16">
        <f t="shared" si="69"/>
        <v>-0.48295999999999983</v>
      </c>
      <c r="S201" s="14">
        <f t="shared" si="70"/>
        <v>-0.10792884598194329</v>
      </c>
      <c r="T201" s="22" t="s">
        <v>316</v>
      </c>
      <c r="U201" s="9"/>
      <c r="V201" s="12"/>
      <c r="X201" s="10"/>
    </row>
    <row r="202" spans="1:28" s="3" customFormat="1" ht="31.9" customHeight="1" x14ac:dyDescent="0.25">
      <c r="A202" s="156" t="s">
        <v>830</v>
      </c>
      <c r="B202" s="20" t="s">
        <v>842</v>
      </c>
      <c r="C202" s="157" t="s">
        <v>841</v>
      </c>
      <c r="D202" s="73" t="s">
        <v>0</v>
      </c>
      <c r="E202" s="18" t="s">
        <v>0</v>
      </c>
      <c r="F202" s="16" t="s">
        <v>0</v>
      </c>
      <c r="G202" s="17" t="s">
        <v>0</v>
      </c>
      <c r="H202" s="16">
        <f t="shared" si="67"/>
        <v>0.4355</v>
      </c>
      <c r="I202" s="16" t="s">
        <v>0</v>
      </c>
      <c r="J202" s="16">
        <v>0</v>
      </c>
      <c r="K202" s="16" t="s">
        <v>0</v>
      </c>
      <c r="L202" s="16">
        <v>0.4355</v>
      </c>
      <c r="M202" s="16" t="s">
        <v>0</v>
      </c>
      <c r="N202" s="16">
        <v>0</v>
      </c>
      <c r="O202" s="16" t="s">
        <v>0</v>
      </c>
      <c r="P202" s="16">
        <v>0</v>
      </c>
      <c r="Q202" s="16" t="s">
        <v>0</v>
      </c>
      <c r="R202" s="16" t="s">
        <v>0</v>
      </c>
      <c r="S202" s="14" t="s">
        <v>0</v>
      </c>
      <c r="T202" s="19" t="s">
        <v>840</v>
      </c>
      <c r="U202" s="9"/>
      <c r="V202" s="12"/>
      <c r="X202" s="10"/>
    </row>
    <row r="203" spans="1:28" s="3" customFormat="1" ht="31.9" customHeight="1" x14ac:dyDescent="0.25">
      <c r="A203" s="43" t="s">
        <v>830</v>
      </c>
      <c r="B203" s="20" t="s">
        <v>839</v>
      </c>
      <c r="C203" s="41" t="s">
        <v>838</v>
      </c>
      <c r="D203" s="16">
        <v>13.614000000000001</v>
      </c>
      <c r="E203" s="18">
        <v>0</v>
      </c>
      <c r="F203" s="16">
        <f>D203-E203</f>
        <v>13.614000000000001</v>
      </c>
      <c r="G203" s="17">
        <v>6.4847999999999999</v>
      </c>
      <c r="H203" s="16">
        <f t="shared" si="67"/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6.4847999999999999</v>
      </c>
      <c r="N203" s="16">
        <v>0</v>
      </c>
      <c r="O203" s="16">
        <v>0</v>
      </c>
      <c r="P203" s="16">
        <v>0</v>
      </c>
      <c r="Q203" s="16">
        <f>F203-H203</f>
        <v>13.614000000000001</v>
      </c>
      <c r="R203" s="16">
        <f>H203-(I203+K203+M203)</f>
        <v>-6.4847999999999999</v>
      </c>
      <c r="S203" s="14">
        <f>R203/(I203+K203+M203)</f>
        <v>-1</v>
      </c>
      <c r="T203" s="22" t="s">
        <v>0</v>
      </c>
      <c r="U203" s="9"/>
      <c r="V203" s="12"/>
      <c r="X203" s="10"/>
    </row>
    <row r="204" spans="1:28" s="3" customFormat="1" ht="31.5" x14ac:dyDescent="0.25">
      <c r="A204" s="43" t="s">
        <v>830</v>
      </c>
      <c r="B204" s="20" t="s">
        <v>837</v>
      </c>
      <c r="C204" s="41" t="s">
        <v>836</v>
      </c>
      <c r="D204" s="16">
        <v>4.8035999999999994</v>
      </c>
      <c r="E204" s="18">
        <v>0</v>
      </c>
      <c r="F204" s="16">
        <f>D204-E204</f>
        <v>4.8035999999999994</v>
      </c>
      <c r="G204" s="17">
        <v>4.8035999999999994</v>
      </c>
      <c r="H204" s="16">
        <f t="shared" si="67"/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4.8036000000000003</v>
      </c>
      <c r="P204" s="16">
        <v>0</v>
      </c>
      <c r="Q204" s="16">
        <f>F204-H204</f>
        <v>4.8035999999999994</v>
      </c>
      <c r="R204" s="16">
        <f>H204-(I204+K204+M204)</f>
        <v>0</v>
      </c>
      <c r="S204" s="14">
        <v>0</v>
      </c>
      <c r="T204" s="22" t="s">
        <v>0</v>
      </c>
      <c r="U204" s="9"/>
      <c r="V204" s="12"/>
      <c r="X204" s="10"/>
    </row>
    <row r="205" spans="1:28" s="3" customFormat="1" ht="78.75" x14ac:dyDescent="0.25">
      <c r="A205" s="43" t="s">
        <v>830</v>
      </c>
      <c r="B205" s="20" t="s">
        <v>835</v>
      </c>
      <c r="C205" s="41" t="s">
        <v>834</v>
      </c>
      <c r="D205" s="16" t="s">
        <v>0</v>
      </c>
      <c r="E205" s="18" t="s">
        <v>0</v>
      </c>
      <c r="F205" s="16" t="s">
        <v>0</v>
      </c>
      <c r="G205" s="17" t="s">
        <v>0</v>
      </c>
      <c r="H205" s="16">
        <f t="shared" si="67"/>
        <v>1.2840000000000001E-2</v>
      </c>
      <c r="I205" s="16" t="s">
        <v>0</v>
      </c>
      <c r="J205" s="16">
        <v>0</v>
      </c>
      <c r="K205" s="16" t="s">
        <v>0</v>
      </c>
      <c r="L205" s="16">
        <v>1.2840000000000001E-2</v>
      </c>
      <c r="M205" s="16" t="s">
        <v>0</v>
      </c>
      <c r="N205" s="16">
        <v>0</v>
      </c>
      <c r="O205" s="16" t="s">
        <v>0</v>
      </c>
      <c r="P205" s="16">
        <v>0</v>
      </c>
      <c r="Q205" s="16" t="s">
        <v>0</v>
      </c>
      <c r="R205" s="16" t="s">
        <v>0</v>
      </c>
      <c r="S205" s="14" t="s">
        <v>0</v>
      </c>
      <c r="T205" s="22" t="s">
        <v>827</v>
      </c>
      <c r="U205" s="9"/>
      <c r="V205" s="12"/>
      <c r="X205" s="10"/>
      <c r="AB205" s="4"/>
    </row>
    <row r="206" spans="1:28" s="3" customFormat="1" ht="63" x14ac:dyDescent="0.25">
      <c r="A206" s="21" t="s">
        <v>830</v>
      </c>
      <c r="B206" s="42" t="s">
        <v>833</v>
      </c>
      <c r="C206" s="41" t="s">
        <v>832</v>
      </c>
      <c r="D206" s="16">
        <v>72.597624999999994</v>
      </c>
      <c r="E206" s="18">
        <v>72.588925000000003</v>
      </c>
      <c r="F206" s="16">
        <f>D206-E206</f>
        <v>8.6999999999903821E-3</v>
      </c>
      <c r="G206" s="17">
        <v>5.3999999999999994E-3</v>
      </c>
      <c r="H206" s="16">
        <f t="shared" si="67"/>
        <v>0</v>
      </c>
      <c r="I206" s="16">
        <v>5.3999999999999994E-3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>
        <f>F206-H206</f>
        <v>8.6999999999903821E-3</v>
      </c>
      <c r="R206" s="16">
        <f>H206-(I206+K206+M206)</f>
        <v>-5.3999999999999994E-3</v>
      </c>
      <c r="S206" s="14">
        <f>R206/(I206+K206+M206)</f>
        <v>-1</v>
      </c>
      <c r="T206" s="72" t="s">
        <v>831</v>
      </c>
      <c r="U206" s="9"/>
      <c r="V206" s="12"/>
      <c r="X206" s="10"/>
      <c r="AB206" s="4"/>
    </row>
    <row r="207" spans="1:28" s="3" customFormat="1" ht="47.25" x14ac:dyDescent="0.25">
      <c r="A207" s="21" t="s">
        <v>830</v>
      </c>
      <c r="B207" s="42" t="s">
        <v>829</v>
      </c>
      <c r="C207" s="41" t="s">
        <v>828</v>
      </c>
      <c r="D207" s="16">
        <v>57.346450000000004</v>
      </c>
      <c r="E207" s="18">
        <v>56.384594</v>
      </c>
      <c r="F207" s="16">
        <f>D207-E207</f>
        <v>0.96185600000000449</v>
      </c>
      <c r="G207" s="17">
        <v>0.78225600000000484</v>
      </c>
      <c r="H207" s="16">
        <f t="shared" si="67"/>
        <v>0.78555599999999992</v>
      </c>
      <c r="I207" s="16">
        <v>0.77325599999999994</v>
      </c>
      <c r="J207" s="16">
        <v>0.78105599999999997</v>
      </c>
      <c r="K207" s="16">
        <v>0</v>
      </c>
      <c r="L207" s="16">
        <v>4.4999999999999997E-3</v>
      </c>
      <c r="M207" s="16">
        <v>0</v>
      </c>
      <c r="N207" s="16">
        <v>0</v>
      </c>
      <c r="O207" s="16">
        <v>8.9999999999999993E-3</v>
      </c>
      <c r="P207" s="16">
        <v>0</v>
      </c>
      <c r="Q207" s="16">
        <f>F207-H207</f>
        <v>0.17630000000000456</v>
      </c>
      <c r="R207" s="16">
        <f>H207-(I207+K207+M207)</f>
        <v>1.2299999999999978E-2</v>
      </c>
      <c r="S207" s="14">
        <f>R207/(I207+K207+M207)</f>
        <v>1.5906763090102086E-2</v>
      </c>
      <c r="T207" s="22" t="s">
        <v>0</v>
      </c>
      <c r="U207" s="9"/>
      <c r="V207" s="12"/>
      <c r="X207" s="10"/>
      <c r="AB207" s="4"/>
    </row>
    <row r="208" spans="1:28" s="3" customFormat="1" x14ac:dyDescent="0.25">
      <c r="A208" s="35" t="s">
        <v>826</v>
      </c>
      <c r="B208" s="37" t="s">
        <v>825</v>
      </c>
      <c r="C208" s="33" t="s">
        <v>11</v>
      </c>
      <c r="D208" s="28">
        <f t="shared" ref="D208:R208" si="71">SUM(D209,D228,D243,D264,D271,D277,D278)</f>
        <v>8978.2088708007323</v>
      </c>
      <c r="E208" s="28">
        <f t="shared" si="71"/>
        <v>843.94153647999997</v>
      </c>
      <c r="F208" s="28">
        <f t="shared" si="71"/>
        <v>8134.2673343207307</v>
      </c>
      <c r="G208" s="28">
        <f t="shared" si="71"/>
        <v>354.44172388753225</v>
      </c>
      <c r="H208" s="28">
        <f t="shared" si="71"/>
        <v>163.87906027000002</v>
      </c>
      <c r="I208" s="28">
        <f t="shared" si="71"/>
        <v>28.147265943100003</v>
      </c>
      <c r="J208" s="28">
        <f t="shared" si="71"/>
        <v>33.293888409999994</v>
      </c>
      <c r="K208" s="28">
        <f t="shared" si="71"/>
        <v>13.220540417500001</v>
      </c>
      <c r="L208" s="28">
        <f t="shared" si="71"/>
        <v>72.824823899999998</v>
      </c>
      <c r="M208" s="28">
        <f t="shared" si="71"/>
        <v>60.730453543430002</v>
      </c>
      <c r="N208" s="28">
        <f t="shared" si="71"/>
        <v>57.76034795999999</v>
      </c>
      <c r="O208" s="28">
        <f t="shared" si="71"/>
        <v>252.34346398149998</v>
      </c>
      <c r="P208" s="28">
        <f t="shared" si="71"/>
        <v>0</v>
      </c>
      <c r="Q208" s="28">
        <f t="shared" si="71"/>
        <v>7975.5756301107313</v>
      </c>
      <c r="R208" s="28">
        <f t="shared" si="71"/>
        <v>56.59344430597001</v>
      </c>
      <c r="S208" s="27">
        <f>R208/(I208+K208+M208)</f>
        <v>0.55430371055458283</v>
      </c>
      <c r="T208" s="26" t="s">
        <v>0</v>
      </c>
      <c r="U208" s="9"/>
      <c r="V208" s="12"/>
      <c r="X208" s="10"/>
    </row>
    <row r="209" spans="1:24" s="3" customFormat="1" ht="31.5" x14ac:dyDescent="0.25">
      <c r="A209" s="35" t="s">
        <v>824</v>
      </c>
      <c r="B209" s="37" t="s">
        <v>97</v>
      </c>
      <c r="C209" s="33" t="s">
        <v>11</v>
      </c>
      <c r="D209" s="28">
        <f t="shared" ref="D209:R209" si="72">D210+D213+D216+D227</f>
        <v>581.98542637793219</v>
      </c>
      <c r="E209" s="28">
        <f t="shared" si="72"/>
        <v>363.44519578000001</v>
      </c>
      <c r="F209" s="28">
        <f t="shared" si="72"/>
        <v>218.54023059793221</v>
      </c>
      <c r="G209" s="28">
        <f t="shared" si="72"/>
        <v>50.076826407932202</v>
      </c>
      <c r="H209" s="28">
        <f t="shared" si="72"/>
        <v>43.343402810000001</v>
      </c>
      <c r="I209" s="28">
        <f t="shared" si="72"/>
        <v>7.33</v>
      </c>
      <c r="J209" s="28">
        <f t="shared" si="72"/>
        <v>4.7888780200000003</v>
      </c>
      <c r="K209" s="28">
        <f t="shared" si="72"/>
        <v>8.093</v>
      </c>
      <c r="L209" s="28">
        <f t="shared" si="72"/>
        <v>13.253426249999997</v>
      </c>
      <c r="M209" s="28">
        <f t="shared" si="72"/>
        <v>25.833826405929997</v>
      </c>
      <c r="N209" s="28">
        <f t="shared" si="72"/>
        <v>25.301098539999998</v>
      </c>
      <c r="O209" s="28">
        <f t="shared" si="72"/>
        <v>8.82</v>
      </c>
      <c r="P209" s="28">
        <f t="shared" si="72"/>
        <v>0</v>
      </c>
      <c r="Q209" s="28">
        <f t="shared" si="72"/>
        <v>175.19682778793219</v>
      </c>
      <c r="R209" s="28">
        <f t="shared" si="72"/>
        <v>2.0865764040699988</v>
      </c>
      <c r="S209" s="27">
        <f>R209/(I209+K209+M209)</f>
        <v>5.057530076453208E-2</v>
      </c>
      <c r="T209" s="26" t="s">
        <v>0</v>
      </c>
      <c r="U209" s="9"/>
      <c r="V209" s="12"/>
      <c r="X209" s="10"/>
    </row>
    <row r="210" spans="1:24" s="3" customFormat="1" ht="63" x14ac:dyDescent="0.25">
      <c r="A210" s="35" t="s">
        <v>823</v>
      </c>
      <c r="B210" s="37" t="s">
        <v>95</v>
      </c>
      <c r="C210" s="33" t="s">
        <v>11</v>
      </c>
      <c r="D210" s="28">
        <f t="shared" ref="D210:R210" si="73">SUM(D211:D212)</f>
        <v>0</v>
      </c>
      <c r="E210" s="28">
        <f t="shared" si="73"/>
        <v>0</v>
      </c>
      <c r="F210" s="28">
        <f t="shared" si="73"/>
        <v>0</v>
      </c>
      <c r="G210" s="28">
        <f t="shared" si="73"/>
        <v>0</v>
      </c>
      <c r="H210" s="28">
        <f t="shared" si="73"/>
        <v>0</v>
      </c>
      <c r="I210" s="28">
        <f t="shared" si="73"/>
        <v>0</v>
      </c>
      <c r="J210" s="28">
        <f t="shared" si="73"/>
        <v>0</v>
      </c>
      <c r="K210" s="28">
        <f t="shared" si="73"/>
        <v>0</v>
      </c>
      <c r="L210" s="28">
        <f t="shared" si="73"/>
        <v>0</v>
      </c>
      <c r="M210" s="28">
        <f t="shared" si="73"/>
        <v>0</v>
      </c>
      <c r="N210" s="28">
        <f t="shared" si="73"/>
        <v>0</v>
      </c>
      <c r="O210" s="28">
        <f t="shared" si="73"/>
        <v>0</v>
      </c>
      <c r="P210" s="28">
        <f t="shared" si="73"/>
        <v>0</v>
      </c>
      <c r="Q210" s="28">
        <f t="shared" si="73"/>
        <v>0</v>
      </c>
      <c r="R210" s="28">
        <f t="shared" si="73"/>
        <v>0</v>
      </c>
      <c r="S210" s="27">
        <v>0</v>
      </c>
      <c r="T210" s="26" t="s">
        <v>0</v>
      </c>
      <c r="U210" s="9"/>
      <c r="V210" s="12"/>
      <c r="X210" s="10"/>
    </row>
    <row r="211" spans="1:24" s="3" customFormat="1" ht="31.5" x14ac:dyDescent="0.25">
      <c r="A211" s="35" t="s">
        <v>822</v>
      </c>
      <c r="B211" s="37" t="s">
        <v>87</v>
      </c>
      <c r="C211" s="33" t="s">
        <v>11</v>
      </c>
      <c r="D211" s="28">
        <v>0</v>
      </c>
      <c r="E211" s="28">
        <v>0</v>
      </c>
      <c r="F211" s="28">
        <v>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8">
        <v>0</v>
      </c>
      <c r="O211" s="28">
        <v>0</v>
      </c>
      <c r="P211" s="28">
        <v>0</v>
      </c>
      <c r="Q211" s="28">
        <v>0</v>
      </c>
      <c r="R211" s="28">
        <v>0</v>
      </c>
      <c r="S211" s="27">
        <v>0</v>
      </c>
      <c r="T211" s="26" t="s">
        <v>0</v>
      </c>
      <c r="U211" s="9"/>
      <c r="V211" s="12"/>
      <c r="X211" s="10"/>
    </row>
    <row r="212" spans="1:24" s="3" customFormat="1" ht="31.5" x14ac:dyDescent="0.25">
      <c r="A212" s="35" t="s">
        <v>821</v>
      </c>
      <c r="B212" s="37" t="s">
        <v>87</v>
      </c>
      <c r="C212" s="33" t="s">
        <v>11</v>
      </c>
      <c r="D212" s="28">
        <v>0</v>
      </c>
      <c r="E212" s="28">
        <v>0</v>
      </c>
      <c r="F212" s="28">
        <v>0</v>
      </c>
      <c r="G212" s="28">
        <v>0</v>
      </c>
      <c r="H212" s="28">
        <v>0</v>
      </c>
      <c r="I212" s="28">
        <v>0</v>
      </c>
      <c r="J212" s="28">
        <v>0</v>
      </c>
      <c r="K212" s="28">
        <v>0</v>
      </c>
      <c r="L212" s="28">
        <v>0</v>
      </c>
      <c r="M212" s="28">
        <v>0</v>
      </c>
      <c r="N212" s="28">
        <v>0</v>
      </c>
      <c r="O212" s="28">
        <v>0</v>
      </c>
      <c r="P212" s="28">
        <v>0</v>
      </c>
      <c r="Q212" s="28">
        <v>0</v>
      </c>
      <c r="R212" s="28">
        <v>0</v>
      </c>
      <c r="S212" s="27">
        <v>0</v>
      </c>
      <c r="T212" s="26" t="s">
        <v>0</v>
      </c>
      <c r="U212" s="9"/>
      <c r="V212" s="12"/>
      <c r="X212" s="10"/>
    </row>
    <row r="213" spans="1:24" s="3" customFormat="1" ht="47.25" x14ac:dyDescent="0.25">
      <c r="A213" s="35" t="s">
        <v>820</v>
      </c>
      <c r="B213" s="37" t="s">
        <v>91</v>
      </c>
      <c r="C213" s="33" t="s">
        <v>11</v>
      </c>
      <c r="D213" s="28">
        <f t="shared" ref="D213:R213" si="74">SUM(D214)</f>
        <v>0</v>
      </c>
      <c r="E213" s="28">
        <f t="shared" si="74"/>
        <v>0</v>
      </c>
      <c r="F213" s="28">
        <f t="shared" si="74"/>
        <v>0</v>
      </c>
      <c r="G213" s="28">
        <f t="shared" si="74"/>
        <v>0</v>
      </c>
      <c r="H213" s="28">
        <f t="shared" si="74"/>
        <v>0</v>
      </c>
      <c r="I213" s="28">
        <f t="shared" si="74"/>
        <v>0</v>
      </c>
      <c r="J213" s="28">
        <f t="shared" si="74"/>
        <v>0</v>
      </c>
      <c r="K213" s="28">
        <f t="shared" si="74"/>
        <v>0</v>
      </c>
      <c r="L213" s="28">
        <f t="shared" si="74"/>
        <v>0</v>
      </c>
      <c r="M213" s="28">
        <f t="shared" si="74"/>
        <v>0</v>
      </c>
      <c r="N213" s="28">
        <f t="shared" si="74"/>
        <v>0</v>
      </c>
      <c r="O213" s="28">
        <f t="shared" si="74"/>
        <v>0</v>
      </c>
      <c r="P213" s="28">
        <f t="shared" si="74"/>
        <v>0</v>
      </c>
      <c r="Q213" s="28">
        <f t="shared" si="74"/>
        <v>0</v>
      </c>
      <c r="R213" s="28">
        <f t="shared" si="74"/>
        <v>0</v>
      </c>
      <c r="S213" s="27">
        <v>0</v>
      </c>
      <c r="T213" s="26" t="s">
        <v>0</v>
      </c>
      <c r="U213" s="9"/>
      <c r="V213" s="12"/>
      <c r="X213" s="10"/>
    </row>
    <row r="214" spans="1:24" s="3" customFormat="1" ht="31.5" x14ac:dyDescent="0.25">
      <c r="A214" s="35" t="s">
        <v>819</v>
      </c>
      <c r="B214" s="37" t="s">
        <v>87</v>
      </c>
      <c r="C214" s="33" t="s">
        <v>11</v>
      </c>
      <c r="D214" s="28">
        <v>0</v>
      </c>
      <c r="E214" s="28">
        <v>0</v>
      </c>
      <c r="F214" s="28">
        <v>0</v>
      </c>
      <c r="G214" s="28">
        <v>0</v>
      </c>
      <c r="H214" s="28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28">
        <v>0</v>
      </c>
      <c r="O214" s="28">
        <v>0</v>
      </c>
      <c r="P214" s="28">
        <v>0</v>
      </c>
      <c r="Q214" s="28">
        <v>0</v>
      </c>
      <c r="R214" s="28">
        <v>0</v>
      </c>
      <c r="S214" s="27">
        <v>0</v>
      </c>
      <c r="T214" s="26" t="s">
        <v>0</v>
      </c>
      <c r="U214" s="9"/>
      <c r="V214" s="12"/>
      <c r="X214" s="10"/>
    </row>
    <row r="215" spans="1:24" s="3" customFormat="1" ht="31.5" x14ac:dyDescent="0.25">
      <c r="A215" s="35" t="s">
        <v>818</v>
      </c>
      <c r="B215" s="37" t="s">
        <v>87</v>
      </c>
      <c r="C215" s="33" t="s">
        <v>11</v>
      </c>
      <c r="D215" s="28">
        <v>0</v>
      </c>
      <c r="E215" s="28">
        <v>0</v>
      </c>
      <c r="F215" s="28">
        <v>0</v>
      </c>
      <c r="G215" s="28">
        <v>0</v>
      </c>
      <c r="H215" s="28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28">
        <v>0</v>
      </c>
      <c r="O215" s="28">
        <v>0</v>
      </c>
      <c r="P215" s="28">
        <v>0</v>
      </c>
      <c r="Q215" s="28">
        <v>0</v>
      </c>
      <c r="R215" s="28">
        <v>0</v>
      </c>
      <c r="S215" s="27">
        <v>0</v>
      </c>
      <c r="T215" s="26" t="s">
        <v>0</v>
      </c>
      <c r="U215" s="9"/>
      <c r="V215" s="12"/>
      <c r="X215" s="10"/>
    </row>
    <row r="216" spans="1:24" s="3" customFormat="1" ht="47.25" x14ac:dyDescent="0.25">
      <c r="A216" s="35" t="s">
        <v>817</v>
      </c>
      <c r="B216" s="37" t="s">
        <v>85</v>
      </c>
      <c r="C216" s="33" t="s">
        <v>11</v>
      </c>
      <c r="D216" s="28">
        <f t="shared" ref="D216:R216" si="75">SUM(D217:D221)</f>
        <v>581.98542637793219</v>
      </c>
      <c r="E216" s="28">
        <f t="shared" si="75"/>
        <v>363.44519578000001</v>
      </c>
      <c r="F216" s="28">
        <f t="shared" si="75"/>
        <v>218.54023059793221</v>
      </c>
      <c r="G216" s="28">
        <f t="shared" si="75"/>
        <v>50.076826407932202</v>
      </c>
      <c r="H216" s="28">
        <f t="shared" si="75"/>
        <v>43.343402810000001</v>
      </c>
      <c r="I216" s="28">
        <f t="shared" si="75"/>
        <v>7.33</v>
      </c>
      <c r="J216" s="28">
        <f t="shared" si="75"/>
        <v>4.7888780200000003</v>
      </c>
      <c r="K216" s="28">
        <f t="shared" si="75"/>
        <v>8.093</v>
      </c>
      <c r="L216" s="28">
        <f t="shared" si="75"/>
        <v>13.253426249999997</v>
      </c>
      <c r="M216" s="28">
        <f t="shared" si="75"/>
        <v>25.833826405929997</v>
      </c>
      <c r="N216" s="28">
        <f t="shared" si="75"/>
        <v>25.301098539999998</v>
      </c>
      <c r="O216" s="28">
        <f t="shared" si="75"/>
        <v>8.82</v>
      </c>
      <c r="P216" s="28">
        <f t="shared" si="75"/>
        <v>0</v>
      </c>
      <c r="Q216" s="28">
        <f t="shared" si="75"/>
        <v>175.19682778793219</v>
      </c>
      <c r="R216" s="28">
        <f t="shared" si="75"/>
        <v>2.0865764040699988</v>
      </c>
      <c r="S216" s="27">
        <f>R216/(I216+K216+M216)</f>
        <v>5.057530076453208E-2</v>
      </c>
      <c r="T216" s="26" t="s">
        <v>0</v>
      </c>
      <c r="U216" s="9"/>
      <c r="V216" s="12"/>
      <c r="X216" s="10"/>
    </row>
    <row r="217" spans="1:24" s="3" customFormat="1" ht="63" x14ac:dyDescent="0.25">
      <c r="A217" s="35" t="s">
        <v>816</v>
      </c>
      <c r="B217" s="37" t="s">
        <v>83</v>
      </c>
      <c r="C217" s="33" t="s">
        <v>11</v>
      </c>
      <c r="D217" s="28">
        <v>0</v>
      </c>
      <c r="E217" s="28">
        <v>0</v>
      </c>
      <c r="F217" s="28">
        <v>0</v>
      </c>
      <c r="G217" s="28">
        <v>0</v>
      </c>
      <c r="H217" s="28">
        <v>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28">
        <v>0</v>
      </c>
      <c r="O217" s="28">
        <v>0</v>
      </c>
      <c r="P217" s="28">
        <v>0</v>
      </c>
      <c r="Q217" s="28">
        <v>0</v>
      </c>
      <c r="R217" s="28">
        <v>0</v>
      </c>
      <c r="S217" s="27">
        <v>0</v>
      </c>
      <c r="T217" s="26" t="s">
        <v>0</v>
      </c>
      <c r="U217" s="9"/>
      <c r="V217" s="12"/>
      <c r="X217" s="10"/>
    </row>
    <row r="218" spans="1:24" s="3" customFormat="1" ht="63" x14ac:dyDescent="0.25">
      <c r="A218" s="35" t="s">
        <v>815</v>
      </c>
      <c r="B218" s="37" t="s">
        <v>81</v>
      </c>
      <c r="C218" s="33" t="s">
        <v>11</v>
      </c>
      <c r="D218" s="28">
        <v>0</v>
      </c>
      <c r="E218" s="28">
        <v>0</v>
      </c>
      <c r="F218" s="28">
        <v>0</v>
      </c>
      <c r="G218" s="28">
        <v>0</v>
      </c>
      <c r="H218" s="28">
        <v>0</v>
      </c>
      <c r="I218" s="28">
        <v>0</v>
      </c>
      <c r="J218" s="28">
        <v>0</v>
      </c>
      <c r="K218" s="28">
        <v>0</v>
      </c>
      <c r="L218" s="28">
        <v>0</v>
      </c>
      <c r="M218" s="28">
        <v>0</v>
      </c>
      <c r="N218" s="28">
        <v>0</v>
      </c>
      <c r="O218" s="28">
        <v>0</v>
      </c>
      <c r="P218" s="28">
        <v>0</v>
      </c>
      <c r="Q218" s="28">
        <v>0</v>
      </c>
      <c r="R218" s="28">
        <v>0</v>
      </c>
      <c r="S218" s="27">
        <v>0</v>
      </c>
      <c r="T218" s="26" t="s">
        <v>0</v>
      </c>
      <c r="U218" s="9"/>
      <c r="V218" s="12"/>
      <c r="X218" s="10"/>
    </row>
    <row r="219" spans="1:24" s="3" customFormat="1" ht="63" x14ac:dyDescent="0.25">
      <c r="A219" s="35" t="s">
        <v>814</v>
      </c>
      <c r="B219" s="37" t="s">
        <v>79</v>
      </c>
      <c r="C219" s="33" t="s">
        <v>11</v>
      </c>
      <c r="D219" s="28">
        <v>0</v>
      </c>
      <c r="E219" s="28">
        <v>0</v>
      </c>
      <c r="F219" s="28">
        <v>0</v>
      </c>
      <c r="G219" s="28">
        <v>0</v>
      </c>
      <c r="H219" s="28">
        <v>0</v>
      </c>
      <c r="I219" s="28">
        <v>0</v>
      </c>
      <c r="J219" s="28">
        <v>0</v>
      </c>
      <c r="K219" s="28">
        <v>0</v>
      </c>
      <c r="L219" s="28">
        <v>0</v>
      </c>
      <c r="M219" s="28">
        <v>0</v>
      </c>
      <c r="N219" s="28">
        <v>0</v>
      </c>
      <c r="O219" s="28">
        <v>0</v>
      </c>
      <c r="P219" s="28">
        <v>0</v>
      </c>
      <c r="Q219" s="28">
        <v>0</v>
      </c>
      <c r="R219" s="28">
        <v>0</v>
      </c>
      <c r="S219" s="27">
        <v>0</v>
      </c>
      <c r="T219" s="26" t="s">
        <v>0</v>
      </c>
      <c r="U219" s="9"/>
      <c r="V219" s="12"/>
      <c r="X219" s="10"/>
    </row>
    <row r="220" spans="1:24" s="3" customFormat="1" ht="78.75" x14ac:dyDescent="0.25">
      <c r="A220" s="35" t="s">
        <v>813</v>
      </c>
      <c r="B220" s="37" t="s">
        <v>77</v>
      </c>
      <c r="C220" s="33" t="s">
        <v>11</v>
      </c>
      <c r="D220" s="28">
        <v>0</v>
      </c>
      <c r="E220" s="28">
        <v>0</v>
      </c>
      <c r="F220" s="28">
        <v>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28">
        <v>0</v>
      </c>
      <c r="O220" s="28">
        <v>0</v>
      </c>
      <c r="P220" s="28">
        <v>0</v>
      </c>
      <c r="Q220" s="28">
        <v>0</v>
      </c>
      <c r="R220" s="28">
        <v>0</v>
      </c>
      <c r="S220" s="27">
        <v>0</v>
      </c>
      <c r="T220" s="26" t="s">
        <v>0</v>
      </c>
      <c r="U220" s="9"/>
      <c r="V220" s="12"/>
      <c r="X220" s="10"/>
    </row>
    <row r="221" spans="1:24" s="3" customFormat="1" ht="78.75" x14ac:dyDescent="0.25">
      <c r="A221" s="35" t="s">
        <v>803</v>
      </c>
      <c r="B221" s="37" t="s">
        <v>76</v>
      </c>
      <c r="C221" s="33" t="s">
        <v>11</v>
      </c>
      <c r="D221" s="28">
        <f t="shared" ref="D221:R221" si="76">SUM(D222:D226)</f>
        <v>581.98542637793219</v>
      </c>
      <c r="E221" s="28">
        <f t="shared" si="76"/>
        <v>363.44519578000001</v>
      </c>
      <c r="F221" s="28">
        <f t="shared" si="76"/>
        <v>218.54023059793221</v>
      </c>
      <c r="G221" s="28">
        <f t="shared" si="76"/>
        <v>50.076826407932202</v>
      </c>
      <c r="H221" s="28">
        <f t="shared" si="76"/>
        <v>43.343402810000001</v>
      </c>
      <c r="I221" s="28">
        <f t="shared" si="76"/>
        <v>7.33</v>
      </c>
      <c r="J221" s="28">
        <f t="shared" si="76"/>
        <v>4.7888780200000003</v>
      </c>
      <c r="K221" s="28">
        <f t="shared" si="76"/>
        <v>8.093</v>
      </c>
      <c r="L221" s="28">
        <f t="shared" si="76"/>
        <v>13.253426249999997</v>
      </c>
      <c r="M221" s="28">
        <f t="shared" si="76"/>
        <v>25.833826405929997</v>
      </c>
      <c r="N221" s="28">
        <f t="shared" si="76"/>
        <v>25.301098539999998</v>
      </c>
      <c r="O221" s="28">
        <f t="shared" si="76"/>
        <v>8.82</v>
      </c>
      <c r="P221" s="28">
        <f t="shared" si="76"/>
        <v>0</v>
      </c>
      <c r="Q221" s="28">
        <f t="shared" si="76"/>
        <v>175.19682778793219</v>
      </c>
      <c r="R221" s="28">
        <f t="shared" si="76"/>
        <v>2.0865764040699988</v>
      </c>
      <c r="S221" s="27">
        <f>R221/(I221+K221+M221)</f>
        <v>5.057530076453208E-2</v>
      </c>
      <c r="T221" s="26" t="s">
        <v>0</v>
      </c>
      <c r="U221" s="9"/>
      <c r="V221" s="12"/>
      <c r="X221" s="10"/>
    </row>
    <row r="222" spans="1:24" s="3" customFormat="1" ht="63" x14ac:dyDescent="0.25">
      <c r="A222" s="43" t="s">
        <v>803</v>
      </c>
      <c r="B222" s="50" t="s">
        <v>812</v>
      </c>
      <c r="C222" s="49" t="s">
        <v>811</v>
      </c>
      <c r="D222" s="16">
        <v>193.64725942999999</v>
      </c>
      <c r="E222" s="16">
        <v>193.98569015999999</v>
      </c>
      <c r="F222" s="16">
        <f>D222-E222</f>
        <v>-0.3384307299999989</v>
      </c>
      <c r="G222" s="17">
        <v>-0.33843072999999996</v>
      </c>
      <c r="H222" s="16">
        <f>J222+L222+N222+P222</f>
        <v>-0.33843074000000001</v>
      </c>
      <c r="I222" s="16">
        <v>0</v>
      </c>
      <c r="J222" s="16">
        <v>-0.33843074000000001</v>
      </c>
      <c r="K222" s="16">
        <v>0</v>
      </c>
      <c r="L222" s="16">
        <v>0</v>
      </c>
      <c r="M222" s="16">
        <v>-0.33843072999999996</v>
      </c>
      <c r="N222" s="16">
        <v>0</v>
      </c>
      <c r="O222" s="16">
        <v>0</v>
      </c>
      <c r="P222" s="16">
        <v>0</v>
      </c>
      <c r="Q222" s="16">
        <f>F222-H222</f>
        <v>1.0000001104959466E-8</v>
      </c>
      <c r="R222" s="16">
        <f>H222-(I222+K222+M222)</f>
        <v>-1.0000000050247593E-8</v>
      </c>
      <c r="S222" s="14">
        <f>R222/(I222+K222+M222)</f>
        <v>2.9548144313749504E-8</v>
      </c>
      <c r="T222" s="22" t="s">
        <v>810</v>
      </c>
      <c r="U222" s="9"/>
      <c r="V222" s="12"/>
      <c r="X222" s="10"/>
    </row>
    <row r="223" spans="1:24" s="3" customFormat="1" ht="63" x14ac:dyDescent="0.25">
      <c r="A223" s="43" t="s">
        <v>803</v>
      </c>
      <c r="B223" s="50" t="s">
        <v>809</v>
      </c>
      <c r="C223" s="49" t="s">
        <v>808</v>
      </c>
      <c r="D223" s="16">
        <v>15.584263885932202</v>
      </c>
      <c r="E223" s="16">
        <v>0</v>
      </c>
      <c r="F223" s="16">
        <f>D223-E223</f>
        <v>15.584263885932202</v>
      </c>
      <c r="G223" s="17">
        <v>15.584263885932202</v>
      </c>
      <c r="H223" s="16">
        <f>J223+L223+N223+P223</f>
        <v>10.58279565</v>
      </c>
      <c r="I223" s="16">
        <v>0</v>
      </c>
      <c r="J223" s="16">
        <v>0.34553751999999999</v>
      </c>
      <c r="K223" s="16">
        <v>0</v>
      </c>
      <c r="L223" s="16">
        <v>3.0651910500000001</v>
      </c>
      <c r="M223" s="16">
        <v>15.16426388593</v>
      </c>
      <c r="N223" s="16">
        <v>7.1720670799999997</v>
      </c>
      <c r="O223" s="16">
        <v>0.42</v>
      </c>
      <c r="P223" s="16">
        <v>0</v>
      </c>
      <c r="Q223" s="16">
        <f>F223-H223</f>
        <v>5.0014682359322027</v>
      </c>
      <c r="R223" s="16">
        <f>H223-(I223+K223+M223)</f>
        <v>-4.5814682359300001</v>
      </c>
      <c r="S223" s="14">
        <f>R223/(I223+K223+M223)</f>
        <v>-0.30212269256148111</v>
      </c>
      <c r="T223" s="22" t="s">
        <v>736</v>
      </c>
      <c r="U223" s="9"/>
      <c r="V223" s="12"/>
      <c r="X223" s="10"/>
    </row>
    <row r="224" spans="1:24" s="3" customFormat="1" ht="63" x14ac:dyDescent="0.25">
      <c r="A224" s="43" t="s">
        <v>803</v>
      </c>
      <c r="B224" s="50" t="s">
        <v>807</v>
      </c>
      <c r="C224" s="49" t="s">
        <v>806</v>
      </c>
      <c r="D224" s="16">
        <v>35.102000000000004</v>
      </c>
      <c r="E224" s="16">
        <v>0</v>
      </c>
      <c r="F224" s="16">
        <f>D224-E224</f>
        <v>35.102000000000004</v>
      </c>
      <c r="G224" s="17">
        <v>3.84</v>
      </c>
      <c r="H224" s="16">
        <f>J224+L224+N224+P224</f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3.84</v>
      </c>
      <c r="P224" s="16">
        <v>0</v>
      </c>
      <c r="Q224" s="16">
        <f>F224-H224</f>
        <v>35.102000000000004</v>
      </c>
      <c r="R224" s="16">
        <f>H224-(I224+K224+M224)</f>
        <v>0</v>
      </c>
      <c r="S224" s="14">
        <v>0</v>
      </c>
      <c r="T224" s="22" t="s">
        <v>0</v>
      </c>
      <c r="U224" s="9"/>
      <c r="V224" s="12"/>
      <c r="X224" s="10"/>
    </row>
    <row r="225" spans="1:24" s="3" customFormat="1" ht="47.25" x14ac:dyDescent="0.25">
      <c r="A225" s="43" t="s">
        <v>803</v>
      </c>
      <c r="B225" s="50" t="s">
        <v>805</v>
      </c>
      <c r="C225" s="49" t="s">
        <v>804</v>
      </c>
      <c r="D225" s="16">
        <v>96</v>
      </c>
      <c r="E225" s="16">
        <v>0</v>
      </c>
      <c r="F225" s="16">
        <f>D225-E225</f>
        <v>96</v>
      </c>
      <c r="G225" s="17">
        <v>4.5599999999999996</v>
      </c>
      <c r="H225" s="16">
        <f>J225+L225+N225+P225</f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4.5599999999999996</v>
      </c>
      <c r="P225" s="16">
        <v>0</v>
      </c>
      <c r="Q225" s="16">
        <f>F225-H225</f>
        <v>96</v>
      </c>
      <c r="R225" s="16">
        <f>H225-(I225+K225+M225)</f>
        <v>0</v>
      </c>
      <c r="S225" s="14">
        <v>0</v>
      </c>
      <c r="T225" s="22" t="s">
        <v>0</v>
      </c>
      <c r="U225" s="9"/>
      <c r="V225" s="12"/>
      <c r="X225" s="10"/>
    </row>
    <row r="226" spans="1:24" s="3" customFormat="1" ht="59.25" customHeight="1" x14ac:dyDescent="0.25">
      <c r="A226" s="56" t="s">
        <v>803</v>
      </c>
      <c r="B226" s="71" t="s">
        <v>802</v>
      </c>
      <c r="C226" s="19" t="s">
        <v>801</v>
      </c>
      <c r="D226" s="16">
        <v>241.651903062</v>
      </c>
      <c r="E226" s="18">
        <v>169.45950562000002</v>
      </c>
      <c r="F226" s="16">
        <f>D226-E226</f>
        <v>72.192397441999987</v>
      </c>
      <c r="G226" s="17">
        <v>26.430993252</v>
      </c>
      <c r="H226" s="16">
        <f>J226+L226+N226+P226</f>
        <v>33.099037899999999</v>
      </c>
      <c r="I226" s="16">
        <v>7.33</v>
      </c>
      <c r="J226" s="16">
        <v>4.7817712400000003</v>
      </c>
      <c r="K226" s="16">
        <v>8.093</v>
      </c>
      <c r="L226" s="16">
        <v>10.188235199999998</v>
      </c>
      <c r="M226" s="16">
        <v>11.00799325</v>
      </c>
      <c r="N226" s="16">
        <v>18.12903146</v>
      </c>
      <c r="O226" s="18">
        <v>0</v>
      </c>
      <c r="P226" s="16">
        <v>0</v>
      </c>
      <c r="Q226" s="16">
        <f>F226-H226</f>
        <v>39.093359541999988</v>
      </c>
      <c r="R226" s="16">
        <f>H226-(I226+K226+M226)</f>
        <v>6.6680446499999988</v>
      </c>
      <c r="S226" s="14">
        <f>R226/(I226+K226+M226)</f>
        <v>0.25228127399260708</v>
      </c>
      <c r="T226" s="22" t="s">
        <v>800</v>
      </c>
      <c r="U226" s="9"/>
      <c r="V226" s="12"/>
      <c r="X226" s="10"/>
    </row>
    <row r="227" spans="1:24" s="3" customFormat="1" ht="31.5" x14ac:dyDescent="0.25">
      <c r="A227" s="35" t="s">
        <v>799</v>
      </c>
      <c r="B227" s="37" t="s">
        <v>71</v>
      </c>
      <c r="C227" s="33" t="s">
        <v>11</v>
      </c>
      <c r="D227" s="28">
        <v>0</v>
      </c>
      <c r="E227" s="28">
        <v>0</v>
      </c>
      <c r="F227" s="28">
        <v>0</v>
      </c>
      <c r="G227" s="28">
        <v>0</v>
      </c>
      <c r="H227" s="28">
        <v>0</v>
      </c>
      <c r="I227" s="28">
        <v>0</v>
      </c>
      <c r="J227" s="28">
        <v>0</v>
      </c>
      <c r="K227" s="28">
        <v>0</v>
      </c>
      <c r="L227" s="28">
        <v>0</v>
      </c>
      <c r="M227" s="28">
        <v>0</v>
      </c>
      <c r="N227" s="28">
        <v>0</v>
      </c>
      <c r="O227" s="28">
        <v>0</v>
      </c>
      <c r="P227" s="28">
        <v>0</v>
      </c>
      <c r="Q227" s="28">
        <v>0</v>
      </c>
      <c r="R227" s="28">
        <v>0</v>
      </c>
      <c r="S227" s="27">
        <v>0</v>
      </c>
      <c r="T227" s="26" t="s">
        <v>0</v>
      </c>
      <c r="U227" s="9"/>
      <c r="V227" s="12"/>
      <c r="X227" s="10"/>
    </row>
    <row r="228" spans="1:24" s="3" customFormat="1" ht="47.25" x14ac:dyDescent="0.25">
      <c r="A228" s="35" t="s">
        <v>798</v>
      </c>
      <c r="B228" s="37" t="s">
        <v>69</v>
      </c>
      <c r="C228" s="33" t="s">
        <v>11</v>
      </c>
      <c r="D228" s="28">
        <f t="shared" ref="D228:R228" si="77">D229+D231+D232+D234</f>
        <v>344.15934697199998</v>
      </c>
      <c r="E228" s="28">
        <f t="shared" si="77"/>
        <v>42.728653190000003</v>
      </c>
      <c r="F228" s="28">
        <f t="shared" si="77"/>
        <v>301.43069378199999</v>
      </c>
      <c r="G228" s="28">
        <f t="shared" si="77"/>
        <v>59.241806000000004</v>
      </c>
      <c r="H228" s="28">
        <f t="shared" si="77"/>
        <v>24.146065960000001</v>
      </c>
      <c r="I228" s="28">
        <f t="shared" si="77"/>
        <v>0</v>
      </c>
      <c r="J228" s="28">
        <f t="shared" si="77"/>
        <v>1.8474755699999998</v>
      </c>
      <c r="K228" s="28">
        <f t="shared" si="77"/>
        <v>3.3939499999999998</v>
      </c>
      <c r="L228" s="28">
        <f t="shared" si="77"/>
        <v>2.0183333300000004</v>
      </c>
      <c r="M228" s="28">
        <f t="shared" si="77"/>
        <v>20.346200000000003</v>
      </c>
      <c r="N228" s="28">
        <f t="shared" si="77"/>
        <v>20.28025706</v>
      </c>
      <c r="O228" s="28">
        <f t="shared" si="77"/>
        <v>35.501656000000004</v>
      </c>
      <c r="P228" s="28">
        <f t="shared" si="77"/>
        <v>0</v>
      </c>
      <c r="Q228" s="28">
        <f t="shared" si="77"/>
        <v>278.42462782200005</v>
      </c>
      <c r="R228" s="28">
        <f t="shared" si="77"/>
        <v>-0.73408403999999949</v>
      </c>
      <c r="S228" s="27">
        <f>R228/(I228+K228+M228)</f>
        <v>-3.0921626021739517E-2</v>
      </c>
      <c r="T228" s="26" t="s">
        <v>0</v>
      </c>
      <c r="U228" s="9"/>
      <c r="V228" s="12"/>
      <c r="X228" s="10"/>
    </row>
    <row r="229" spans="1:24" s="3" customFormat="1" ht="31.5" x14ac:dyDescent="0.25">
      <c r="A229" s="35" t="s">
        <v>797</v>
      </c>
      <c r="B229" s="37" t="s">
        <v>67</v>
      </c>
      <c r="C229" s="33" t="s">
        <v>11</v>
      </c>
      <c r="D229" s="28">
        <f t="shared" ref="D229:R229" si="78">SUM(D230)</f>
        <v>10.095599999999999</v>
      </c>
      <c r="E229" s="28">
        <f t="shared" si="78"/>
        <v>0</v>
      </c>
      <c r="F229" s="28">
        <f t="shared" si="78"/>
        <v>10.095599999999999</v>
      </c>
      <c r="G229" s="28">
        <f t="shared" si="78"/>
        <v>1.5495999999999999</v>
      </c>
      <c r="H229" s="28">
        <f t="shared" si="78"/>
        <v>0</v>
      </c>
      <c r="I229" s="28">
        <f t="shared" si="78"/>
        <v>0</v>
      </c>
      <c r="J229" s="28">
        <f t="shared" si="78"/>
        <v>0</v>
      </c>
      <c r="K229" s="28">
        <f t="shared" si="78"/>
        <v>0</v>
      </c>
      <c r="L229" s="28">
        <f t="shared" si="78"/>
        <v>0</v>
      </c>
      <c r="M229" s="28">
        <f t="shared" si="78"/>
        <v>1.5495999999999999</v>
      </c>
      <c r="N229" s="28">
        <f t="shared" si="78"/>
        <v>0</v>
      </c>
      <c r="O229" s="28">
        <f t="shared" si="78"/>
        <v>0</v>
      </c>
      <c r="P229" s="28">
        <f t="shared" si="78"/>
        <v>0</v>
      </c>
      <c r="Q229" s="28">
        <f t="shared" si="78"/>
        <v>10.095599999999999</v>
      </c>
      <c r="R229" s="28">
        <f t="shared" si="78"/>
        <v>-1.5495999999999999</v>
      </c>
      <c r="S229" s="27">
        <f>R229/(I229+K229+M229)</f>
        <v>-1</v>
      </c>
      <c r="T229" s="26" t="s">
        <v>0</v>
      </c>
      <c r="U229" s="9"/>
      <c r="V229" s="12"/>
      <c r="X229" s="10"/>
    </row>
    <row r="230" spans="1:24" s="3" customFormat="1" ht="31.5" x14ac:dyDescent="0.25">
      <c r="A230" s="43" t="s">
        <v>797</v>
      </c>
      <c r="B230" s="50" t="s">
        <v>796</v>
      </c>
      <c r="C230" s="49" t="s">
        <v>795</v>
      </c>
      <c r="D230" s="16">
        <v>10.095599999999999</v>
      </c>
      <c r="E230" s="16">
        <v>0</v>
      </c>
      <c r="F230" s="16">
        <f>D230-E230</f>
        <v>10.095599999999999</v>
      </c>
      <c r="G230" s="17">
        <v>1.5495999999999999</v>
      </c>
      <c r="H230" s="16">
        <f>J230+L230+N230+P230</f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1.5495999999999999</v>
      </c>
      <c r="N230" s="16">
        <v>0</v>
      </c>
      <c r="O230" s="16">
        <v>0</v>
      </c>
      <c r="P230" s="16">
        <v>0</v>
      </c>
      <c r="Q230" s="16">
        <f>F230-H230</f>
        <v>10.095599999999999</v>
      </c>
      <c r="R230" s="16">
        <f>H230-(I230+K230+M230)</f>
        <v>-1.5495999999999999</v>
      </c>
      <c r="S230" s="14">
        <f>R230/(I230+K230+M230)</f>
        <v>-1</v>
      </c>
      <c r="T230" s="22" t="s">
        <v>790</v>
      </c>
      <c r="U230" s="9"/>
      <c r="V230" s="12"/>
      <c r="X230" s="10"/>
    </row>
    <row r="231" spans="1:24" s="3" customFormat="1" ht="27" customHeight="1" x14ac:dyDescent="0.25">
      <c r="A231" s="35" t="s">
        <v>794</v>
      </c>
      <c r="B231" s="37" t="s">
        <v>66</v>
      </c>
      <c r="C231" s="33" t="s">
        <v>11</v>
      </c>
      <c r="D231" s="28">
        <v>0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28">
        <v>0</v>
      </c>
      <c r="K231" s="28">
        <v>0</v>
      </c>
      <c r="L231" s="28">
        <v>0</v>
      </c>
      <c r="M231" s="28">
        <v>0</v>
      </c>
      <c r="N231" s="28">
        <v>0</v>
      </c>
      <c r="O231" s="28">
        <v>0</v>
      </c>
      <c r="P231" s="28">
        <v>0</v>
      </c>
      <c r="Q231" s="28">
        <v>0</v>
      </c>
      <c r="R231" s="28">
        <v>0</v>
      </c>
      <c r="S231" s="27">
        <v>0</v>
      </c>
      <c r="T231" s="26" t="s">
        <v>790</v>
      </c>
      <c r="U231" s="9"/>
      <c r="V231" s="12"/>
      <c r="X231" s="10"/>
    </row>
    <row r="232" spans="1:24" s="3" customFormat="1" ht="30.75" customHeight="1" x14ac:dyDescent="0.25">
      <c r="A232" s="35" t="s">
        <v>793</v>
      </c>
      <c r="B232" s="37" t="s">
        <v>60</v>
      </c>
      <c r="C232" s="33" t="s">
        <v>11</v>
      </c>
      <c r="D232" s="28">
        <f t="shared" ref="D232:R232" si="79">SUM(D233)</f>
        <v>16.1356</v>
      </c>
      <c r="E232" s="28">
        <f t="shared" si="79"/>
        <v>0</v>
      </c>
      <c r="F232" s="28">
        <f t="shared" si="79"/>
        <v>16.1356</v>
      </c>
      <c r="G232" s="28">
        <f t="shared" si="79"/>
        <v>1.7363999999999999</v>
      </c>
      <c r="H232" s="28">
        <f t="shared" si="79"/>
        <v>0</v>
      </c>
      <c r="I232" s="28">
        <f t="shared" si="79"/>
        <v>0</v>
      </c>
      <c r="J232" s="28">
        <f t="shared" si="79"/>
        <v>0</v>
      </c>
      <c r="K232" s="28">
        <f t="shared" si="79"/>
        <v>0</v>
      </c>
      <c r="L232" s="28">
        <f t="shared" si="79"/>
        <v>0</v>
      </c>
      <c r="M232" s="28">
        <f t="shared" si="79"/>
        <v>1.7364000000000002</v>
      </c>
      <c r="N232" s="28">
        <f t="shared" si="79"/>
        <v>0</v>
      </c>
      <c r="O232" s="28">
        <f t="shared" si="79"/>
        <v>0</v>
      </c>
      <c r="P232" s="28">
        <f t="shared" si="79"/>
        <v>0</v>
      </c>
      <c r="Q232" s="28">
        <f t="shared" si="79"/>
        <v>16.1356</v>
      </c>
      <c r="R232" s="28">
        <f t="shared" si="79"/>
        <v>-1.7364000000000002</v>
      </c>
      <c r="S232" s="27">
        <f t="shared" ref="S232:S238" si="80">R232/(I232+K232+M232)</f>
        <v>-1</v>
      </c>
      <c r="T232" s="26" t="s">
        <v>0</v>
      </c>
      <c r="U232" s="9"/>
      <c r="V232" s="12"/>
      <c r="X232" s="10"/>
    </row>
    <row r="233" spans="1:24" s="3" customFormat="1" ht="30.75" customHeight="1" x14ac:dyDescent="0.25">
      <c r="A233" s="43" t="s">
        <v>793</v>
      </c>
      <c r="B233" s="50" t="s">
        <v>792</v>
      </c>
      <c r="C233" s="49" t="s">
        <v>791</v>
      </c>
      <c r="D233" s="16">
        <v>16.1356</v>
      </c>
      <c r="E233" s="16">
        <v>0</v>
      </c>
      <c r="F233" s="16">
        <f>D233-E233</f>
        <v>16.1356</v>
      </c>
      <c r="G233" s="17">
        <v>1.7363999999999999</v>
      </c>
      <c r="H233" s="16">
        <f>J233+L233+N233+P233</f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1.7364000000000002</v>
      </c>
      <c r="N233" s="16">
        <v>0</v>
      </c>
      <c r="O233" s="16">
        <v>0</v>
      </c>
      <c r="P233" s="16">
        <v>0</v>
      </c>
      <c r="Q233" s="16">
        <f>F233-H233</f>
        <v>16.1356</v>
      </c>
      <c r="R233" s="16">
        <f>H233-(I233+K233+M233)</f>
        <v>-1.7364000000000002</v>
      </c>
      <c r="S233" s="14">
        <f t="shared" si="80"/>
        <v>-1</v>
      </c>
      <c r="T233" s="22" t="s">
        <v>790</v>
      </c>
      <c r="U233" s="9"/>
      <c r="V233" s="12"/>
      <c r="X233" s="10"/>
    </row>
    <row r="234" spans="1:24" s="3" customFormat="1" ht="31.5" x14ac:dyDescent="0.25">
      <c r="A234" s="35" t="s">
        <v>772</v>
      </c>
      <c r="B234" s="37" t="s">
        <v>59</v>
      </c>
      <c r="C234" s="33" t="s">
        <v>11</v>
      </c>
      <c r="D234" s="28">
        <f t="shared" ref="D234:R234" si="81">SUM(D235:D242)</f>
        <v>317.92814697199998</v>
      </c>
      <c r="E234" s="28">
        <f t="shared" si="81"/>
        <v>42.728653190000003</v>
      </c>
      <c r="F234" s="28">
        <f t="shared" si="81"/>
        <v>275.19949378199999</v>
      </c>
      <c r="G234" s="28">
        <f t="shared" si="81"/>
        <v>55.955806000000003</v>
      </c>
      <c r="H234" s="28">
        <f t="shared" si="81"/>
        <v>24.146065960000001</v>
      </c>
      <c r="I234" s="28">
        <f t="shared" si="81"/>
        <v>0</v>
      </c>
      <c r="J234" s="28">
        <f t="shared" si="81"/>
        <v>1.8474755699999998</v>
      </c>
      <c r="K234" s="28">
        <f t="shared" si="81"/>
        <v>3.3939499999999998</v>
      </c>
      <c r="L234" s="28">
        <f t="shared" si="81"/>
        <v>2.0183333300000004</v>
      </c>
      <c r="M234" s="28">
        <f t="shared" si="81"/>
        <v>17.060200000000002</v>
      </c>
      <c r="N234" s="28">
        <f t="shared" si="81"/>
        <v>20.28025706</v>
      </c>
      <c r="O234" s="28">
        <f t="shared" si="81"/>
        <v>35.501656000000004</v>
      </c>
      <c r="P234" s="28">
        <f t="shared" si="81"/>
        <v>0</v>
      </c>
      <c r="Q234" s="28">
        <f t="shared" si="81"/>
        <v>252.19342782200002</v>
      </c>
      <c r="R234" s="28">
        <f t="shared" si="81"/>
        <v>2.5519159600000005</v>
      </c>
      <c r="S234" s="27">
        <f t="shared" si="80"/>
        <v>0.12476274790201501</v>
      </c>
      <c r="T234" s="26" t="s">
        <v>0</v>
      </c>
      <c r="U234" s="9"/>
      <c r="V234" s="12"/>
      <c r="X234" s="10"/>
    </row>
    <row r="235" spans="1:24" s="3" customFormat="1" ht="42" customHeight="1" x14ac:dyDescent="0.25">
      <c r="A235" s="43" t="s">
        <v>772</v>
      </c>
      <c r="B235" s="70" t="s">
        <v>789</v>
      </c>
      <c r="C235" s="49" t="s">
        <v>788</v>
      </c>
      <c r="D235" s="16">
        <v>2.9849999999999999</v>
      </c>
      <c r="E235" s="16">
        <v>0</v>
      </c>
      <c r="F235" s="16">
        <f>D235-E235</f>
        <v>2.9849999999999999</v>
      </c>
      <c r="G235" s="17">
        <v>2.6429999999999998</v>
      </c>
      <c r="H235" s="16">
        <f t="shared" ref="H235:H242" si="82">J235+L235+N235+P235</f>
        <v>4.0250912999999997</v>
      </c>
      <c r="I235" s="16">
        <v>0</v>
      </c>
      <c r="J235" s="16">
        <v>1.1835679999999999E-2</v>
      </c>
      <c r="K235" s="16">
        <v>0</v>
      </c>
      <c r="L235" s="16">
        <v>1.5630930600000001</v>
      </c>
      <c r="M235" s="16">
        <v>2.6429999999999998</v>
      </c>
      <c r="N235" s="16">
        <v>2.4501625599999999</v>
      </c>
      <c r="O235" s="16">
        <v>0</v>
      </c>
      <c r="P235" s="16">
        <v>0</v>
      </c>
      <c r="Q235" s="16">
        <f>F235-H235</f>
        <v>-1.0400912999999998</v>
      </c>
      <c r="R235" s="16">
        <f>H235-(I235+K235+M235)</f>
        <v>1.3820912999999999</v>
      </c>
      <c r="S235" s="14">
        <f t="shared" si="80"/>
        <v>0.52292519863791143</v>
      </c>
      <c r="T235" s="22" t="s">
        <v>497</v>
      </c>
      <c r="U235" s="9"/>
      <c r="V235" s="12"/>
      <c r="X235" s="10"/>
    </row>
    <row r="236" spans="1:24" s="3" customFormat="1" ht="31.5" x14ac:dyDescent="0.25">
      <c r="A236" s="43" t="s">
        <v>772</v>
      </c>
      <c r="B236" s="42" t="s">
        <v>787</v>
      </c>
      <c r="C236" s="19" t="s">
        <v>786</v>
      </c>
      <c r="D236" s="16">
        <v>86.759999999999991</v>
      </c>
      <c r="E236" s="18">
        <v>14.935320000000001</v>
      </c>
      <c r="F236" s="16">
        <f>D236-E236</f>
        <v>71.824679999999987</v>
      </c>
      <c r="G236" s="17">
        <v>3.5027999999999992</v>
      </c>
      <c r="H236" s="16">
        <f t="shared" si="82"/>
        <v>0.47303119999999999</v>
      </c>
      <c r="I236" s="16">
        <v>0</v>
      </c>
      <c r="J236" s="16">
        <v>0</v>
      </c>
      <c r="K236" s="16">
        <v>0.24299999999999999</v>
      </c>
      <c r="L236" s="16">
        <v>0.3</v>
      </c>
      <c r="M236" s="16">
        <v>2.9578000000000002</v>
      </c>
      <c r="N236" s="16">
        <v>0.1730312</v>
      </c>
      <c r="O236" s="16">
        <v>0.30199999999999999</v>
      </c>
      <c r="P236" s="16">
        <v>0</v>
      </c>
      <c r="Q236" s="16">
        <f>F236-H236</f>
        <v>71.351648799999992</v>
      </c>
      <c r="R236" s="16">
        <f>H236-(I236+K236+M236)</f>
        <v>-2.7277688000000002</v>
      </c>
      <c r="S236" s="14">
        <f t="shared" si="80"/>
        <v>-0.85221469632591862</v>
      </c>
      <c r="T236" s="22" t="s">
        <v>776</v>
      </c>
      <c r="U236" s="9"/>
      <c r="V236" s="12"/>
      <c r="X236" s="10"/>
    </row>
    <row r="237" spans="1:24" s="3" customFormat="1" ht="31.5" x14ac:dyDescent="0.25">
      <c r="A237" s="43" t="s">
        <v>772</v>
      </c>
      <c r="B237" s="42" t="s">
        <v>785</v>
      </c>
      <c r="C237" s="19" t="s">
        <v>784</v>
      </c>
      <c r="D237" s="16">
        <v>34.259797648000003</v>
      </c>
      <c r="E237" s="18">
        <v>14.587731589999999</v>
      </c>
      <c r="F237" s="16">
        <f>D237-E237</f>
        <v>19.672066058000006</v>
      </c>
      <c r="G237" s="17">
        <v>17.939900000000002</v>
      </c>
      <c r="H237" s="16">
        <f t="shared" si="82"/>
        <v>5.3845918099999999</v>
      </c>
      <c r="I237" s="16">
        <v>0</v>
      </c>
      <c r="J237" s="16">
        <v>0.75263988999999998</v>
      </c>
      <c r="K237" s="16">
        <v>1.909</v>
      </c>
      <c r="L237" s="16">
        <v>9.8240270000000005E-2</v>
      </c>
      <c r="M237" s="16">
        <v>5.51</v>
      </c>
      <c r="N237" s="16">
        <v>4.5337116499999999</v>
      </c>
      <c r="O237" s="16">
        <v>10.520899999999999</v>
      </c>
      <c r="P237" s="16">
        <v>0</v>
      </c>
      <c r="Q237" s="16">
        <f>F237-H237</f>
        <v>14.287474248000006</v>
      </c>
      <c r="R237" s="16">
        <f>H237-(I237+K237+M237)</f>
        <v>-2.0344081899999997</v>
      </c>
      <c r="S237" s="14">
        <f t="shared" si="80"/>
        <v>-0.27421595767623669</v>
      </c>
      <c r="T237" s="22" t="s">
        <v>776</v>
      </c>
      <c r="U237" s="9"/>
      <c r="V237" s="12"/>
      <c r="X237" s="10"/>
    </row>
    <row r="238" spans="1:24" s="3" customFormat="1" ht="47.25" x14ac:dyDescent="0.25">
      <c r="A238" s="43" t="s">
        <v>772</v>
      </c>
      <c r="B238" s="42" t="s">
        <v>783</v>
      </c>
      <c r="C238" s="19" t="s">
        <v>782</v>
      </c>
      <c r="D238" s="16">
        <v>25.739490000000004</v>
      </c>
      <c r="E238" s="18">
        <v>2.1685320000000003</v>
      </c>
      <c r="F238" s="16">
        <f>D238-E238</f>
        <v>23.570958000000005</v>
      </c>
      <c r="G238" s="17">
        <v>11.363155999999998</v>
      </c>
      <c r="H238" s="16">
        <f t="shared" si="82"/>
        <v>5.7135902400000003</v>
      </c>
      <c r="I238" s="16">
        <v>0</v>
      </c>
      <c r="J238" s="16">
        <v>0</v>
      </c>
      <c r="K238" s="16">
        <v>1.0309999999999999</v>
      </c>
      <c r="L238" s="16">
        <v>0</v>
      </c>
      <c r="M238" s="16">
        <v>3.8555999999999999</v>
      </c>
      <c r="N238" s="16">
        <v>5.7135902400000003</v>
      </c>
      <c r="O238" s="16">
        <v>6.4765559999999995</v>
      </c>
      <c r="P238" s="16">
        <v>0</v>
      </c>
      <c r="Q238" s="16">
        <f>F238-H238</f>
        <v>17.857367760000002</v>
      </c>
      <c r="R238" s="16">
        <f>H238-(I238+K238+M238)</f>
        <v>0.82699024000000065</v>
      </c>
      <c r="S238" s="14">
        <f t="shared" si="80"/>
        <v>0.16923632791716137</v>
      </c>
      <c r="T238" s="22" t="s">
        <v>781</v>
      </c>
      <c r="U238" s="9"/>
      <c r="V238" s="12"/>
      <c r="X238" s="10"/>
    </row>
    <row r="239" spans="1:24" s="3" customFormat="1" ht="31.5" x14ac:dyDescent="0.25">
      <c r="A239" s="43" t="s">
        <v>772</v>
      </c>
      <c r="B239" s="42" t="s">
        <v>780</v>
      </c>
      <c r="C239" s="19" t="s">
        <v>779</v>
      </c>
      <c r="D239" s="16" t="s">
        <v>0</v>
      </c>
      <c r="E239" s="18" t="s">
        <v>0</v>
      </c>
      <c r="F239" s="16" t="s">
        <v>0</v>
      </c>
      <c r="G239" s="17" t="s">
        <v>0</v>
      </c>
      <c r="H239" s="16">
        <f t="shared" si="82"/>
        <v>1.1399999999999999</v>
      </c>
      <c r="I239" s="16" t="s">
        <v>0</v>
      </c>
      <c r="J239" s="16">
        <v>1.083</v>
      </c>
      <c r="K239" s="16" t="s">
        <v>0</v>
      </c>
      <c r="L239" s="16">
        <v>5.7000000000000002E-2</v>
      </c>
      <c r="M239" s="16" t="s">
        <v>0</v>
      </c>
      <c r="N239" s="16">
        <v>0</v>
      </c>
      <c r="O239" s="16" t="s">
        <v>0</v>
      </c>
      <c r="P239" s="16">
        <v>0</v>
      </c>
      <c r="Q239" s="16" t="s">
        <v>0</v>
      </c>
      <c r="R239" s="16" t="s">
        <v>0</v>
      </c>
      <c r="S239" s="32" t="s">
        <v>0</v>
      </c>
      <c r="T239" s="65" t="s">
        <v>195</v>
      </c>
      <c r="U239" s="9"/>
      <c r="V239" s="12"/>
      <c r="X239" s="10"/>
    </row>
    <row r="240" spans="1:24" s="3" customFormat="1" ht="31.5" x14ac:dyDescent="0.25">
      <c r="A240" s="43" t="s">
        <v>772</v>
      </c>
      <c r="B240" s="42" t="s">
        <v>778</v>
      </c>
      <c r="C240" s="19" t="s">
        <v>777</v>
      </c>
      <c r="D240" s="16">
        <v>117.99369765399999</v>
      </c>
      <c r="E240" s="18">
        <v>11.037069600000001</v>
      </c>
      <c r="F240" s="16">
        <f>D240-E240</f>
        <v>106.95662805399999</v>
      </c>
      <c r="G240" s="17">
        <v>13.087350000000001</v>
      </c>
      <c r="H240" s="16">
        <f t="shared" si="82"/>
        <v>0.95882889999999998</v>
      </c>
      <c r="I240" s="16">
        <v>0</v>
      </c>
      <c r="J240" s="16">
        <v>0</v>
      </c>
      <c r="K240" s="16">
        <v>0.21095</v>
      </c>
      <c r="L240" s="16">
        <v>0</v>
      </c>
      <c r="M240" s="16">
        <v>2.0938000000000003</v>
      </c>
      <c r="N240" s="16">
        <v>0.95882889999999998</v>
      </c>
      <c r="O240" s="16">
        <v>10.7826</v>
      </c>
      <c r="P240" s="16">
        <v>0</v>
      </c>
      <c r="Q240" s="16">
        <f>F240-H240</f>
        <v>105.99779915399999</v>
      </c>
      <c r="R240" s="16">
        <f>H240-(I240+K240+M240)</f>
        <v>-1.3459211000000004</v>
      </c>
      <c r="S240" s="14">
        <f>R240/(I240+K240+M240)</f>
        <v>-0.58397704740210443</v>
      </c>
      <c r="T240" s="22" t="s">
        <v>776</v>
      </c>
      <c r="U240" s="9"/>
      <c r="V240" s="12"/>
      <c r="X240" s="10"/>
    </row>
    <row r="241" spans="1:24" s="3" customFormat="1" ht="29.25" customHeight="1" x14ac:dyDescent="0.25">
      <c r="A241" s="43" t="s">
        <v>772</v>
      </c>
      <c r="B241" s="42" t="s">
        <v>775</v>
      </c>
      <c r="C241" s="19" t="s">
        <v>774</v>
      </c>
      <c r="D241" s="16">
        <v>16.791161670000001</v>
      </c>
      <c r="E241" s="18">
        <v>0</v>
      </c>
      <c r="F241" s="16">
        <f>D241-E241</f>
        <v>16.791161670000001</v>
      </c>
      <c r="G241" s="17">
        <v>3.8195999999999999</v>
      </c>
      <c r="H241" s="16">
        <f t="shared" si="82"/>
        <v>6.4509325100000003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6.4509325100000003</v>
      </c>
      <c r="O241" s="16">
        <v>3.8195999999999999</v>
      </c>
      <c r="P241" s="16">
        <v>0</v>
      </c>
      <c r="Q241" s="16">
        <f>F241-H241</f>
        <v>10.34022916</v>
      </c>
      <c r="R241" s="16">
        <f>H241-(I241+K241+M241)</f>
        <v>6.4509325100000003</v>
      </c>
      <c r="S241" s="14">
        <v>1</v>
      </c>
      <c r="T241" s="22" t="s">
        <v>773</v>
      </c>
      <c r="U241" s="9"/>
      <c r="V241" s="12"/>
      <c r="X241" s="10"/>
    </row>
    <row r="242" spans="1:24" s="3" customFormat="1" ht="29.25" customHeight="1" x14ac:dyDescent="0.25">
      <c r="A242" s="43" t="s">
        <v>772</v>
      </c>
      <c r="B242" s="42" t="s">
        <v>771</v>
      </c>
      <c r="C242" s="19" t="s">
        <v>770</v>
      </c>
      <c r="D242" s="16">
        <v>33.399000000000001</v>
      </c>
      <c r="E242" s="18">
        <v>0</v>
      </c>
      <c r="F242" s="16">
        <f>D242-E242</f>
        <v>33.399000000000001</v>
      </c>
      <c r="G242" s="17">
        <v>3.6</v>
      </c>
      <c r="H242" s="16">
        <f t="shared" si="82"/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3.6</v>
      </c>
      <c r="P242" s="16">
        <v>0</v>
      </c>
      <c r="Q242" s="16">
        <f>F242-H242</f>
        <v>33.399000000000001</v>
      </c>
      <c r="R242" s="16">
        <f>H242-(I242+K242+M242)</f>
        <v>0</v>
      </c>
      <c r="S242" s="14">
        <v>0</v>
      </c>
      <c r="T242" s="22" t="s">
        <v>0</v>
      </c>
      <c r="U242" s="9"/>
      <c r="V242" s="12"/>
      <c r="X242" s="10"/>
    </row>
    <row r="243" spans="1:24" s="3" customFormat="1" ht="31.5" x14ac:dyDescent="0.25">
      <c r="A243" s="35" t="s">
        <v>769</v>
      </c>
      <c r="B243" s="37" t="s">
        <v>53</v>
      </c>
      <c r="C243" s="33" t="s">
        <v>11</v>
      </c>
      <c r="D243" s="28">
        <f t="shared" ref="D243:R243" si="83">D244+D250+D251+D252</f>
        <v>1040.1707388203999</v>
      </c>
      <c r="E243" s="28">
        <f t="shared" si="83"/>
        <v>266.95947433999999</v>
      </c>
      <c r="F243" s="28">
        <f t="shared" si="83"/>
        <v>773.21126448040002</v>
      </c>
      <c r="G243" s="28">
        <f t="shared" si="83"/>
        <v>180.5240914796</v>
      </c>
      <c r="H243" s="28">
        <f t="shared" si="83"/>
        <v>36.910627160000004</v>
      </c>
      <c r="I243" s="28">
        <f t="shared" si="83"/>
        <v>20.475665943100001</v>
      </c>
      <c r="J243" s="28">
        <f t="shared" si="83"/>
        <v>23.606251059999998</v>
      </c>
      <c r="K243" s="28">
        <f t="shared" si="83"/>
        <v>1.0475904174999999</v>
      </c>
      <c r="L243" s="28">
        <f t="shared" si="83"/>
        <v>4.8544407600000001</v>
      </c>
      <c r="M243" s="28">
        <f t="shared" si="83"/>
        <v>9.0632271375000002</v>
      </c>
      <c r="N243" s="28">
        <f t="shared" si="83"/>
        <v>8.4499353399999997</v>
      </c>
      <c r="O243" s="28">
        <f t="shared" si="83"/>
        <v>149.93760798150001</v>
      </c>
      <c r="P243" s="28">
        <f t="shared" si="83"/>
        <v>0</v>
      </c>
      <c r="Q243" s="28">
        <f t="shared" si="83"/>
        <v>740.34799338040011</v>
      </c>
      <c r="R243" s="28">
        <f t="shared" si="83"/>
        <v>2.2767876019000006</v>
      </c>
      <c r="S243" s="27">
        <f t="shared" ref="S243:S249" si="84">R243/(I243+K243+M243)</f>
        <v>7.4437703897587054E-2</v>
      </c>
      <c r="T243" s="26" t="s">
        <v>0</v>
      </c>
      <c r="U243" s="9"/>
      <c r="V243" s="12"/>
      <c r="X243" s="10"/>
    </row>
    <row r="244" spans="1:24" s="3" customFormat="1" ht="31.5" x14ac:dyDescent="0.25">
      <c r="A244" s="35" t="s">
        <v>758</v>
      </c>
      <c r="B244" s="37" t="s">
        <v>51</v>
      </c>
      <c r="C244" s="33" t="s">
        <v>11</v>
      </c>
      <c r="D244" s="28">
        <f t="shared" ref="D244:R244" si="85">SUM(D245:D249)</f>
        <v>283.98754004199998</v>
      </c>
      <c r="E244" s="28">
        <f t="shared" si="85"/>
        <v>144.16028849</v>
      </c>
      <c r="F244" s="28">
        <f t="shared" si="85"/>
        <v>139.82725155199998</v>
      </c>
      <c r="G244" s="28">
        <f t="shared" si="85"/>
        <v>13.082768398000004</v>
      </c>
      <c r="H244" s="28">
        <f t="shared" si="85"/>
        <v>17.675272570000001</v>
      </c>
      <c r="I244" s="28">
        <f t="shared" si="85"/>
        <v>7.6127683980000036</v>
      </c>
      <c r="J244" s="28">
        <f t="shared" si="85"/>
        <v>15.43268174</v>
      </c>
      <c r="K244" s="28">
        <f t="shared" si="85"/>
        <v>7.4999999999999997E-2</v>
      </c>
      <c r="L244" s="28">
        <f t="shared" si="85"/>
        <v>1.9311764300000001</v>
      </c>
      <c r="M244" s="28">
        <f t="shared" si="85"/>
        <v>1.2749999999999999</v>
      </c>
      <c r="N244" s="28">
        <f t="shared" si="85"/>
        <v>0.31141439999999998</v>
      </c>
      <c r="O244" s="28">
        <f t="shared" si="85"/>
        <v>4.12</v>
      </c>
      <c r="P244" s="28">
        <f t="shared" si="85"/>
        <v>0</v>
      </c>
      <c r="Q244" s="28">
        <f t="shared" si="85"/>
        <v>122.151978982</v>
      </c>
      <c r="R244" s="28">
        <f t="shared" si="85"/>
        <v>8.7125041719999974</v>
      </c>
      <c r="S244" s="27">
        <f t="shared" si="84"/>
        <v>0.97207735212081892</v>
      </c>
      <c r="T244" s="26" t="s">
        <v>0</v>
      </c>
      <c r="U244" s="9"/>
      <c r="V244" s="12"/>
      <c r="X244" s="10"/>
    </row>
    <row r="245" spans="1:24" s="3" customFormat="1" ht="31.5" x14ac:dyDescent="0.25">
      <c r="A245" s="43" t="s">
        <v>758</v>
      </c>
      <c r="B245" s="42" t="s">
        <v>768</v>
      </c>
      <c r="C245" s="19" t="s">
        <v>767</v>
      </c>
      <c r="D245" s="16">
        <v>134.08614004200001</v>
      </c>
      <c r="E245" s="18">
        <v>129.66085884</v>
      </c>
      <c r="F245" s="16">
        <f>D245-E245</f>
        <v>4.4252812020000079</v>
      </c>
      <c r="G245" s="17">
        <v>5.1606999980000037</v>
      </c>
      <c r="H245" s="16">
        <f>J245+L245+N245+P245</f>
        <v>6.3506176700000001</v>
      </c>
      <c r="I245" s="16">
        <v>5.1606999980000037</v>
      </c>
      <c r="J245" s="16">
        <v>6.3506176700000001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f>F245-H245</f>
        <v>-1.9253364679999923</v>
      </c>
      <c r="R245" s="16">
        <f>H245-(I245+K245+M245)</f>
        <v>1.1899176719999964</v>
      </c>
      <c r="S245" s="14">
        <f t="shared" si="84"/>
        <v>0.2305729208171646</v>
      </c>
      <c r="T245" s="22" t="s">
        <v>766</v>
      </c>
      <c r="U245" s="9"/>
      <c r="V245" s="12"/>
      <c r="X245" s="10"/>
    </row>
    <row r="246" spans="1:24" s="3" customFormat="1" ht="47.25" x14ac:dyDescent="0.25">
      <c r="A246" s="43" t="s">
        <v>758</v>
      </c>
      <c r="B246" s="42" t="s">
        <v>765</v>
      </c>
      <c r="C246" s="19" t="s">
        <v>764</v>
      </c>
      <c r="D246" s="16">
        <v>15.506</v>
      </c>
      <c r="E246" s="18">
        <v>9.4500147699999992</v>
      </c>
      <c r="F246" s="16">
        <f>D246-E246</f>
        <v>6.055985230000001</v>
      </c>
      <c r="G246" s="17">
        <v>0.52176000000000022</v>
      </c>
      <c r="H246" s="16">
        <f>J246+L246+N246+P246</f>
        <v>5.4323082600000001</v>
      </c>
      <c r="I246" s="16">
        <v>0.52176000000000022</v>
      </c>
      <c r="J246" s="16">
        <v>3.5011318299999998</v>
      </c>
      <c r="K246" s="16">
        <v>0</v>
      </c>
      <c r="L246" s="16">
        <v>1.9311764300000001</v>
      </c>
      <c r="M246" s="16">
        <v>0</v>
      </c>
      <c r="N246" s="16">
        <v>0</v>
      </c>
      <c r="O246" s="16">
        <v>0</v>
      </c>
      <c r="P246" s="16">
        <v>0</v>
      </c>
      <c r="Q246" s="16">
        <f>F246-H246</f>
        <v>0.62367697000000089</v>
      </c>
      <c r="R246" s="16">
        <f>H246-(I246+K246+M246)</f>
        <v>4.9105482599999997</v>
      </c>
      <c r="S246" s="14">
        <f t="shared" si="84"/>
        <v>9.4115077046918074</v>
      </c>
      <c r="T246" s="65" t="s">
        <v>759</v>
      </c>
      <c r="U246" s="9"/>
      <c r="V246" s="12"/>
      <c r="X246" s="10"/>
    </row>
    <row r="247" spans="1:24" s="3" customFormat="1" ht="49.5" customHeight="1" x14ac:dyDescent="0.25">
      <c r="A247" s="43" t="s">
        <v>758</v>
      </c>
      <c r="B247" s="42" t="s">
        <v>763</v>
      </c>
      <c r="C247" s="19" t="s">
        <v>762</v>
      </c>
      <c r="D247" s="16">
        <v>5.97</v>
      </c>
      <c r="E247" s="18">
        <v>0</v>
      </c>
      <c r="F247" s="16">
        <f>D247-E247</f>
        <v>5.97</v>
      </c>
      <c r="G247" s="17">
        <v>5.47</v>
      </c>
      <c r="H247" s="16">
        <f>J247+L247+N247+P247</f>
        <v>0.31141439999999998</v>
      </c>
      <c r="I247" s="16">
        <v>0</v>
      </c>
      <c r="J247" s="16">
        <v>0</v>
      </c>
      <c r="K247" s="16">
        <v>7.4999999999999997E-2</v>
      </c>
      <c r="L247" s="16">
        <v>0</v>
      </c>
      <c r="M247" s="16">
        <v>1.2749999999999999</v>
      </c>
      <c r="N247" s="16">
        <v>0.31141439999999998</v>
      </c>
      <c r="O247" s="16">
        <v>4.12</v>
      </c>
      <c r="P247" s="16">
        <v>0</v>
      </c>
      <c r="Q247" s="16">
        <f>F247-H247</f>
        <v>5.6585855999999994</v>
      </c>
      <c r="R247" s="16">
        <f>H247-(I247+K247+M247)</f>
        <v>-1.0385855999999998</v>
      </c>
      <c r="S247" s="14">
        <f t="shared" si="84"/>
        <v>-0.7693226666666666</v>
      </c>
      <c r="T247" s="65" t="s">
        <v>40</v>
      </c>
      <c r="U247" s="9"/>
      <c r="V247" s="12"/>
      <c r="X247" s="10"/>
    </row>
    <row r="248" spans="1:24" s="3" customFormat="1" ht="47.25" x14ac:dyDescent="0.25">
      <c r="A248" s="43" t="s">
        <v>758</v>
      </c>
      <c r="B248" s="42" t="s">
        <v>761</v>
      </c>
      <c r="C248" s="19" t="s">
        <v>760</v>
      </c>
      <c r="D248" s="16">
        <v>119.63979999999999</v>
      </c>
      <c r="E248" s="18">
        <v>5.0494148800000005</v>
      </c>
      <c r="F248" s="16">
        <f>D248-E248</f>
        <v>114.59038511999999</v>
      </c>
      <c r="G248" s="17">
        <v>1.494</v>
      </c>
      <c r="H248" s="16">
        <f>J248+L248+N248+P248</f>
        <v>5.5809322400000001</v>
      </c>
      <c r="I248" s="16">
        <v>1.494</v>
      </c>
      <c r="J248" s="16">
        <v>5.5809322400000001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f>F248-H248</f>
        <v>109.00945288</v>
      </c>
      <c r="R248" s="16">
        <f>H248-(I248+K248+M248)</f>
        <v>4.0869322400000003</v>
      </c>
      <c r="S248" s="14">
        <f t="shared" si="84"/>
        <v>2.7355637483266402</v>
      </c>
      <c r="T248" s="22" t="s">
        <v>759</v>
      </c>
      <c r="U248" s="9"/>
      <c r="V248" s="12"/>
      <c r="X248" s="10"/>
    </row>
    <row r="249" spans="1:24" s="3" customFormat="1" x14ac:dyDescent="0.25">
      <c r="A249" s="43" t="s">
        <v>758</v>
      </c>
      <c r="B249" s="42" t="s">
        <v>757</v>
      </c>
      <c r="C249" s="19" t="s">
        <v>756</v>
      </c>
      <c r="D249" s="16">
        <v>8.7856000000000005</v>
      </c>
      <c r="E249" s="18">
        <v>0</v>
      </c>
      <c r="F249" s="16">
        <f>D249-E249</f>
        <v>8.7856000000000005</v>
      </c>
      <c r="G249" s="17">
        <v>0.43630839999999987</v>
      </c>
      <c r="H249" s="16">
        <f>J249+L249+N249+P249</f>
        <v>0</v>
      </c>
      <c r="I249" s="16">
        <v>0.43630839999999987</v>
      </c>
      <c r="J249" s="16">
        <v>0</v>
      </c>
      <c r="K249" s="16">
        <v>0</v>
      </c>
      <c r="L249" s="16">
        <v>0</v>
      </c>
      <c r="M249" s="16">
        <v>0</v>
      </c>
      <c r="N249" s="16">
        <v>0</v>
      </c>
      <c r="O249" s="16">
        <v>0</v>
      </c>
      <c r="P249" s="16">
        <v>0</v>
      </c>
      <c r="Q249" s="16">
        <f>F249-H249</f>
        <v>8.7856000000000005</v>
      </c>
      <c r="R249" s="16">
        <f>H249-(I249+K249+M249)</f>
        <v>-0.43630839999999987</v>
      </c>
      <c r="S249" s="14">
        <f t="shared" si="84"/>
        <v>-1</v>
      </c>
      <c r="T249" s="65" t="s">
        <v>755</v>
      </c>
      <c r="U249" s="9"/>
      <c r="V249" s="12"/>
      <c r="X249" s="10"/>
    </row>
    <row r="250" spans="1:24" s="3" customFormat="1" ht="31.5" x14ac:dyDescent="0.25">
      <c r="A250" s="35" t="s">
        <v>754</v>
      </c>
      <c r="B250" s="37" t="s">
        <v>49</v>
      </c>
      <c r="C250" s="33" t="s">
        <v>11</v>
      </c>
      <c r="D250" s="28">
        <v>0</v>
      </c>
      <c r="E250" s="28">
        <v>0</v>
      </c>
      <c r="F250" s="28">
        <v>0</v>
      </c>
      <c r="G250" s="28">
        <v>0</v>
      </c>
      <c r="H250" s="28">
        <v>0</v>
      </c>
      <c r="I250" s="28">
        <v>0</v>
      </c>
      <c r="J250" s="28">
        <v>0</v>
      </c>
      <c r="K250" s="28">
        <v>0</v>
      </c>
      <c r="L250" s="28">
        <v>0</v>
      </c>
      <c r="M250" s="28">
        <v>0</v>
      </c>
      <c r="N250" s="28">
        <v>0</v>
      </c>
      <c r="O250" s="28">
        <v>0</v>
      </c>
      <c r="P250" s="28">
        <v>0</v>
      </c>
      <c r="Q250" s="28">
        <v>0</v>
      </c>
      <c r="R250" s="28">
        <v>0</v>
      </c>
      <c r="S250" s="27">
        <v>0</v>
      </c>
      <c r="T250" s="26" t="s">
        <v>0</v>
      </c>
      <c r="U250" s="9"/>
      <c r="V250" s="12"/>
      <c r="X250" s="10"/>
    </row>
    <row r="251" spans="1:24" s="3" customFormat="1" ht="31.5" x14ac:dyDescent="0.25">
      <c r="A251" s="35" t="s">
        <v>753</v>
      </c>
      <c r="B251" s="37" t="s">
        <v>47</v>
      </c>
      <c r="C251" s="33" t="s">
        <v>11</v>
      </c>
      <c r="D251" s="28">
        <v>0</v>
      </c>
      <c r="E251" s="28">
        <v>0</v>
      </c>
      <c r="F251" s="28">
        <v>0</v>
      </c>
      <c r="G251" s="28">
        <v>0</v>
      </c>
      <c r="H251" s="28">
        <v>0</v>
      </c>
      <c r="I251" s="28">
        <v>0</v>
      </c>
      <c r="J251" s="28">
        <v>0</v>
      </c>
      <c r="K251" s="28">
        <v>0</v>
      </c>
      <c r="L251" s="28">
        <v>0</v>
      </c>
      <c r="M251" s="28">
        <v>0</v>
      </c>
      <c r="N251" s="28">
        <v>0</v>
      </c>
      <c r="O251" s="28">
        <v>0</v>
      </c>
      <c r="P251" s="28">
        <v>0</v>
      </c>
      <c r="Q251" s="28">
        <v>0</v>
      </c>
      <c r="R251" s="28">
        <v>0</v>
      </c>
      <c r="S251" s="27">
        <v>0</v>
      </c>
      <c r="T251" s="26" t="s">
        <v>0</v>
      </c>
      <c r="U251" s="9"/>
      <c r="V251" s="12"/>
      <c r="X251" s="10"/>
    </row>
    <row r="252" spans="1:24" s="3" customFormat="1" ht="31.5" x14ac:dyDescent="0.25">
      <c r="A252" s="35" t="s">
        <v>728</v>
      </c>
      <c r="B252" s="37" t="s">
        <v>46</v>
      </c>
      <c r="C252" s="33" t="s">
        <v>11</v>
      </c>
      <c r="D252" s="28">
        <f t="shared" ref="D252:R252" si="86">SUM(D253:D263)</f>
        <v>756.18319877839997</v>
      </c>
      <c r="E252" s="28">
        <f t="shared" si="86"/>
        <v>122.79918585</v>
      </c>
      <c r="F252" s="28">
        <f t="shared" si="86"/>
        <v>633.38401292840001</v>
      </c>
      <c r="G252" s="28">
        <f t="shared" si="86"/>
        <v>167.44132308159999</v>
      </c>
      <c r="H252" s="28">
        <f t="shared" si="86"/>
        <v>19.235354590000004</v>
      </c>
      <c r="I252" s="28">
        <f t="shared" si="86"/>
        <v>12.862897545099997</v>
      </c>
      <c r="J252" s="28">
        <f t="shared" si="86"/>
        <v>8.1735693200000004</v>
      </c>
      <c r="K252" s="28">
        <f t="shared" si="86"/>
        <v>0.97259041749999997</v>
      </c>
      <c r="L252" s="28">
        <f t="shared" si="86"/>
        <v>2.9232643299999999</v>
      </c>
      <c r="M252" s="28">
        <f t="shared" si="86"/>
        <v>7.7882271374999998</v>
      </c>
      <c r="N252" s="28">
        <f t="shared" si="86"/>
        <v>8.1385209399999994</v>
      </c>
      <c r="O252" s="28">
        <f t="shared" si="86"/>
        <v>145.8176079815</v>
      </c>
      <c r="P252" s="28">
        <f t="shared" si="86"/>
        <v>0</v>
      </c>
      <c r="Q252" s="28">
        <f t="shared" si="86"/>
        <v>618.19601439840005</v>
      </c>
      <c r="R252" s="28">
        <f t="shared" si="86"/>
        <v>-6.4357165700999968</v>
      </c>
      <c r="S252" s="27">
        <f t="shared" ref="S252:S260" si="87">R252/(I252+K252+M252)</f>
        <v>-0.29762307449519787</v>
      </c>
      <c r="T252" s="26" t="s">
        <v>0</v>
      </c>
      <c r="U252" s="9"/>
      <c r="V252" s="12"/>
      <c r="X252" s="10"/>
    </row>
    <row r="253" spans="1:24" s="3" customFormat="1" ht="31.5" x14ac:dyDescent="0.25">
      <c r="A253" s="43" t="s">
        <v>728</v>
      </c>
      <c r="B253" s="42" t="s">
        <v>752</v>
      </c>
      <c r="C253" s="19" t="s">
        <v>751</v>
      </c>
      <c r="D253" s="16">
        <v>204.009812504</v>
      </c>
      <c r="E253" s="18">
        <v>15.952129849999999</v>
      </c>
      <c r="F253" s="16">
        <f t="shared" ref="F253:F260" si="88">D253-E253</f>
        <v>188.05768265399999</v>
      </c>
      <c r="G253" s="17">
        <v>13.492799999999999</v>
      </c>
      <c r="H253" s="16">
        <f t="shared" ref="H253:H263" si="89">J253+L253+N253+P253</f>
        <v>2.5234488499999999</v>
      </c>
      <c r="I253" s="16">
        <v>1.5528</v>
      </c>
      <c r="J253" s="16">
        <v>0.52502669999999996</v>
      </c>
      <c r="K253" s="16">
        <v>0.04</v>
      </c>
      <c r="L253" s="16">
        <v>0</v>
      </c>
      <c r="M253" s="16">
        <v>2.1779999999999999</v>
      </c>
      <c r="N253" s="16">
        <v>1.9984221499999999</v>
      </c>
      <c r="O253" s="16">
        <v>9.7219999999999995</v>
      </c>
      <c r="P253" s="16">
        <v>0</v>
      </c>
      <c r="Q253" s="16">
        <f t="shared" ref="Q253:Q260" si="90">F253-H253</f>
        <v>185.534233804</v>
      </c>
      <c r="R253" s="16">
        <f t="shared" ref="R253:R260" si="91">H253-(I253+K253+M253)</f>
        <v>-1.2473511500000001</v>
      </c>
      <c r="S253" s="14">
        <f t="shared" si="87"/>
        <v>-0.33079217937838129</v>
      </c>
      <c r="T253" s="22" t="s">
        <v>40</v>
      </c>
      <c r="U253" s="9"/>
      <c r="V253" s="12"/>
      <c r="X253" s="10"/>
    </row>
    <row r="254" spans="1:24" s="3" customFormat="1" ht="31.5" x14ac:dyDescent="0.25">
      <c r="A254" s="43" t="s">
        <v>728</v>
      </c>
      <c r="B254" s="42" t="s">
        <v>750</v>
      </c>
      <c r="C254" s="19" t="s">
        <v>749</v>
      </c>
      <c r="D254" s="16">
        <v>197.34661069680001</v>
      </c>
      <c r="E254" s="18">
        <v>39.645051370000004</v>
      </c>
      <c r="F254" s="16">
        <f t="shared" si="88"/>
        <v>157.70155932680001</v>
      </c>
      <c r="G254" s="17">
        <v>0.58367419399999931</v>
      </c>
      <c r="H254" s="16">
        <f t="shared" si="89"/>
        <v>0.83988784999999999</v>
      </c>
      <c r="I254" s="16">
        <v>0.58367419399999931</v>
      </c>
      <c r="J254" s="16">
        <v>0.83988784999999999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>
        <f t="shared" si="90"/>
        <v>156.86167147680001</v>
      </c>
      <c r="R254" s="16">
        <f t="shared" si="91"/>
        <v>0.25621365600000068</v>
      </c>
      <c r="S254" s="14">
        <f t="shared" si="87"/>
        <v>0.43896690762381207</v>
      </c>
      <c r="T254" s="22" t="s">
        <v>195</v>
      </c>
      <c r="U254" s="9"/>
      <c r="V254" s="12"/>
      <c r="X254" s="10"/>
    </row>
    <row r="255" spans="1:24" s="3" customFormat="1" ht="31.5" x14ac:dyDescent="0.25">
      <c r="A255" s="43" t="s">
        <v>728</v>
      </c>
      <c r="B255" s="42" t="s">
        <v>748</v>
      </c>
      <c r="C255" s="19" t="s">
        <v>747</v>
      </c>
      <c r="D255" s="16">
        <v>76.484446455599993</v>
      </c>
      <c r="E255" s="18">
        <v>64.039604629999999</v>
      </c>
      <c r="F255" s="16">
        <f t="shared" si="88"/>
        <v>12.444841825599994</v>
      </c>
      <c r="G255" s="17">
        <v>8.9532580435999982</v>
      </c>
      <c r="H255" s="16">
        <f t="shared" si="89"/>
        <v>8.6214816800000005</v>
      </c>
      <c r="I255" s="16">
        <v>8.9532580435999982</v>
      </c>
      <c r="J255" s="16">
        <v>2.5010237100000001</v>
      </c>
      <c r="K255" s="16">
        <v>0</v>
      </c>
      <c r="L255" s="16">
        <v>2.7335393300000002</v>
      </c>
      <c r="M255" s="16">
        <v>0</v>
      </c>
      <c r="N255" s="16">
        <v>3.3869186400000002</v>
      </c>
      <c r="O255" s="16">
        <v>0</v>
      </c>
      <c r="P255" s="16">
        <v>0</v>
      </c>
      <c r="Q255" s="16">
        <f t="shared" si="90"/>
        <v>3.8233601455999935</v>
      </c>
      <c r="R255" s="16">
        <f t="shared" si="91"/>
        <v>-0.33177636359999774</v>
      </c>
      <c r="S255" s="14">
        <f t="shared" si="87"/>
        <v>-3.705649518692912E-2</v>
      </c>
      <c r="T255" s="65" t="s">
        <v>0</v>
      </c>
      <c r="U255" s="9"/>
      <c r="V255" s="12"/>
      <c r="X255" s="10"/>
    </row>
    <row r="256" spans="1:24" s="3" customFormat="1" ht="31.5" x14ac:dyDescent="0.25">
      <c r="A256" s="43" t="s">
        <v>728</v>
      </c>
      <c r="B256" s="42" t="s">
        <v>746</v>
      </c>
      <c r="C256" s="19" t="s">
        <v>745</v>
      </c>
      <c r="D256" s="16">
        <v>2.9849999999999999</v>
      </c>
      <c r="E256" s="18">
        <v>0</v>
      </c>
      <c r="F256" s="16">
        <f t="shared" si="88"/>
        <v>2.9849999999999999</v>
      </c>
      <c r="G256" s="17">
        <v>2.9849999999999999</v>
      </c>
      <c r="H256" s="16">
        <f t="shared" si="89"/>
        <v>0.25607999999999997</v>
      </c>
      <c r="I256" s="16">
        <v>0</v>
      </c>
      <c r="J256" s="16">
        <v>0</v>
      </c>
      <c r="K256" s="16">
        <v>0</v>
      </c>
      <c r="L256" s="16">
        <v>0</v>
      </c>
      <c r="M256" s="16">
        <v>7.4999999999999997E-2</v>
      </c>
      <c r="N256" s="16">
        <v>0.25607999999999997</v>
      </c>
      <c r="O256" s="16">
        <v>2.91</v>
      </c>
      <c r="P256" s="16">
        <v>0</v>
      </c>
      <c r="Q256" s="16">
        <f t="shared" si="90"/>
        <v>2.72892</v>
      </c>
      <c r="R256" s="16">
        <f t="shared" si="91"/>
        <v>0.18107999999999996</v>
      </c>
      <c r="S256" s="14">
        <f t="shared" si="87"/>
        <v>2.4143999999999997</v>
      </c>
      <c r="T256" s="13" t="s">
        <v>744</v>
      </c>
      <c r="U256" s="9"/>
      <c r="V256" s="12"/>
      <c r="X256" s="10"/>
    </row>
    <row r="257" spans="1:24" s="3" customFormat="1" ht="31.5" x14ac:dyDescent="0.25">
      <c r="A257" s="43" t="s">
        <v>728</v>
      </c>
      <c r="B257" s="42" t="s">
        <v>743</v>
      </c>
      <c r="C257" s="19" t="s">
        <v>742</v>
      </c>
      <c r="D257" s="16">
        <v>14.686199999999999</v>
      </c>
      <c r="E257" s="18">
        <v>0</v>
      </c>
      <c r="F257" s="16">
        <f t="shared" si="88"/>
        <v>14.686199999999999</v>
      </c>
      <c r="G257" s="17">
        <v>11.614199999999999</v>
      </c>
      <c r="H257" s="16">
        <f t="shared" si="89"/>
        <v>0.95542517999999999</v>
      </c>
      <c r="I257" s="16">
        <v>0</v>
      </c>
      <c r="J257" s="16">
        <v>0</v>
      </c>
      <c r="K257" s="16">
        <v>0</v>
      </c>
      <c r="L257" s="16">
        <v>0</v>
      </c>
      <c r="M257" s="16">
        <v>9.989526E-2</v>
      </c>
      <c r="N257" s="16">
        <v>0.95542517999999999</v>
      </c>
      <c r="O257" s="16">
        <v>11.51430474</v>
      </c>
      <c r="P257" s="16">
        <v>0</v>
      </c>
      <c r="Q257" s="16">
        <f t="shared" si="90"/>
        <v>13.730774819999999</v>
      </c>
      <c r="R257" s="16">
        <f t="shared" si="91"/>
        <v>0.85552991999999994</v>
      </c>
      <c r="S257" s="14">
        <f t="shared" si="87"/>
        <v>8.564269415786093</v>
      </c>
      <c r="T257" s="13" t="s">
        <v>736</v>
      </c>
      <c r="U257" s="9"/>
      <c r="V257" s="12"/>
      <c r="X257" s="10"/>
    </row>
    <row r="258" spans="1:24" s="3" customFormat="1" ht="31.5" x14ac:dyDescent="0.25">
      <c r="A258" s="43" t="s">
        <v>728</v>
      </c>
      <c r="B258" s="42" t="s">
        <v>741</v>
      </c>
      <c r="C258" s="19" t="s">
        <v>740</v>
      </c>
      <c r="D258" s="16">
        <v>174.70312912200001</v>
      </c>
      <c r="E258" s="18">
        <v>3.1623999999999999</v>
      </c>
      <c r="F258" s="16">
        <f t="shared" si="88"/>
        <v>171.54072912200002</v>
      </c>
      <c r="G258" s="17">
        <v>84.531390844000001</v>
      </c>
      <c r="H258" s="16">
        <f t="shared" si="89"/>
        <v>1.0553876900000001</v>
      </c>
      <c r="I258" s="16">
        <v>1.7731653075</v>
      </c>
      <c r="J258" s="16">
        <v>0.45</v>
      </c>
      <c r="K258" s="16">
        <v>0.68259041749999994</v>
      </c>
      <c r="L258" s="16">
        <v>0</v>
      </c>
      <c r="M258" s="16">
        <v>0.23760682999999999</v>
      </c>
      <c r="N258" s="16">
        <v>0.60538769000000003</v>
      </c>
      <c r="O258" s="16">
        <v>81.838028288999993</v>
      </c>
      <c r="P258" s="16">
        <v>0</v>
      </c>
      <c r="Q258" s="16">
        <f t="shared" si="90"/>
        <v>170.48534143200001</v>
      </c>
      <c r="R258" s="16">
        <f t="shared" si="91"/>
        <v>-1.6379748649999997</v>
      </c>
      <c r="S258" s="14">
        <f t="shared" si="87"/>
        <v>-0.60815238630211066</v>
      </c>
      <c r="T258" s="13" t="s">
        <v>739</v>
      </c>
      <c r="U258" s="9"/>
      <c r="V258" s="12"/>
      <c r="X258" s="10"/>
    </row>
    <row r="259" spans="1:24" s="3" customFormat="1" ht="47.25" x14ac:dyDescent="0.25">
      <c r="A259" s="43" t="s">
        <v>728</v>
      </c>
      <c r="B259" s="42" t="s">
        <v>738</v>
      </c>
      <c r="C259" s="19" t="s">
        <v>737</v>
      </c>
      <c r="D259" s="16">
        <v>14.328000000000001</v>
      </c>
      <c r="E259" s="18">
        <v>0</v>
      </c>
      <c r="F259" s="16">
        <f t="shared" si="88"/>
        <v>14.328000000000001</v>
      </c>
      <c r="G259" s="17">
        <v>13.691000000000001</v>
      </c>
      <c r="H259" s="16">
        <f t="shared" si="89"/>
        <v>0.93628728000000006</v>
      </c>
      <c r="I259" s="16">
        <v>0</v>
      </c>
      <c r="J259" s="16">
        <v>0</v>
      </c>
      <c r="K259" s="16">
        <v>0</v>
      </c>
      <c r="L259" s="16">
        <v>0</v>
      </c>
      <c r="M259" s="16">
        <v>1.4430000000000001</v>
      </c>
      <c r="N259" s="16">
        <v>0.93628728000000006</v>
      </c>
      <c r="O259" s="16">
        <v>12.247999999999999</v>
      </c>
      <c r="P259" s="16">
        <v>0</v>
      </c>
      <c r="Q259" s="16">
        <f t="shared" si="90"/>
        <v>13.391712720000001</v>
      </c>
      <c r="R259" s="16">
        <f t="shared" si="91"/>
        <v>-0.50671272000000001</v>
      </c>
      <c r="S259" s="14">
        <f t="shared" si="87"/>
        <v>-0.35115226611226608</v>
      </c>
      <c r="T259" s="13" t="s">
        <v>736</v>
      </c>
      <c r="U259" s="9"/>
      <c r="V259" s="12"/>
      <c r="X259" s="10"/>
    </row>
    <row r="260" spans="1:24" s="3" customFormat="1" ht="31.5" x14ac:dyDescent="0.25">
      <c r="A260" s="43" t="s">
        <v>728</v>
      </c>
      <c r="B260" s="42" t="s">
        <v>735</v>
      </c>
      <c r="C260" s="19" t="s">
        <v>734</v>
      </c>
      <c r="D260" s="16">
        <v>71.64</v>
      </c>
      <c r="E260" s="18">
        <v>0</v>
      </c>
      <c r="F260" s="16">
        <f t="shared" si="88"/>
        <v>71.64</v>
      </c>
      <c r="G260" s="17">
        <v>31.59</v>
      </c>
      <c r="H260" s="16">
        <f t="shared" si="89"/>
        <v>0</v>
      </c>
      <c r="I260" s="16">
        <v>0</v>
      </c>
      <c r="J260" s="16">
        <v>0</v>
      </c>
      <c r="K260" s="16">
        <v>0.25</v>
      </c>
      <c r="L260" s="16">
        <v>0</v>
      </c>
      <c r="M260" s="16">
        <v>3.7547250475</v>
      </c>
      <c r="N260" s="16">
        <v>0</v>
      </c>
      <c r="O260" s="16">
        <v>27.585274952500001</v>
      </c>
      <c r="P260" s="16">
        <v>0</v>
      </c>
      <c r="Q260" s="16">
        <f t="shared" si="90"/>
        <v>71.64</v>
      </c>
      <c r="R260" s="16">
        <f t="shared" si="91"/>
        <v>-4.0047250475</v>
      </c>
      <c r="S260" s="14">
        <f t="shared" si="87"/>
        <v>-1</v>
      </c>
      <c r="T260" s="13" t="s">
        <v>733</v>
      </c>
      <c r="U260" s="9"/>
      <c r="V260" s="12"/>
      <c r="X260" s="10"/>
    </row>
    <row r="261" spans="1:24" s="3" customFormat="1" ht="31.5" x14ac:dyDescent="0.25">
      <c r="A261" s="43" t="s">
        <v>728</v>
      </c>
      <c r="B261" s="42" t="s">
        <v>732</v>
      </c>
      <c r="C261" s="19" t="s">
        <v>731</v>
      </c>
      <c r="D261" s="16" t="s">
        <v>0</v>
      </c>
      <c r="E261" s="18" t="s">
        <v>0</v>
      </c>
      <c r="F261" s="16" t="s">
        <v>0</v>
      </c>
      <c r="G261" s="17" t="s">
        <v>0</v>
      </c>
      <c r="H261" s="16">
        <f t="shared" si="89"/>
        <v>2.5619999999999998</v>
      </c>
      <c r="I261" s="16" t="s">
        <v>0</v>
      </c>
      <c r="J261" s="16">
        <v>2.4339</v>
      </c>
      <c r="K261" s="16" t="s">
        <v>0</v>
      </c>
      <c r="L261" s="16">
        <v>0.12809999999999999</v>
      </c>
      <c r="M261" s="16" t="s">
        <v>0</v>
      </c>
      <c r="N261" s="16">
        <v>0</v>
      </c>
      <c r="O261" s="16" t="s">
        <v>0</v>
      </c>
      <c r="P261" s="16">
        <v>0</v>
      </c>
      <c r="Q261" s="16" t="s">
        <v>0</v>
      </c>
      <c r="R261" s="16" t="s">
        <v>0</v>
      </c>
      <c r="S261" s="32" t="s">
        <v>0</v>
      </c>
      <c r="T261" s="65" t="s">
        <v>195</v>
      </c>
      <c r="U261" s="9"/>
      <c r="V261" s="12"/>
      <c r="X261" s="10"/>
    </row>
    <row r="262" spans="1:24" s="3" customFormat="1" ht="31.5" x14ac:dyDescent="0.25">
      <c r="A262" s="43" t="s">
        <v>728</v>
      </c>
      <c r="B262" s="42" t="s">
        <v>730</v>
      </c>
      <c r="C262" s="19" t="s">
        <v>729</v>
      </c>
      <c r="D262" s="16" t="s">
        <v>0</v>
      </c>
      <c r="E262" s="18" t="s">
        <v>0</v>
      </c>
      <c r="F262" s="16" t="s">
        <v>0</v>
      </c>
      <c r="G262" s="17" t="s">
        <v>0</v>
      </c>
      <c r="H262" s="16">
        <f t="shared" si="89"/>
        <v>0.41676649999999998</v>
      </c>
      <c r="I262" s="16" t="s">
        <v>0</v>
      </c>
      <c r="J262" s="16">
        <v>0.3551415</v>
      </c>
      <c r="K262" s="16" t="s">
        <v>0</v>
      </c>
      <c r="L262" s="16">
        <v>6.1624999999999999E-2</v>
      </c>
      <c r="M262" s="16" t="s">
        <v>0</v>
      </c>
      <c r="N262" s="16">
        <v>0</v>
      </c>
      <c r="O262" s="16" t="s">
        <v>0</v>
      </c>
      <c r="P262" s="16">
        <v>0</v>
      </c>
      <c r="Q262" s="16" t="s">
        <v>0</v>
      </c>
      <c r="R262" s="16" t="s">
        <v>0</v>
      </c>
      <c r="S262" s="32" t="s">
        <v>0</v>
      </c>
      <c r="T262" s="22" t="s">
        <v>195</v>
      </c>
      <c r="U262" s="9"/>
      <c r="V262" s="12"/>
      <c r="X262" s="10"/>
    </row>
    <row r="263" spans="1:24" s="3" customFormat="1" ht="63" x14ac:dyDescent="0.25">
      <c r="A263" s="43" t="s">
        <v>728</v>
      </c>
      <c r="B263" s="42" t="s">
        <v>727</v>
      </c>
      <c r="C263" s="19" t="s">
        <v>726</v>
      </c>
      <c r="D263" s="16" t="s">
        <v>0</v>
      </c>
      <c r="E263" s="18" t="s">
        <v>0</v>
      </c>
      <c r="F263" s="16" t="s">
        <v>0</v>
      </c>
      <c r="G263" s="17" t="s">
        <v>0</v>
      </c>
      <c r="H263" s="16">
        <f t="shared" si="89"/>
        <v>1.0685895599999999</v>
      </c>
      <c r="I263" s="16" t="s">
        <v>0</v>
      </c>
      <c r="J263" s="16">
        <v>1.0685895599999999</v>
      </c>
      <c r="K263" s="16" t="s">
        <v>0</v>
      </c>
      <c r="L263" s="16">
        <v>0</v>
      </c>
      <c r="M263" s="16" t="s">
        <v>0</v>
      </c>
      <c r="N263" s="16">
        <v>0</v>
      </c>
      <c r="O263" s="16" t="s">
        <v>0</v>
      </c>
      <c r="P263" s="16">
        <v>0</v>
      </c>
      <c r="Q263" s="16" t="s">
        <v>0</v>
      </c>
      <c r="R263" s="16" t="s">
        <v>0</v>
      </c>
      <c r="S263" s="32" t="s">
        <v>0</v>
      </c>
      <c r="T263" s="22" t="s">
        <v>195</v>
      </c>
      <c r="U263" s="9"/>
      <c r="V263" s="12"/>
      <c r="X263" s="10"/>
    </row>
    <row r="264" spans="1:24" s="3" customFormat="1" ht="47.25" x14ac:dyDescent="0.25">
      <c r="A264" s="35" t="s">
        <v>725</v>
      </c>
      <c r="B264" s="37" t="s">
        <v>34</v>
      </c>
      <c r="C264" s="33" t="s">
        <v>11</v>
      </c>
      <c r="D264" s="28">
        <f t="shared" ref="D264:R264" si="92">D265</f>
        <v>0</v>
      </c>
      <c r="E264" s="28">
        <f t="shared" si="92"/>
        <v>0</v>
      </c>
      <c r="F264" s="28">
        <f t="shared" si="92"/>
        <v>0</v>
      </c>
      <c r="G264" s="28">
        <f t="shared" si="92"/>
        <v>0</v>
      </c>
      <c r="H264" s="28">
        <f t="shared" si="92"/>
        <v>0</v>
      </c>
      <c r="I264" s="28">
        <f t="shared" si="92"/>
        <v>0</v>
      </c>
      <c r="J264" s="28">
        <f t="shared" si="92"/>
        <v>0</v>
      </c>
      <c r="K264" s="28">
        <f t="shared" si="92"/>
        <v>0</v>
      </c>
      <c r="L264" s="28">
        <f t="shared" si="92"/>
        <v>0</v>
      </c>
      <c r="M264" s="28">
        <f t="shared" si="92"/>
        <v>0</v>
      </c>
      <c r="N264" s="28">
        <f t="shared" si="92"/>
        <v>0</v>
      </c>
      <c r="O264" s="28">
        <f t="shared" si="92"/>
        <v>0</v>
      </c>
      <c r="P264" s="28">
        <f t="shared" si="92"/>
        <v>0</v>
      </c>
      <c r="Q264" s="28">
        <f t="shared" si="92"/>
        <v>0</v>
      </c>
      <c r="R264" s="28">
        <f t="shared" si="92"/>
        <v>0</v>
      </c>
      <c r="S264" s="27">
        <v>0</v>
      </c>
      <c r="T264" s="26" t="s">
        <v>0</v>
      </c>
      <c r="U264" s="9"/>
      <c r="V264" s="12"/>
      <c r="X264" s="10"/>
    </row>
    <row r="265" spans="1:24" s="3" customFormat="1" x14ac:dyDescent="0.25">
      <c r="A265" s="35" t="s">
        <v>724</v>
      </c>
      <c r="B265" s="37" t="s">
        <v>723</v>
      </c>
      <c r="C265" s="33" t="s">
        <v>11</v>
      </c>
      <c r="D265" s="28">
        <f t="shared" ref="D265:R265" si="93">D266+D267</f>
        <v>0</v>
      </c>
      <c r="E265" s="28">
        <f t="shared" si="93"/>
        <v>0</v>
      </c>
      <c r="F265" s="28">
        <f t="shared" si="93"/>
        <v>0</v>
      </c>
      <c r="G265" s="28">
        <f t="shared" si="93"/>
        <v>0</v>
      </c>
      <c r="H265" s="28">
        <f t="shared" si="93"/>
        <v>0</v>
      </c>
      <c r="I265" s="28">
        <f t="shared" si="93"/>
        <v>0</v>
      </c>
      <c r="J265" s="28">
        <f t="shared" si="93"/>
        <v>0</v>
      </c>
      <c r="K265" s="28">
        <f t="shared" si="93"/>
        <v>0</v>
      </c>
      <c r="L265" s="28">
        <f t="shared" si="93"/>
        <v>0</v>
      </c>
      <c r="M265" s="28">
        <f t="shared" si="93"/>
        <v>0</v>
      </c>
      <c r="N265" s="28">
        <f t="shared" si="93"/>
        <v>0</v>
      </c>
      <c r="O265" s="28">
        <f t="shared" si="93"/>
        <v>0</v>
      </c>
      <c r="P265" s="28">
        <f t="shared" si="93"/>
        <v>0</v>
      </c>
      <c r="Q265" s="28">
        <f t="shared" si="93"/>
        <v>0</v>
      </c>
      <c r="R265" s="28">
        <f t="shared" si="93"/>
        <v>0</v>
      </c>
      <c r="S265" s="27">
        <v>0</v>
      </c>
      <c r="T265" s="26" t="s">
        <v>0</v>
      </c>
      <c r="U265" s="9"/>
      <c r="V265" s="12"/>
      <c r="X265" s="10"/>
    </row>
    <row r="266" spans="1:24" s="3" customFormat="1" ht="47.25" x14ac:dyDescent="0.25">
      <c r="A266" s="35" t="s">
        <v>722</v>
      </c>
      <c r="B266" s="37" t="s">
        <v>27</v>
      </c>
      <c r="C266" s="33" t="s">
        <v>11</v>
      </c>
      <c r="D266" s="28">
        <v>0</v>
      </c>
      <c r="E266" s="28">
        <v>0</v>
      </c>
      <c r="F266" s="28">
        <v>0</v>
      </c>
      <c r="G266" s="28">
        <v>0</v>
      </c>
      <c r="H266" s="28">
        <v>0</v>
      </c>
      <c r="I266" s="28">
        <v>0</v>
      </c>
      <c r="J266" s="28">
        <v>0</v>
      </c>
      <c r="K266" s="28">
        <v>0</v>
      </c>
      <c r="L266" s="28">
        <v>0</v>
      </c>
      <c r="M266" s="28">
        <v>0</v>
      </c>
      <c r="N266" s="28">
        <v>0</v>
      </c>
      <c r="O266" s="28">
        <v>0</v>
      </c>
      <c r="P266" s="28">
        <v>0</v>
      </c>
      <c r="Q266" s="28">
        <v>0</v>
      </c>
      <c r="R266" s="28">
        <v>0</v>
      </c>
      <c r="S266" s="27">
        <v>0</v>
      </c>
      <c r="T266" s="26" t="s">
        <v>0</v>
      </c>
      <c r="U266" s="9"/>
      <c r="V266" s="12"/>
      <c r="X266" s="10"/>
    </row>
    <row r="267" spans="1:24" s="3" customFormat="1" ht="47.25" x14ac:dyDescent="0.25">
      <c r="A267" s="35" t="s">
        <v>721</v>
      </c>
      <c r="B267" s="37" t="s">
        <v>25</v>
      </c>
      <c r="C267" s="33" t="s">
        <v>11</v>
      </c>
      <c r="D267" s="28">
        <v>0</v>
      </c>
      <c r="E267" s="28">
        <v>0</v>
      </c>
      <c r="F267" s="28">
        <v>0</v>
      </c>
      <c r="G267" s="28">
        <v>0</v>
      </c>
      <c r="H267" s="28">
        <v>0</v>
      </c>
      <c r="I267" s="28">
        <v>0</v>
      </c>
      <c r="J267" s="28">
        <v>0</v>
      </c>
      <c r="K267" s="28">
        <v>0</v>
      </c>
      <c r="L267" s="28">
        <v>0</v>
      </c>
      <c r="M267" s="28">
        <v>0</v>
      </c>
      <c r="N267" s="28">
        <v>0</v>
      </c>
      <c r="O267" s="28">
        <v>0</v>
      </c>
      <c r="P267" s="28">
        <v>0</v>
      </c>
      <c r="Q267" s="28">
        <v>0</v>
      </c>
      <c r="R267" s="28">
        <v>0</v>
      </c>
      <c r="S267" s="27">
        <v>0</v>
      </c>
      <c r="T267" s="26" t="s">
        <v>0</v>
      </c>
      <c r="U267" s="9"/>
      <c r="V267" s="12"/>
      <c r="X267" s="10"/>
    </row>
    <row r="268" spans="1:24" s="3" customFormat="1" x14ac:dyDescent="0.25">
      <c r="A268" s="35" t="s">
        <v>720</v>
      </c>
      <c r="B268" s="37" t="s">
        <v>29</v>
      </c>
      <c r="C268" s="33" t="s">
        <v>11</v>
      </c>
      <c r="D268" s="28">
        <v>0</v>
      </c>
      <c r="E268" s="28">
        <v>0</v>
      </c>
      <c r="F268" s="28">
        <v>0</v>
      </c>
      <c r="G268" s="28">
        <v>0</v>
      </c>
      <c r="H268" s="28">
        <v>0</v>
      </c>
      <c r="I268" s="28">
        <v>0</v>
      </c>
      <c r="J268" s="28">
        <v>0</v>
      </c>
      <c r="K268" s="28">
        <v>0</v>
      </c>
      <c r="L268" s="28">
        <v>0</v>
      </c>
      <c r="M268" s="28">
        <v>0</v>
      </c>
      <c r="N268" s="28">
        <v>0</v>
      </c>
      <c r="O268" s="28">
        <v>0</v>
      </c>
      <c r="P268" s="28">
        <v>0</v>
      </c>
      <c r="Q268" s="28">
        <v>0</v>
      </c>
      <c r="R268" s="28">
        <v>0</v>
      </c>
      <c r="S268" s="27">
        <v>0</v>
      </c>
      <c r="T268" s="26" t="s">
        <v>0</v>
      </c>
      <c r="U268" s="9"/>
      <c r="V268" s="12"/>
      <c r="X268" s="10"/>
    </row>
    <row r="269" spans="1:24" s="3" customFormat="1" ht="47.25" x14ac:dyDescent="0.25">
      <c r="A269" s="35" t="s">
        <v>719</v>
      </c>
      <c r="B269" s="37" t="s">
        <v>27</v>
      </c>
      <c r="C269" s="33" t="s">
        <v>11</v>
      </c>
      <c r="D269" s="28">
        <v>0</v>
      </c>
      <c r="E269" s="28">
        <v>0</v>
      </c>
      <c r="F269" s="28">
        <v>0</v>
      </c>
      <c r="G269" s="28">
        <v>0</v>
      </c>
      <c r="H269" s="28">
        <v>0</v>
      </c>
      <c r="I269" s="28">
        <v>0</v>
      </c>
      <c r="J269" s="28">
        <v>0</v>
      </c>
      <c r="K269" s="28">
        <v>0</v>
      </c>
      <c r="L269" s="28">
        <v>0</v>
      </c>
      <c r="M269" s="28">
        <v>0</v>
      </c>
      <c r="N269" s="28">
        <v>0</v>
      </c>
      <c r="O269" s="28">
        <v>0</v>
      </c>
      <c r="P269" s="28">
        <v>0</v>
      </c>
      <c r="Q269" s="28">
        <v>0</v>
      </c>
      <c r="R269" s="28">
        <v>0</v>
      </c>
      <c r="S269" s="27">
        <v>0</v>
      </c>
      <c r="T269" s="26" t="s">
        <v>0</v>
      </c>
      <c r="U269" s="9"/>
      <c r="V269" s="12"/>
      <c r="X269" s="10"/>
    </row>
    <row r="270" spans="1:24" s="3" customFormat="1" ht="47.25" x14ac:dyDescent="0.25">
      <c r="A270" s="35" t="s">
        <v>718</v>
      </c>
      <c r="B270" s="37" t="s">
        <v>25</v>
      </c>
      <c r="C270" s="33" t="s">
        <v>11</v>
      </c>
      <c r="D270" s="28">
        <v>0</v>
      </c>
      <c r="E270" s="28">
        <v>0</v>
      </c>
      <c r="F270" s="28">
        <v>0</v>
      </c>
      <c r="G270" s="28">
        <v>0</v>
      </c>
      <c r="H270" s="28">
        <v>0</v>
      </c>
      <c r="I270" s="28">
        <v>0</v>
      </c>
      <c r="J270" s="28">
        <v>0</v>
      </c>
      <c r="K270" s="28">
        <v>0</v>
      </c>
      <c r="L270" s="28">
        <v>0</v>
      </c>
      <c r="M270" s="28">
        <v>0</v>
      </c>
      <c r="N270" s="28">
        <v>0</v>
      </c>
      <c r="O270" s="28">
        <v>0</v>
      </c>
      <c r="P270" s="28">
        <v>0</v>
      </c>
      <c r="Q270" s="28">
        <v>0</v>
      </c>
      <c r="R270" s="28">
        <v>0</v>
      </c>
      <c r="S270" s="27">
        <v>0</v>
      </c>
      <c r="T270" s="26" t="s">
        <v>0</v>
      </c>
      <c r="U270" s="9"/>
      <c r="V270" s="12"/>
      <c r="X270" s="10"/>
    </row>
    <row r="271" spans="1:24" s="3" customFormat="1" x14ac:dyDescent="0.25">
      <c r="A271" s="35" t="s">
        <v>717</v>
      </c>
      <c r="B271" s="37" t="s">
        <v>23</v>
      </c>
      <c r="C271" s="33" t="s">
        <v>11</v>
      </c>
      <c r="D271" s="28">
        <f t="shared" ref="D271:R271" si="94">D272+D273+D274+D275</f>
        <v>6874.9361586303994</v>
      </c>
      <c r="E271" s="28">
        <f t="shared" si="94"/>
        <v>170.80821317000002</v>
      </c>
      <c r="F271" s="28">
        <f t="shared" si="94"/>
        <v>6704.1279454603991</v>
      </c>
      <c r="G271" s="28">
        <f t="shared" si="94"/>
        <v>8.1000000000000003E-2</v>
      </c>
      <c r="H271" s="28">
        <f t="shared" si="94"/>
        <v>1.7803628800000002</v>
      </c>
      <c r="I271" s="28">
        <f t="shared" si="94"/>
        <v>0.02</v>
      </c>
      <c r="J271" s="28">
        <f t="shared" si="94"/>
        <v>0.59128840000000005</v>
      </c>
      <c r="K271" s="28">
        <f t="shared" si="94"/>
        <v>0.02</v>
      </c>
      <c r="L271" s="28">
        <f t="shared" si="94"/>
        <v>0.59128840000000005</v>
      </c>
      <c r="M271" s="28">
        <f t="shared" si="94"/>
        <v>0.02</v>
      </c>
      <c r="N271" s="28">
        <f t="shared" si="94"/>
        <v>0.59778608</v>
      </c>
      <c r="O271" s="28">
        <f t="shared" si="94"/>
        <v>2.1000000000000001E-2</v>
      </c>
      <c r="P271" s="28">
        <f t="shared" si="94"/>
        <v>0</v>
      </c>
      <c r="Q271" s="28">
        <f t="shared" si="94"/>
        <v>6702.3475825803989</v>
      </c>
      <c r="R271" s="28">
        <f t="shared" si="94"/>
        <v>1.7203628800000001</v>
      </c>
      <c r="S271" s="27">
        <f>R271/(I271+K271+M271)</f>
        <v>28.672714666666671</v>
      </c>
      <c r="T271" s="26" t="s">
        <v>0</v>
      </c>
      <c r="U271" s="9"/>
      <c r="V271" s="12"/>
      <c r="X271" s="10"/>
    </row>
    <row r="272" spans="1:24" s="3" customFormat="1" ht="31.5" x14ac:dyDescent="0.25">
      <c r="A272" s="35" t="s">
        <v>716</v>
      </c>
      <c r="B272" s="37" t="s">
        <v>21</v>
      </c>
      <c r="C272" s="33" t="s">
        <v>11</v>
      </c>
      <c r="D272" s="28">
        <v>0</v>
      </c>
      <c r="E272" s="28">
        <v>0</v>
      </c>
      <c r="F272" s="28">
        <v>0</v>
      </c>
      <c r="G272" s="28">
        <v>0</v>
      </c>
      <c r="H272" s="28">
        <v>0</v>
      </c>
      <c r="I272" s="28">
        <v>0</v>
      </c>
      <c r="J272" s="28">
        <v>0</v>
      </c>
      <c r="K272" s="28">
        <v>0</v>
      </c>
      <c r="L272" s="28">
        <v>0</v>
      </c>
      <c r="M272" s="28">
        <v>0</v>
      </c>
      <c r="N272" s="28">
        <v>0</v>
      </c>
      <c r="O272" s="28">
        <v>0</v>
      </c>
      <c r="P272" s="28">
        <v>0</v>
      </c>
      <c r="Q272" s="28">
        <v>0</v>
      </c>
      <c r="R272" s="28">
        <v>0</v>
      </c>
      <c r="S272" s="27">
        <v>0</v>
      </c>
      <c r="T272" s="26" t="s">
        <v>0</v>
      </c>
      <c r="U272" s="9"/>
      <c r="V272" s="12"/>
      <c r="X272" s="10"/>
    </row>
    <row r="273" spans="1:24" s="3" customFormat="1" x14ac:dyDescent="0.25">
      <c r="A273" s="35" t="s">
        <v>715</v>
      </c>
      <c r="B273" s="37" t="s">
        <v>19</v>
      </c>
      <c r="C273" s="33" t="s">
        <v>11</v>
      </c>
      <c r="D273" s="28">
        <v>0</v>
      </c>
      <c r="E273" s="28">
        <v>0</v>
      </c>
      <c r="F273" s="28">
        <v>0</v>
      </c>
      <c r="G273" s="28">
        <v>0</v>
      </c>
      <c r="H273" s="28">
        <v>0</v>
      </c>
      <c r="I273" s="28">
        <v>0</v>
      </c>
      <c r="J273" s="28">
        <v>0</v>
      </c>
      <c r="K273" s="28">
        <v>0</v>
      </c>
      <c r="L273" s="28">
        <v>0</v>
      </c>
      <c r="M273" s="28">
        <v>0</v>
      </c>
      <c r="N273" s="28">
        <v>0</v>
      </c>
      <c r="O273" s="28">
        <v>0</v>
      </c>
      <c r="P273" s="28">
        <v>0</v>
      </c>
      <c r="Q273" s="28">
        <v>0</v>
      </c>
      <c r="R273" s="28">
        <v>0</v>
      </c>
      <c r="S273" s="27">
        <v>0</v>
      </c>
      <c r="T273" s="26" t="s">
        <v>0</v>
      </c>
      <c r="U273" s="9"/>
      <c r="V273" s="12"/>
      <c r="X273" s="10"/>
    </row>
    <row r="274" spans="1:24" s="3" customFormat="1" x14ac:dyDescent="0.25">
      <c r="A274" s="35" t="s">
        <v>714</v>
      </c>
      <c r="B274" s="37" t="s">
        <v>17</v>
      </c>
      <c r="C274" s="33" t="s">
        <v>11</v>
      </c>
      <c r="D274" s="28">
        <v>0</v>
      </c>
      <c r="E274" s="28">
        <v>0</v>
      </c>
      <c r="F274" s="28">
        <v>0</v>
      </c>
      <c r="G274" s="28">
        <v>0</v>
      </c>
      <c r="H274" s="28">
        <v>0</v>
      </c>
      <c r="I274" s="28">
        <v>0</v>
      </c>
      <c r="J274" s="28">
        <v>0</v>
      </c>
      <c r="K274" s="28">
        <v>0</v>
      </c>
      <c r="L274" s="28">
        <v>0</v>
      </c>
      <c r="M274" s="28">
        <v>0</v>
      </c>
      <c r="N274" s="28">
        <v>0</v>
      </c>
      <c r="O274" s="28">
        <v>0</v>
      </c>
      <c r="P274" s="28">
        <v>0</v>
      </c>
      <c r="Q274" s="28">
        <v>0</v>
      </c>
      <c r="R274" s="28">
        <v>0</v>
      </c>
      <c r="S274" s="27">
        <v>0</v>
      </c>
      <c r="T274" s="26" t="s">
        <v>0</v>
      </c>
      <c r="U274" s="9"/>
      <c r="V274" s="12"/>
      <c r="X274" s="10"/>
    </row>
    <row r="275" spans="1:24" s="3" customFormat="1" x14ac:dyDescent="0.25">
      <c r="A275" s="35" t="s">
        <v>713</v>
      </c>
      <c r="B275" s="37" t="s">
        <v>15</v>
      </c>
      <c r="C275" s="33" t="s">
        <v>11</v>
      </c>
      <c r="D275" s="28">
        <f t="shared" ref="D275:R275" si="95">SUM(D276)</f>
        <v>6874.9361586303994</v>
      </c>
      <c r="E275" s="28">
        <f t="shared" si="95"/>
        <v>170.80821317000002</v>
      </c>
      <c r="F275" s="28">
        <f t="shared" si="95"/>
        <v>6704.1279454603991</v>
      </c>
      <c r="G275" s="28">
        <f t="shared" si="95"/>
        <v>8.1000000000000003E-2</v>
      </c>
      <c r="H275" s="28">
        <f t="shared" si="95"/>
        <v>1.7803628800000002</v>
      </c>
      <c r="I275" s="28">
        <f t="shared" si="95"/>
        <v>0.02</v>
      </c>
      <c r="J275" s="28">
        <f t="shared" si="95"/>
        <v>0.59128840000000005</v>
      </c>
      <c r="K275" s="28">
        <f t="shared" si="95"/>
        <v>0.02</v>
      </c>
      <c r="L275" s="28">
        <f t="shared" si="95"/>
        <v>0.59128840000000005</v>
      </c>
      <c r="M275" s="28">
        <f t="shared" si="95"/>
        <v>0.02</v>
      </c>
      <c r="N275" s="28">
        <f t="shared" si="95"/>
        <v>0.59778608</v>
      </c>
      <c r="O275" s="28">
        <f t="shared" si="95"/>
        <v>2.1000000000000001E-2</v>
      </c>
      <c r="P275" s="28">
        <f t="shared" si="95"/>
        <v>0</v>
      </c>
      <c r="Q275" s="28">
        <f t="shared" si="95"/>
        <v>6702.3475825803989</v>
      </c>
      <c r="R275" s="28">
        <f t="shared" si="95"/>
        <v>1.7203628800000001</v>
      </c>
      <c r="S275" s="27">
        <f>R275/(I275+K275+M275)</f>
        <v>28.672714666666671</v>
      </c>
      <c r="T275" s="26" t="s">
        <v>0</v>
      </c>
      <c r="U275" s="9"/>
      <c r="V275" s="12"/>
      <c r="X275" s="10"/>
    </row>
    <row r="276" spans="1:24" s="3" customFormat="1" ht="31.5" x14ac:dyDescent="0.25">
      <c r="A276" s="43" t="s">
        <v>713</v>
      </c>
      <c r="B276" s="20" t="s">
        <v>712</v>
      </c>
      <c r="C276" s="41" t="s">
        <v>711</v>
      </c>
      <c r="D276" s="16">
        <v>6874.9361586303994</v>
      </c>
      <c r="E276" s="18">
        <v>170.80821317000002</v>
      </c>
      <c r="F276" s="16">
        <f>D276-E276</f>
        <v>6704.1279454603991</v>
      </c>
      <c r="G276" s="17">
        <v>8.1000000000000003E-2</v>
      </c>
      <c r="H276" s="16">
        <f>J276+L276+N276+P276</f>
        <v>1.7803628800000002</v>
      </c>
      <c r="I276" s="16">
        <v>0.02</v>
      </c>
      <c r="J276" s="16">
        <v>0.59128840000000005</v>
      </c>
      <c r="K276" s="16">
        <v>0.02</v>
      </c>
      <c r="L276" s="16">
        <v>0.59128840000000005</v>
      </c>
      <c r="M276" s="16">
        <v>0.02</v>
      </c>
      <c r="N276" s="16">
        <v>0.59778608</v>
      </c>
      <c r="O276" s="16">
        <v>2.1000000000000001E-2</v>
      </c>
      <c r="P276" s="16">
        <v>0</v>
      </c>
      <c r="Q276" s="16">
        <f>F276-H276</f>
        <v>6702.3475825803989</v>
      </c>
      <c r="R276" s="16">
        <f>H276-(I276+K276+M276)</f>
        <v>1.7203628800000001</v>
      </c>
      <c r="S276" s="14">
        <f>R276/(I276+K276+M276)</f>
        <v>28.672714666666671</v>
      </c>
      <c r="T276" s="22" t="s">
        <v>710</v>
      </c>
      <c r="U276" s="9"/>
      <c r="V276" s="12"/>
      <c r="X276" s="10"/>
    </row>
    <row r="277" spans="1:24" s="3" customFormat="1" ht="31.5" x14ac:dyDescent="0.25">
      <c r="A277" s="35" t="s">
        <v>709</v>
      </c>
      <c r="B277" s="37" t="s">
        <v>13</v>
      </c>
      <c r="C277" s="33" t="s">
        <v>11</v>
      </c>
      <c r="D277" s="28">
        <v>0</v>
      </c>
      <c r="E277" s="28">
        <v>0</v>
      </c>
      <c r="F277" s="28">
        <v>0</v>
      </c>
      <c r="G277" s="28">
        <v>0</v>
      </c>
      <c r="H277" s="28">
        <v>0</v>
      </c>
      <c r="I277" s="28">
        <v>0</v>
      </c>
      <c r="J277" s="28">
        <v>0</v>
      </c>
      <c r="K277" s="28">
        <v>0</v>
      </c>
      <c r="L277" s="28">
        <v>0</v>
      </c>
      <c r="M277" s="28">
        <v>0</v>
      </c>
      <c r="N277" s="28">
        <v>0</v>
      </c>
      <c r="O277" s="28">
        <v>0</v>
      </c>
      <c r="P277" s="28">
        <v>0</v>
      </c>
      <c r="Q277" s="28">
        <v>0</v>
      </c>
      <c r="R277" s="28">
        <v>0</v>
      </c>
      <c r="S277" s="27">
        <v>0</v>
      </c>
      <c r="T277" s="26" t="s">
        <v>0</v>
      </c>
      <c r="U277" s="9"/>
      <c r="V277" s="12"/>
      <c r="X277" s="10"/>
    </row>
    <row r="278" spans="1:24" s="3" customFormat="1" x14ac:dyDescent="0.25">
      <c r="A278" s="35" t="s">
        <v>676</v>
      </c>
      <c r="B278" s="37" t="s">
        <v>12</v>
      </c>
      <c r="C278" s="33" t="s">
        <v>11</v>
      </c>
      <c r="D278" s="28">
        <f t="shared" ref="D278:R278" si="96">SUM(D279:D294)</f>
        <v>136.9572</v>
      </c>
      <c r="E278" s="28">
        <f t="shared" si="96"/>
        <v>0</v>
      </c>
      <c r="F278" s="28">
        <f t="shared" si="96"/>
        <v>136.9572</v>
      </c>
      <c r="G278" s="28">
        <f t="shared" si="96"/>
        <v>64.518000000000001</v>
      </c>
      <c r="H278" s="28">
        <f t="shared" si="96"/>
        <v>57.698601460000006</v>
      </c>
      <c r="I278" s="28">
        <f t="shared" si="96"/>
        <v>0.32159999999999994</v>
      </c>
      <c r="J278" s="28">
        <f t="shared" si="96"/>
        <v>2.4599953599999997</v>
      </c>
      <c r="K278" s="28">
        <f t="shared" si="96"/>
        <v>0.66599999999999993</v>
      </c>
      <c r="L278" s="28">
        <f t="shared" si="96"/>
        <v>52.107335160000005</v>
      </c>
      <c r="M278" s="28">
        <f t="shared" si="96"/>
        <v>5.4672000000000001</v>
      </c>
      <c r="N278" s="28">
        <f t="shared" si="96"/>
        <v>3.1312709399999998</v>
      </c>
      <c r="O278" s="28">
        <f t="shared" si="96"/>
        <v>58.063199999999995</v>
      </c>
      <c r="P278" s="28">
        <f t="shared" si="96"/>
        <v>0</v>
      </c>
      <c r="Q278" s="28">
        <f t="shared" si="96"/>
        <v>79.25859853999998</v>
      </c>
      <c r="R278" s="28">
        <f t="shared" si="96"/>
        <v>51.243801460000007</v>
      </c>
      <c r="S278" s="27">
        <f>R278/(I278+K278+M278)</f>
        <v>7.9388674257916607</v>
      </c>
      <c r="T278" s="26" t="s">
        <v>0</v>
      </c>
      <c r="U278" s="9"/>
      <c r="V278" s="12"/>
      <c r="X278" s="10"/>
    </row>
    <row r="279" spans="1:24" s="3" customFormat="1" ht="31.5" x14ac:dyDescent="0.25">
      <c r="A279" s="43" t="s">
        <v>676</v>
      </c>
      <c r="B279" s="20" t="s">
        <v>708</v>
      </c>
      <c r="C279" s="41" t="s">
        <v>707</v>
      </c>
      <c r="D279" s="16">
        <v>39.662400000000005</v>
      </c>
      <c r="E279" s="18">
        <v>0</v>
      </c>
      <c r="F279" s="16">
        <f t="shared" ref="F279:F294" si="97">D279-E279</f>
        <v>39.662400000000005</v>
      </c>
      <c r="G279" s="17">
        <v>12.486000000000001</v>
      </c>
      <c r="H279" s="16">
        <f t="shared" ref="H279:H294" si="98">J279+L279+N279+P279</f>
        <v>12.547703689999999</v>
      </c>
      <c r="I279" s="16">
        <v>0</v>
      </c>
      <c r="J279" s="16">
        <v>6.1704889999999998E-2</v>
      </c>
      <c r="K279" s="16">
        <v>0</v>
      </c>
      <c r="L279" s="16">
        <v>12.485998799999999</v>
      </c>
      <c r="M279" s="16">
        <v>0</v>
      </c>
      <c r="N279" s="16">
        <v>0</v>
      </c>
      <c r="O279" s="16">
        <v>12.486000000000001</v>
      </c>
      <c r="P279" s="16">
        <v>0</v>
      </c>
      <c r="Q279" s="16">
        <f t="shared" ref="Q279:Q294" si="99">F279-H279</f>
        <v>27.114696310000006</v>
      </c>
      <c r="R279" s="16">
        <f t="shared" ref="R279:R294" si="100">H279-(I279+K279+M279)</f>
        <v>12.547703689999999</v>
      </c>
      <c r="S279" s="14">
        <v>1</v>
      </c>
      <c r="T279" s="22" t="s">
        <v>2</v>
      </c>
      <c r="U279" s="9"/>
      <c r="V279" s="12"/>
      <c r="X279" s="10"/>
    </row>
    <row r="280" spans="1:24" s="3" customFormat="1" x14ac:dyDescent="0.25">
      <c r="A280" s="43" t="s">
        <v>676</v>
      </c>
      <c r="B280" s="20" t="s">
        <v>706</v>
      </c>
      <c r="C280" s="41" t="s">
        <v>705</v>
      </c>
      <c r="D280" s="16">
        <v>1.8731999999999998</v>
      </c>
      <c r="E280" s="18">
        <v>0</v>
      </c>
      <c r="F280" s="16">
        <f t="shared" si="97"/>
        <v>1.8731999999999998</v>
      </c>
      <c r="G280" s="17">
        <v>1.8731999999999998</v>
      </c>
      <c r="H280" s="16">
        <f t="shared" si="98"/>
        <v>1.8582000000000001</v>
      </c>
      <c r="I280" s="16">
        <v>0</v>
      </c>
      <c r="J280" s="16">
        <v>1.8582000000000001</v>
      </c>
      <c r="K280" s="16">
        <v>0</v>
      </c>
      <c r="L280" s="16">
        <v>0</v>
      </c>
      <c r="M280" s="16">
        <v>1.8732</v>
      </c>
      <c r="N280" s="16">
        <v>0</v>
      </c>
      <c r="O280" s="16">
        <v>0</v>
      </c>
      <c r="P280" s="16">
        <v>0</v>
      </c>
      <c r="Q280" s="16">
        <f t="shared" si="99"/>
        <v>1.499999999999968E-2</v>
      </c>
      <c r="R280" s="16">
        <f t="shared" si="100"/>
        <v>-1.4999999999999902E-2</v>
      </c>
      <c r="S280" s="14">
        <f>R280/(I280+K280+M280)</f>
        <v>-8.0076873798846371E-3</v>
      </c>
      <c r="T280" s="22" t="s">
        <v>0</v>
      </c>
      <c r="U280" s="9"/>
      <c r="V280" s="12"/>
      <c r="X280" s="10"/>
    </row>
    <row r="281" spans="1:24" s="3" customFormat="1" ht="31.5" x14ac:dyDescent="0.25">
      <c r="A281" s="43" t="s">
        <v>676</v>
      </c>
      <c r="B281" s="20" t="s">
        <v>704</v>
      </c>
      <c r="C281" s="41" t="s">
        <v>703</v>
      </c>
      <c r="D281" s="16">
        <v>6.6456</v>
      </c>
      <c r="E281" s="18">
        <v>0</v>
      </c>
      <c r="F281" s="16">
        <f t="shared" si="97"/>
        <v>6.6456</v>
      </c>
      <c r="G281" s="17">
        <v>3.0815999999999999</v>
      </c>
      <c r="H281" s="16">
        <f t="shared" si="98"/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3.0815999999999999</v>
      </c>
      <c r="P281" s="16">
        <v>0</v>
      </c>
      <c r="Q281" s="16">
        <f t="shared" si="99"/>
        <v>6.6456</v>
      </c>
      <c r="R281" s="16">
        <f t="shared" si="100"/>
        <v>0</v>
      </c>
      <c r="S281" s="14">
        <v>0</v>
      </c>
      <c r="T281" s="22" t="s">
        <v>0</v>
      </c>
      <c r="U281" s="9"/>
      <c r="V281" s="12"/>
      <c r="X281" s="10"/>
    </row>
    <row r="282" spans="1:24" s="3" customFormat="1" ht="31.5" x14ac:dyDescent="0.25">
      <c r="A282" s="43" t="s">
        <v>676</v>
      </c>
      <c r="B282" s="20" t="s">
        <v>702</v>
      </c>
      <c r="C282" s="41" t="s">
        <v>701</v>
      </c>
      <c r="D282" s="16">
        <v>80.066399999999987</v>
      </c>
      <c r="E282" s="18">
        <v>0</v>
      </c>
      <c r="F282" s="16">
        <f t="shared" si="97"/>
        <v>80.066399999999987</v>
      </c>
      <c r="G282" s="17">
        <v>38.367599999999996</v>
      </c>
      <c r="H282" s="16">
        <f t="shared" si="98"/>
        <v>38.557237670000006</v>
      </c>
      <c r="I282" s="16">
        <v>0</v>
      </c>
      <c r="J282" s="16">
        <v>0.18963886999999999</v>
      </c>
      <c r="K282" s="16">
        <v>0</v>
      </c>
      <c r="L282" s="16">
        <v>38.367598800000003</v>
      </c>
      <c r="M282" s="16">
        <v>0</v>
      </c>
      <c r="N282" s="16">
        <v>0</v>
      </c>
      <c r="O282" s="16">
        <v>38.367599999999996</v>
      </c>
      <c r="P282" s="16">
        <v>0</v>
      </c>
      <c r="Q282" s="16">
        <f t="shared" si="99"/>
        <v>41.509162329999981</v>
      </c>
      <c r="R282" s="16">
        <f t="shared" si="100"/>
        <v>38.557237670000006</v>
      </c>
      <c r="S282" s="14">
        <v>1</v>
      </c>
      <c r="T282" s="65" t="s">
        <v>2</v>
      </c>
      <c r="U282" s="9"/>
      <c r="V282" s="12"/>
      <c r="X282" s="10"/>
    </row>
    <row r="283" spans="1:24" s="3" customFormat="1" x14ac:dyDescent="0.25">
      <c r="A283" s="43" t="s">
        <v>676</v>
      </c>
      <c r="B283" s="20" t="s">
        <v>700</v>
      </c>
      <c r="C283" s="41" t="s">
        <v>699</v>
      </c>
      <c r="D283" s="16">
        <v>1.3715999999999999</v>
      </c>
      <c r="E283" s="18">
        <v>0</v>
      </c>
      <c r="F283" s="16">
        <f t="shared" si="97"/>
        <v>1.3715999999999999</v>
      </c>
      <c r="G283" s="17">
        <v>1.3715999999999999</v>
      </c>
      <c r="H283" s="16">
        <f t="shared" si="98"/>
        <v>1.3715999999999999</v>
      </c>
      <c r="I283" s="16">
        <v>0</v>
      </c>
      <c r="J283" s="16">
        <v>0</v>
      </c>
      <c r="K283" s="16">
        <v>0</v>
      </c>
      <c r="L283" s="16">
        <v>0</v>
      </c>
      <c r="M283" s="16">
        <v>1.3715999999999999</v>
      </c>
      <c r="N283" s="16">
        <v>1.3715999999999999</v>
      </c>
      <c r="O283" s="16">
        <v>0</v>
      </c>
      <c r="P283" s="16">
        <v>0</v>
      </c>
      <c r="Q283" s="16">
        <f t="shared" si="99"/>
        <v>0</v>
      </c>
      <c r="R283" s="16">
        <f t="shared" si="100"/>
        <v>0</v>
      </c>
      <c r="S283" s="14">
        <f>R283/(I283+K283+M283)</f>
        <v>0</v>
      </c>
      <c r="T283" s="61" t="s">
        <v>0</v>
      </c>
      <c r="U283" s="9"/>
      <c r="V283" s="12"/>
      <c r="X283" s="10"/>
    </row>
    <row r="284" spans="1:24" s="3" customFormat="1" ht="31.5" x14ac:dyDescent="0.25">
      <c r="A284" s="43" t="s">
        <v>676</v>
      </c>
      <c r="B284" s="20" t="s">
        <v>698</v>
      </c>
      <c r="C284" s="41" t="s">
        <v>697</v>
      </c>
      <c r="D284" s="16">
        <v>0.26159999999999994</v>
      </c>
      <c r="E284" s="18">
        <v>0</v>
      </c>
      <c r="F284" s="16">
        <f t="shared" si="97"/>
        <v>0.26159999999999994</v>
      </c>
      <c r="G284" s="17">
        <v>0.26159999999999994</v>
      </c>
      <c r="H284" s="16">
        <f t="shared" si="98"/>
        <v>0.312</v>
      </c>
      <c r="I284" s="16">
        <v>0.26159999999999994</v>
      </c>
      <c r="J284" s="16">
        <v>0</v>
      </c>
      <c r="K284" s="16">
        <v>0</v>
      </c>
      <c r="L284" s="16">
        <v>0</v>
      </c>
      <c r="M284" s="16">
        <v>0</v>
      </c>
      <c r="N284" s="16">
        <v>0.312</v>
      </c>
      <c r="O284" s="16">
        <v>0</v>
      </c>
      <c r="P284" s="16">
        <v>0</v>
      </c>
      <c r="Q284" s="16">
        <f t="shared" si="99"/>
        <v>-5.0400000000000056E-2</v>
      </c>
      <c r="R284" s="16">
        <f t="shared" si="100"/>
        <v>5.0400000000000056E-2</v>
      </c>
      <c r="S284" s="14">
        <f>R284/(I284+K284+M284)</f>
        <v>0.19266055045871586</v>
      </c>
      <c r="T284" s="65" t="s">
        <v>270</v>
      </c>
      <c r="U284" s="9"/>
      <c r="V284" s="12"/>
      <c r="X284" s="10"/>
    </row>
    <row r="285" spans="1:24" s="3" customFormat="1" ht="31.5" x14ac:dyDescent="0.25">
      <c r="A285" s="43" t="s">
        <v>676</v>
      </c>
      <c r="B285" s="20" t="s">
        <v>696</v>
      </c>
      <c r="C285" s="41" t="s">
        <v>695</v>
      </c>
      <c r="D285" s="16">
        <v>0.312</v>
      </c>
      <c r="E285" s="18">
        <v>0</v>
      </c>
      <c r="F285" s="16">
        <f t="shared" si="97"/>
        <v>0.312</v>
      </c>
      <c r="G285" s="17">
        <v>0.312</v>
      </c>
      <c r="H285" s="16">
        <f t="shared" si="98"/>
        <v>0</v>
      </c>
      <c r="I285" s="16">
        <v>0</v>
      </c>
      <c r="J285" s="16">
        <v>0</v>
      </c>
      <c r="K285" s="16">
        <v>0.312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f t="shared" si="99"/>
        <v>0.312</v>
      </c>
      <c r="R285" s="16">
        <f t="shared" si="100"/>
        <v>-0.312</v>
      </c>
      <c r="S285" s="14">
        <f>R285/(I285+K285+M285)</f>
        <v>-1</v>
      </c>
      <c r="T285" s="22" t="s">
        <v>694</v>
      </c>
      <c r="U285" s="9"/>
      <c r="V285" s="12"/>
      <c r="X285" s="10"/>
    </row>
    <row r="286" spans="1:24" s="3" customFormat="1" x14ac:dyDescent="0.25">
      <c r="A286" s="43" t="s">
        <v>676</v>
      </c>
      <c r="B286" s="20" t="s">
        <v>693</v>
      </c>
      <c r="C286" s="41" t="s">
        <v>692</v>
      </c>
      <c r="D286" s="16">
        <v>2.5571999999999999</v>
      </c>
      <c r="E286" s="18">
        <v>0</v>
      </c>
      <c r="F286" s="16">
        <f t="shared" si="97"/>
        <v>2.5571999999999999</v>
      </c>
      <c r="G286" s="17">
        <v>2.5571999999999999</v>
      </c>
      <c r="H286" s="16">
        <f t="shared" si="98"/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2.5571999999999999</v>
      </c>
      <c r="P286" s="16">
        <v>0</v>
      </c>
      <c r="Q286" s="16">
        <f t="shared" si="99"/>
        <v>2.5571999999999999</v>
      </c>
      <c r="R286" s="16">
        <f t="shared" si="100"/>
        <v>0</v>
      </c>
      <c r="S286" s="14">
        <v>0</v>
      </c>
      <c r="T286" s="61" t="s">
        <v>0</v>
      </c>
      <c r="U286" s="9"/>
      <c r="V286" s="12"/>
      <c r="X286" s="10"/>
    </row>
    <row r="287" spans="1:24" s="3" customFormat="1" ht="31.5" x14ac:dyDescent="0.25">
      <c r="A287" s="43" t="s">
        <v>676</v>
      </c>
      <c r="B287" s="20" t="s">
        <v>691</v>
      </c>
      <c r="C287" s="41" t="s">
        <v>690</v>
      </c>
      <c r="D287" s="16">
        <v>0.14399999999999999</v>
      </c>
      <c r="E287" s="18">
        <v>0</v>
      </c>
      <c r="F287" s="16">
        <f t="shared" si="97"/>
        <v>0.14399999999999999</v>
      </c>
      <c r="G287" s="17">
        <v>0.14399999999999999</v>
      </c>
      <c r="H287" s="16">
        <f t="shared" si="98"/>
        <v>8.9690939999999997E-2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8.9690939999999997E-2</v>
      </c>
      <c r="O287" s="16">
        <v>0.14399999999999999</v>
      </c>
      <c r="P287" s="16">
        <v>0</v>
      </c>
      <c r="Q287" s="16">
        <f t="shared" si="99"/>
        <v>5.4309059999999992E-2</v>
      </c>
      <c r="R287" s="16">
        <f t="shared" si="100"/>
        <v>8.9690939999999997E-2</v>
      </c>
      <c r="S287" s="14">
        <v>1</v>
      </c>
      <c r="T287" s="22" t="s">
        <v>2</v>
      </c>
      <c r="U287" s="9"/>
      <c r="V287" s="12"/>
      <c r="X287" s="10"/>
    </row>
    <row r="288" spans="1:24" s="3" customFormat="1" ht="31.5" x14ac:dyDescent="0.25">
      <c r="A288" s="43" t="s">
        <v>676</v>
      </c>
      <c r="B288" s="20" t="s">
        <v>689</v>
      </c>
      <c r="C288" s="41" t="s">
        <v>688</v>
      </c>
      <c r="D288" s="16">
        <v>0.44759999999999994</v>
      </c>
      <c r="E288" s="18">
        <v>0</v>
      </c>
      <c r="F288" s="16">
        <f t="shared" si="97"/>
        <v>0.44759999999999994</v>
      </c>
      <c r="G288" s="17">
        <v>0.44759999999999994</v>
      </c>
      <c r="H288" s="16">
        <f t="shared" si="98"/>
        <v>0.37878000000000001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0.37878000000000001</v>
      </c>
      <c r="O288" s="16">
        <v>0.4476</v>
      </c>
      <c r="P288" s="16">
        <v>0</v>
      </c>
      <c r="Q288" s="16">
        <f t="shared" si="99"/>
        <v>6.8819999999999937E-2</v>
      </c>
      <c r="R288" s="16">
        <f t="shared" si="100"/>
        <v>0.37878000000000001</v>
      </c>
      <c r="S288" s="14">
        <v>1</v>
      </c>
      <c r="T288" s="22" t="s">
        <v>2</v>
      </c>
      <c r="U288" s="9"/>
      <c r="V288" s="12"/>
      <c r="X288" s="10"/>
    </row>
    <row r="289" spans="1:24" s="3" customFormat="1" ht="31.5" x14ac:dyDescent="0.25">
      <c r="A289" s="43" t="s">
        <v>676</v>
      </c>
      <c r="B289" s="20" t="s">
        <v>687</v>
      </c>
      <c r="C289" s="41" t="s">
        <v>686</v>
      </c>
      <c r="D289" s="16">
        <v>0.97919999999999996</v>
      </c>
      <c r="E289" s="18">
        <v>0</v>
      </c>
      <c r="F289" s="16">
        <f t="shared" si="97"/>
        <v>0.97919999999999996</v>
      </c>
      <c r="G289" s="17">
        <v>0.97919999999999996</v>
      </c>
      <c r="H289" s="16">
        <f t="shared" si="98"/>
        <v>0.97919999999999996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0.97919999999999996</v>
      </c>
      <c r="O289" s="16">
        <v>0.97920000000000007</v>
      </c>
      <c r="P289" s="16">
        <v>0</v>
      </c>
      <c r="Q289" s="16">
        <f t="shared" si="99"/>
        <v>0</v>
      </c>
      <c r="R289" s="16">
        <f t="shared" si="100"/>
        <v>0.97919999999999996</v>
      </c>
      <c r="S289" s="14">
        <v>1</v>
      </c>
      <c r="T289" s="22" t="s">
        <v>2</v>
      </c>
      <c r="U289" s="9"/>
      <c r="V289" s="12"/>
      <c r="X289" s="10"/>
    </row>
    <row r="290" spans="1:24" s="3" customFormat="1" x14ac:dyDescent="0.25">
      <c r="A290" s="43" t="s">
        <v>676</v>
      </c>
      <c r="B290" s="20" t="s">
        <v>685</v>
      </c>
      <c r="C290" s="41" t="s">
        <v>684</v>
      </c>
      <c r="D290" s="16">
        <v>0.38639999999999997</v>
      </c>
      <c r="E290" s="18">
        <v>0</v>
      </c>
      <c r="F290" s="16">
        <f t="shared" si="97"/>
        <v>0.38639999999999997</v>
      </c>
      <c r="G290" s="17">
        <v>0.38639999999999997</v>
      </c>
      <c r="H290" s="16">
        <f t="shared" si="98"/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0.38639999999999997</v>
      </c>
      <c r="N290" s="16">
        <v>0</v>
      </c>
      <c r="O290" s="16">
        <v>0</v>
      </c>
      <c r="P290" s="16">
        <v>0</v>
      </c>
      <c r="Q290" s="16">
        <f t="shared" si="99"/>
        <v>0.38639999999999997</v>
      </c>
      <c r="R290" s="16">
        <f t="shared" si="100"/>
        <v>-0.38639999999999997</v>
      </c>
      <c r="S290" s="14">
        <f t="shared" ref="S290:S296" si="101">R290/(I290+K290+M290)</f>
        <v>-1</v>
      </c>
      <c r="T290" s="61" t="s">
        <v>0</v>
      </c>
      <c r="U290" s="9"/>
      <c r="V290" s="12"/>
      <c r="X290" s="10"/>
    </row>
    <row r="291" spans="1:24" s="3" customFormat="1" ht="31.5" x14ac:dyDescent="0.25">
      <c r="A291" s="43" t="s">
        <v>676</v>
      </c>
      <c r="B291" s="20" t="s">
        <v>683</v>
      </c>
      <c r="C291" s="41" t="s">
        <v>682</v>
      </c>
      <c r="D291" s="16">
        <v>0.72</v>
      </c>
      <c r="E291" s="18">
        <v>0</v>
      </c>
      <c r="F291" s="16">
        <f t="shared" si="97"/>
        <v>0.72</v>
      </c>
      <c r="G291" s="17">
        <v>0.72</v>
      </c>
      <c r="H291" s="16">
        <f t="shared" si="98"/>
        <v>1.18173756</v>
      </c>
      <c r="I291" s="16">
        <v>0</v>
      </c>
      <c r="J291" s="16">
        <v>0</v>
      </c>
      <c r="K291" s="16">
        <v>0</v>
      </c>
      <c r="L291" s="16">
        <v>1.18173756</v>
      </c>
      <c r="M291" s="16">
        <v>0.72</v>
      </c>
      <c r="N291" s="16">
        <v>0</v>
      </c>
      <c r="O291" s="16">
        <v>0</v>
      </c>
      <c r="P291" s="16">
        <v>0</v>
      </c>
      <c r="Q291" s="16">
        <f t="shared" si="99"/>
        <v>-0.46173755999999999</v>
      </c>
      <c r="R291" s="16">
        <f t="shared" si="100"/>
        <v>0.46173755999999999</v>
      </c>
      <c r="S291" s="14">
        <f t="shared" si="101"/>
        <v>0.64130216666666673</v>
      </c>
      <c r="T291" s="22" t="s">
        <v>2</v>
      </c>
      <c r="U291" s="9"/>
      <c r="V291" s="12"/>
      <c r="X291" s="10"/>
    </row>
    <row r="292" spans="1:24" s="3" customFormat="1" x14ac:dyDescent="0.25">
      <c r="A292" s="43" t="s">
        <v>676</v>
      </c>
      <c r="B292" s="20" t="s">
        <v>681</v>
      </c>
      <c r="C292" s="41" t="s">
        <v>680</v>
      </c>
      <c r="D292" s="16">
        <v>0.35399999999999998</v>
      </c>
      <c r="E292" s="18">
        <v>0</v>
      </c>
      <c r="F292" s="16">
        <f t="shared" si="97"/>
        <v>0.35399999999999998</v>
      </c>
      <c r="G292" s="17">
        <v>0.35399999999999998</v>
      </c>
      <c r="H292" s="16">
        <f t="shared" si="98"/>
        <v>0.35045159999999997</v>
      </c>
      <c r="I292" s="16">
        <v>0</v>
      </c>
      <c r="J292" s="16">
        <v>0.35045159999999997</v>
      </c>
      <c r="K292" s="16">
        <v>0.35399999999999998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f t="shared" si="99"/>
        <v>3.5484000000000071E-3</v>
      </c>
      <c r="R292" s="16">
        <f t="shared" si="100"/>
        <v>-3.5484000000000071E-3</v>
      </c>
      <c r="S292" s="14">
        <f t="shared" si="101"/>
        <v>-1.0023728813559342E-2</v>
      </c>
      <c r="T292" s="65" t="s">
        <v>0</v>
      </c>
      <c r="U292" s="9"/>
      <c r="V292" s="12"/>
      <c r="X292" s="10"/>
    </row>
    <row r="293" spans="1:24" s="3" customFormat="1" ht="31.5" x14ac:dyDescent="0.25">
      <c r="A293" s="43" t="s">
        <v>676</v>
      </c>
      <c r="B293" s="20" t="s">
        <v>679</v>
      </c>
      <c r="C293" s="41" t="s">
        <v>678</v>
      </c>
      <c r="D293" s="16">
        <v>0.06</v>
      </c>
      <c r="E293" s="18">
        <v>0</v>
      </c>
      <c r="F293" s="16">
        <f t="shared" si="97"/>
        <v>0.06</v>
      </c>
      <c r="G293" s="17">
        <v>0.06</v>
      </c>
      <c r="H293" s="16">
        <f t="shared" si="98"/>
        <v>7.1999999999999995E-2</v>
      </c>
      <c r="I293" s="16">
        <v>0.06</v>
      </c>
      <c r="J293" s="16">
        <v>0</v>
      </c>
      <c r="K293" s="16">
        <v>0</v>
      </c>
      <c r="L293" s="16">
        <v>7.1999999999999995E-2</v>
      </c>
      <c r="M293" s="16">
        <v>0</v>
      </c>
      <c r="N293" s="16">
        <v>0</v>
      </c>
      <c r="O293" s="16">
        <v>0</v>
      </c>
      <c r="P293" s="16">
        <v>0</v>
      </c>
      <c r="Q293" s="16">
        <f t="shared" si="99"/>
        <v>-1.1999999999999997E-2</v>
      </c>
      <c r="R293" s="16">
        <f t="shared" si="100"/>
        <v>1.1999999999999997E-2</v>
      </c>
      <c r="S293" s="14">
        <f t="shared" si="101"/>
        <v>0.19999999999999996</v>
      </c>
      <c r="T293" s="65" t="s">
        <v>677</v>
      </c>
      <c r="U293" s="9"/>
      <c r="V293" s="12"/>
      <c r="X293" s="10"/>
    </row>
    <row r="294" spans="1:24" s="3" customFormat="1" ht="31.5" x14ac:dyDescent="0.25">
      <c r="A294" s="43" t="s">
        <v>676</v>
      </c>
      <c r="B294" s="20" t="s">
        <v>675</v>
      </c>
      <c r="C294" s="41" t="s">
        <v>674</v>
      </c>
      <c r="D294" s="16">
        <v>1.1160000000000001</v>
      </c>
      <c r="E294" s="18">
        <v>0</v>
      </c>
      <c r="F294" s="16">
        <f t="shared" si="97"/>
        <v>1.1160000000000001</v>
      </c>
      <c r="G294" s="17">
        <v>1.1160000000000001</v>
      </c>
      <c r="H294" s="16">
        <f t="shared" si="98"/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1.1160000000000001</v>
      </c>
      <c r="N294" s="16">
        <v>0</v>
      </c>
      <c r="O294" s="16">
        <v>0</v>
      </c>
      <c r="P294" s="16">
        <v>0</v>
      </c>
      <c r="Q294" s="16">
        <f t="shared" si="99"/>
        <v>1.1160000000000001</v>
      </c>
      <c r="R294" s="16">
        <f t="shared" si="100"/>
        <v>-1.1160000000000001</v>
      </c>
      <c r="S294" s="14">
        <f t="shared" si="101"/>
        <v>-1</v>
      </c>
      <c r="T294" s="22" t="s">
        <v>260</v>
      </c>
      <c r="U294" s="9"/>
      <c r="V294" s="12"/>
      <c r="X294" s="10"/>
    </row>
    <row r="295" spans="1:24" s="3" customFormat="1" x14ac:dyDescent="0.25">
      <c r="A295" s="35" t="s">
        <v>673</v>
      </c>
      <c r="B295" s="37" t="s">
        <v>672</v>
      </c>
      <c r="C295" s="33" t="s">
        <v>11</v>
      </c>
      <c r="D295" s="28">
        <f t="shared" ref="D295:R295" si="102">SUM(D296,D331,D344,D420,D427,D434,D435)</f>
        <v>11777.399713921934</v>
      </c>
      <c r="E295" s="28">
        <f t="shared" si="102"/>
        <v>4169.1929636899995</v>
      </c>
      <c r="F295" s="28">
        <f t="shared" si="102"/>
        <v>7608.2067502319351</v>
      </c>
      <c r="G295" s="28">
        <f t="shared" si="102"/>
        <v>1843.6682095527442</v>
      </c>
      <c r="H295" s="28">
        <f t="shared" si="102"/>
        <v>694.09047357000009</v>
      </c>
      <c r="I295" s="28">
        <f t="shared" si="102"/>
        <v>114.63540201277979</v>
      </c>
      <c r="J295" s="28">
        <f t="shared" si="102"/>
        <v>180.60710170000002</v>
      </c>
      <c r="K295" s="28">
        <f t="shared" si="102"/>
        <v>98.377401689199999</v>
      </c>
      <c r="L295" s="28">
        <f t="shared" si="102"/>
        <v>186.98566922999998</v>
      </c>
      <c r="M295" s="28">
        <f t="shared" si="102"/>
        <v>421.31147581805999</v>
      </c>
      <c r="N295" s="28">
        <f t="shared" si="102"/>
        <v>326.49770264</v>
      </c>
      <c r="O295" s="28">
        <f t="shared" si="102"/>
        <v>1209.3439300327</v>
      </c>
      <c r="P295" s="28">
        <f t="shared" si="102"/>
        <v>0</v>
      </c>
      <c r="Q295" s="28">
        <f t="shared" si="102"/>
        <v>6956.2297867819361</v>
      </c>
      <c r="R295" s="28">
        <f t="shared" si="102"/>
        <v>17.652683929960208</v>
      </c>
      <c r="S295" s="27">
        <f t="shared" si="101"/>
        <v>2.7829115958350321E-2</v>
      </c>
      <c r="T295" s="26" t="s">
        <v>0</v>
      </c>
      <c r="U295" s="9"/>
      <c r="V295" s="12"/>
      <c r="X295" s="10"/>
    </row>
    <row r="296" spans="1:24" s="3" customFormat="1" ht="31.5" x14ac:dyDescent="0.25">
      <c r="A296" s="35" t="s">
        <v>671</v>
      </c>
      <c r="B296" s="37" t="s">
        <v>97</v>
      </c>
      <c r="C296" s="33" t="s">
        <v>11</v>
      </c>
      <c r="D296" s="28">
        <f t="shared" ref="D296:R296" si="103">D297+D300+D303+D330</f>
        <v>1047.7625875221493</v>
      </c>
      <c r="E296" s="28">
        <f t="shared" si="103"/>
        <v>344.94766999999996</v>
      </c>
      <c r="F296" s="28">
        <f t="shared" si="103"/>
        <v>702.81491752214924</v>
      </c>
      <c r="G296" s="28">
        <f t="shared" si="103"/>
        <v>97.574641514149121</v>
      </c>
      <c r="H296" s="28">
        <f t="shared" si="103"/>
        <v>69.419287879999985</v>
      </c>
      <c r="I296" s="28">
        <f t="shared" si="103"/>
        <v>14.093978874149137</v>
      </c>
      <c r="J296" s="28">
        <f t="shared" si="103"/>
        <v>17.700126820000001</v>
      </c>
      <c r="K296" s="28">
        <f t="shared" si="103"/>
        <v>0</v>
      </c>
      <c r="L296" s="28">
        <f t="shared" si="103"/>
        <v>7.6810025399999997</v>
      </c>
      <c r="M296" s="28">
        <f t="shared" si="103"/>
        <v>27.692799999999998</v>
      </c>
      <c r="N296" s="28">
        <f t="shared" si="103"/>
        <v>44.038158520000003</v>
      </c>
      <c r="O296" s="28">
        <f t="shared" si="103"/>
        <v>55.78786264</v>
      </c>
      <c r="P296" s="28">
        <f t="shared" si="103"/>
        <v>0</v>
      </c>
      <c r="Q296" s="28">
        <f t="shared" si="103"/>
        <v>661.53422446214927</v>
      </c>
      <c r="R296" s="28">
        <f t="shared" si="103"/>
        <v>-0.50608581414913001</v>
      </c>
      <c r="S296" s="27">
        <f t="shared" si="101"/>
        <v>-1.2111146821661662E-2</v>
      </c>
      <c r="T296" s="26" t="s">
        <v>0</v>
      </c>
      <c r="U296" s="9"/>
      <c r="V296" s="12"/>
      <c r="X296" s="10"/>
    </row>
    <row r="297" spans="1:24" s="3" customFormat="1" ht="63" x14ac:dyDescent="0.25">
      <c r="A297" s="35" t="s">
        <v>670</v>
      </c>
      <c r="B297" s="37" t="s">
        <v>95</v>
      </c>
      <c r="C297" s="33" t="s">
        <v>11</v>
      </c>
      <c r="D297" s="28">
        <v>0</v>
      </c>
      <c r="E297" s="28">
        <v>0</v>
      </c>
      <c r="F297" s="28">
        <v>0</v>
      </c>
      <c r="G297" s="28">
        <v>0</v>
      </c>
      <c r="H297" s="28">
        <v>0</v>
      </c>
      <c r="I297" s="28">
        <v>0</v>
      </c>
      <c r="J297" s="28">
        <v>0</v>
      </c>
      <c r="K297" s="28">
        <v>0</v>
      </c>
      <c r="L297" s="28">
        <v>0</v>
      </c>
      <c r="M297" s="28">
        <v>0</v>
      </c>
      <c r="N297" s="28">
        <v>0</v>
      </c>
      <c r="O297" s="28">
        <v>0</v>
      </c>
      <c r="P297" s="28">
        <v>0</v>
      </c>
      <c r="Q297" s="28">
        <v>0</v>
      </c>
      <c r="R297" s="28">
        <v>0</v>
      </c>
      <c r="S297" s="27">
        <v>0</v>
      </c>
      <c r="T297" s="26" t="s">
        <v>0</v>
      </c>
      <c r="U297" s="9"/>
      <c r="V297" s="12"/>
      <c r="X297" s="10"/>
    </row>
    <row r="298" spans="1:24" s="3" customFormat="1" ht="31.5" x14ac:dyDescent="0.25">
      <c r="A298" s="35" t="s">
        <v>669</v>
      </c>
      <c r="B298" s="37" t="s">
        <v>87</v>
      </c>
      <c r="C298" s="33" t="s">
        <v>11</v>
      </c>
      <c r="D298" s="28">
        <v>0</v>
      </c>
      <c r="E298" s="28">
        <v>0</v>
      </c>
      <c r="F298" s="28">
        <v>0</v>
      </c>
      <c r="G298" s="28">
        <v>0</v>
      </c>
      <c r="H298" s="28">
        <v>0</v>
      </c>
      <c r="I298" s="28">
        <v>0</v>
      </c>
      <c r="J298" s="28">
        <v>0</v>
      </c>
      <c r="K298" s="28">
        <v>0</v>
      </c>
      <c r="L298" s="28">
        <v>0</v>
      </c>
      <c r="M298" s="28">
        <v>0</v>
      </c>
      <c r="N298" s="28">
        <v>0</v>
      </c>
      <c r="O298" s="28">
        <v>0</v>
      </c>
      <c r="P298" s="28">
        <v>0</v>
      </c>
      <c r="Q298" s="28">
        <v>0</v>
      </c>
      <c r="R298" s="28">
        <v>0</v>
      </c>
      <c r="S298" s="27">
        <v>0</v>
      </c>
      <c r="T298" s="26" t="s">
        <v>0</v>
      </c>
      <c r="U298" s="9"/>
      <c r="V298" s="12"/>
      <c r="X298" s="10"/>
    </row>
    <row r="299" spans="1:24" s="3" customFormat="1" ht="31.5" x14ac:dyDescent="0.25">
      <c r="A299" s="35" t="s">
        <v>668</v>
      </c>
      <c r="B299" s="37" t="s">
        <v>87</v>
      </c>
      <c r="C299" s="33" t="s">
        <v>11</v>
      </c>
      <c r="D299" s="28">
        <v>0</v>
      </c>
      <c r="E299" s="28">
        <v>0</v>
      </c>
      <c r="F299" s="28">
        <v>0</v>
      </c>
      <c r="G299" s="28">
        <v>0</v>
      </c>
      <c r="H299" s="28">
        <v>0</v>
      </c>
      <c r="I299" s="28">
        <v>0</v>
      </c>
      <c r="J299" s="28">
        <v>0</v>
      </c>
      <c r="K299" s="28">
        <v>0</v>
      </c>
      <c r="L299" s="28">
        <v>0</v>
      </c>
      <c r="M299" s="28">
        <v>0</v>
      </c>
      <c r="N299" s="28">
        <v>0</v>
      </c>
      <c r="O299" s="28">
        <v>0</v>
      </c>
      <c r="P299" s="28">
        <v>0</v>
      </c>
      <c r="Q299" s="28">
        <v>0</v>
      </c>
      <c r="R299" s="28">
        <v>0</v>
      </c>
      <c r="S299" s="27">
        <v>0</v>
      </c>
      <c r="T299" s="26" t="s">
        <v>0</v>
      </c>
      <c r="U299" s="9"/>
      <c r="V299" s="12"/>
      <c r="X299" s="10"/>
    </row>
    <row r="300" spans="1:24" s="3" customFormat="1" ht="47.25" x14ac:dyDescent="0.25">
      <c r="A300" s="35" t="s">
        <v>667</v>
      </c>
      <c r="B300" s="37" t="s">
        <v>91</v>
      </c>
      <c r="C300" s="33" t="s">
        <v>11</v>
      </c>
      <c r="D300" s="28">
        <v>0</v>
      </c>
      <c r="E300" s="28">
        <v>0</v>
      </c>
      <c r="F300" s="28">
        <v>0</v>
      </c>
      <c r="G300" s="28">
        <v>0</v>
      </c>
      <c r="H300" s="28">
        <v>0</v>
      </c>
      <c r="I300" s="28">
        <v>0</v>
      </c>
      <c r="J300" s="28">
        <v>0</v>
      </c>
      <c r="K300" s="28">
        <v>0</v>
      </c>
      <c r="L300" s="28">
        <v>0</v>
      </c>
      <c r="M300" s="28">
        <v>0</v>
      </c>
      <c r="N300" s="28">
        <v>0</v>
      </c>
      <c r="O300" s="28">
        <v>0</v>
      </c>
      <c r="P300" s="28">
        <v>0</v>
      </c>
      <c r="Q300" s="28">
        <v>0</v>
      </c>
      <c r="R300" s="28">
        <v>0</v>
      </c>
      <c r="S300" s="27">
        <v>0</v>
      </c>
      <c r="T300" s="26" t="s">
        <v>0</v>
      </c>
      <c r="U300" s="9"/>
      <c r="V300" s="12"/>
      <c r="X300" s="10"/>
    </row>
    <row r="301" spans="1:24" s="3" customFormat="1" ht="31.5" x14ac:dyDescent="0.25">
      <c r="A301" s="35" t="s">
        <v>666</v>
      </c>
      <c r="B301" s="37" t="s">
        <v>87</v>
      </c>
      <c r="C301" s="33" t="s">
        <v>11</v>
      </c>
      <c r="D301" s="28">
        <v>0</v>
      </c>
      <c r="E301" s="28">
        <v>0</v>
      </c>
      <c r="F301" s="28">
        <v>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28">
        <v>0</v>
      </c>
      <c r="O301" s="28">
        <v>0</v>
      </c>
      <c r="P301" s="28">
        <v>0</v>
      </c>
      <c r="Q301" s="28">
        <v>0</v>
      </c>
      <c r="R301" s="28">
        <v>0</v>
      </c>
      <c r="S301" s="27">
        <v>0</v>
      </c>
      <c r="T301" s="26" t="s">
        <v>0</v>
      </c>
      <c r="U301" s="9"/>
      <c r="V301" s="12"/>
      <c r="X301" s="10"/>
    </row>
    <row r="302" spans="1:24" s="3" customFormat="1" ht="31.5" x14ac:dyDescent="0.25">
      <c r="A302" s="35" t="s">
        <v>665</v>
      </c>
      <c r="B302" s="37" t="s">
        <v>87</v>
      </c>
      <c r="C302" s="33" t="s">
        <v>11</v>
      </c>
      <c r="D302" s="28">
        <v>0</v>
      </c>
      <c r="E302" s="28">
        <v>0</v>
      </c>
      <c r="F302" s="28">
        <v>0</v>
      </c>
      <c r="G302" s="28">
        <v>0</v>
      </c>
      <c r="H302" s="28">
        <v>0</v>
      </c>
      <c r="I302" s="28">
        <v>0</v>
      </c>
      <c r="J302" s="28">
        <v>0</v>
      </c>
      <c r="K302" s="28">
        <v>0</v>
      </c>
      <c r="L302" s="28">
        <v>0</v>
      </c>
      <c r="M302" s="28">
        <v>0</v>
      </c>
      <c r="N302" s="28">
        <v>0</v>
      </c>
      <c r="O302" s="28">
        <v>0</v>
      </c>
      <c r="P302" s="28">
        <v>0</v>
      </c>
      <c r="Q302" s="28">
        <v>0</v>
      </c>
      <c r="R302" s="28">
        <v>0</v>
      </c>
      <c r="S302" s="27">
        <v>0</v>
      </c>
      <c r="T302" s="26" t="s">
        <v>0</v>
      </c>
      <c r="U302" s="9"/>
      <c r="V302" s="12"/>
      <c r="X302" s="10"/>
    </row>
    <row r="303" spans="1:24" s="3" customFormat="1" ht="47.25" x14ac:dyDescent="0.25">
      <c r="A303" s="35" t="s">
        <v>664</v>
      </c>
      <c r="B303" s="37" t="s">
        <v>85</v>
      </c>
      <c r="C303" s="33" t="s">
        <v>11</v>
      </c>
      <c r="D303" s="28">
        <f>SUM(D304,D305,D308,D309,D311)</f>
        <v>1047.7625875221493</v>
      </c>
      <c r="E303" s="28">
        <f t="shared" ref="E303:R303" si="104">E304+E305+E308+E309+E311</f>
        <v>344.94766999999996</v>
      </c>
      <c r="F303" s="28">
        <f t="shared" si="104"/>
        <v>702.81491752214924</v>
      </c>
      <c r="G303" s="28">
        <f t="shared" si="104"/>
        <v>97.574641514149121</v>
      </c>
      <c r="H303" s="28">
        <f t="shared" si="104"/>
        <v>69.419287879999985</v>
      </c>
      <c r="I303" s="28">
        <f t="shared" si="104"/>
        <v>14.093978874149137</v>
      </c>
      <c r="J303" s="28">
        <f t="shared" si="104"/>
        <v>17.700126820000001</v>
      </c>
      <c r="K303" s="28">
        <f t="shared" si="104"/>
        <v>0</v>
      </c>
      <c r="L303" s="28">
        <f t="shared" si="104"/>
        <v>7.6810025399999997</v>
      </c>
      <c r="M303" s="28">
        <f t="shared" si="104"/>
        <v>27.692799999999998</v>
      </c>
      <c r="N303" s="28">
        <f t="shared" si="104"/>
        <v>44.038158520000003</v>
      </c>
      <c r="O303" s="28">
        <f t="shared" si="104"/>
        <v>55.78786264</v>
      </c>
      <c r="P303" s="28">
        <f t="shared" si="104"/>
        <v>0</v>
      </c>
      <c r="Q303" s="28">
        <f t="shared" si="104"/>
        <v>661.53422446214927</v>
      </c>
      <c r="R303" s="28">
        <f t="shared" si="104"/>
        <v>-0.50608581414913001</v>
      </c>
      <c r="S303" s="27">
        <f>R303/(I303+K303+M303)</f>
        <v>-1.2111146821661662E-2</v>
      </c>
      <c r="T303" s="26" t="s">
        <v>0</v>
      </c>
      <c r="U303" s="9"/>
      <c r="V303" s="12"/>
      <c r="X303" s="10"/>
    </row>
    <row r="304" spans="1:24" s="3" customFormat="1" ht="63" x14ac:dyDescent="0.25">
      <c r="A304" s="35" t="s">
        <v>663</v>
      </c>
      <c r="B304" s="37" t="s">
        <v>83</v>
      </c>
      <c r="C304" s="33" t="s">
        <v>11</v>
      </c>
      <c r="D304" s="28">
        <v>0</v>
      </c>
      <c r="E304" s="28">
        <v>0</v>
      </c>
      <c r="F304" s="28">
        <v>0</v>
      </c>
      <c r="G304" s="28">
        <v>0</v>
      </c>
      <c r="H304" s="28">
        <v>0</v>
      </c>
      <c r="I304" s="28">
        <v>0</v>
      </c>
      <c r="J304" s="28">
        <v>0</v>
      </c>
      <c r="K304" s="28">
        <v>0</v>
      </c>
      <c r="L304" s="28">
        <v>0</v>
      </c>
      <c r="M304" s="28">
        <v>0</v>
      </c>
      <c r="N304" s="28">
        <v>0</v>
      </c>
      <c r="O304" s="28">
        <v>0</v>
      </c>
      <c r="P304" s="28">
        <v>0</v>
      </c>
      <c r="Q304" s="28">
        <v>0</v>
      </c>
      <c r="R304" s="28">
        <v>0</v>
      </c>
      <c r="S304" s="27">
        <v>0</v>
      </c>
      <c r="T304" s="26" t="s">
        <v>0</v>
      </c>
      <c r="U304" s="9"/>
      <c r="V304" s="12"/>
      <c r="X304" s="10"/>
    </row>
    <row r="305" spans="1:24" s="3" customFormat="1" ht="63" x14ac:dyDescent="0.25">
      <c r="A305" s="35" t="s">
        <v>660</v>
      </c>
      <c r="B305" s="37" t="s">
        <v>81</v>
      </c>
      <c r="C305" s="33" t="s">
        <v>11</v>
      </c>
      <c r="D305" s="28">
        <f t="shared" ref="D305:R305" si="105">SUM(D306:D307)</f>
        <v>0.75892320000000002</v>
      </c>
      <c r="E305" s="28">
        <f t="shared" si="105"/>
        <v>6.0407200000000003E-3</v>
      </c>
      <c r="F305" s="28">
        <f t="shared" si="105"/>
        <v>0.75288248000000002</v>
      </c>
      <c r="G305" s="28">
        <f t="shared" si="105"/>
        <v>3.794620000000009E-2</v>
      </c>
      <c r="H305" s="28">
        <f t="shared" si="105"/>
        <v>7.2876522600000007</v>
      </c>
      <c r="I305" s="28">
        <f t="shared" si="105"/>
        <v>3.794620000000009E-2</v>
      </c>
      <c r="J305" s="28">
        <f t="shared" si="105"/>
        <v>0.515208</v>
      </c>
      <c r="K305" s="28">
        <f t="shared" si="105"/>
        <v>0</v>
      </c>
      <c r="L305" s="28">
        <f t="shared" si="105"/>
        <v>6.0536131800000001</v>
      </c>
      <c r="M305" s="28">
        <f t="shared" si="105"/>
        <v>0</v>
      </c>
      <c r="N305" s="28">
        <f t="shared" si="105"/>
        <v>0.71883108000000007</v>
      </c>
      <c r="O305" s="28">
        <f t="shared" si="105"/>
        <v>0</v>
      </c>
      <c r="P305" s="28">
        <f t="shared" si="105"/>
        <v>0</v>
      </c>
      <c r="Q305" s="28">
        <f t="shared" si="105"/>
        <v>0.23767448000000002</v>
      </c>
      <c r="R305" s="28">
        <f t="shared" si="105"/>
        <v>0.4772617999999999</v>
      </c>
      <c r="S305" s="27">
        <f>R305/(I305+K305+M305)</f>
        <v>12.577327901080972</v>
      </c>
      <c r="T305" s="26" t="s">
        <v>0</v>
      </c>
      <c r="U305" s="9"/>
      <c r="V305" s="12"/>
      <c r="X305" s="10"/>
    </row>
    <row r="306" spans="1:24" s="3" customFormat="1" ht="47.25" x14ac:dyDescent="0.25">
      <c r="A306" s="43" t="s">
        <v>660</v>
      </c>
      <c r="B306" s="20" t="s">
        <v>662</v>
      </c>
      <c r="C306" s="41" t="s">
        <v>661</v>
      </c>
      <c r="D306" s="16">
        <v>0.75892320000000002</v>
      </c>
      <c r="E306" s="18">
        <v>6.0407200000000003E-3</v>
      </c>
      <c r="F306" s="16">
        <f>D306-E306</f>
        <v>0.75288248000000002</v>
      </c>
      <c r="G306" s="17">
        <v>3.794620000000009E-2</v>
      </c>
      <c r="H306" s="16">
        <f>J306+L306+N306+P306</f>
        <v>0.515208</v>
      </c>
      <c r="I306" s="16">
        <v>3.794620000000009E-2</v>
      </c>
      <c r="J306" s="16">
        <v>0.515208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f>F306-H306</f>
        <v>0.23767448000000002</v>
      </c>
      <c r="R306" s="16">
        <f>H306-(I306+K306+M306)</f>
        <v>0.4772617999999999</v>
      </c>
      <c r="S306" s="14">
        <f>R306/(I306+K306+M306)</f>
        <v>12.577327901080972</v>
      </c>
      <c r="T306" s="13" t="s">
        <v>195</v>
      </c>
      <c r="U306" s="9"/>
      <c r="V306" s="12"/>
      <c r="X306" s="10"/>
    </row>
    <row r="307" spans="1:24" s="3" customFormat="1" ht="54.75" customHeight="1" x14ac:dyDescent="0.25">
      <c r="A307" s="43" t="s">
        <v>660</v>
      </c>
      <c r="B307" s="20" t="s">
        <v>659</v>
      </c>
      <c r="C307" s="41" t="s">
        <v>658</v>
      </c>
      <c r="D307" s="16" t="s">
        <v>0</v>
      </c>
      <c r="E307" s="18" t="s">
        <v>0</v>
      </c>
      <c r="F307" s="16" t="s">
        <v>0</v>
      </c>
      <c r="G307" s="17" t="s">
        <v>0</v>
      </c>
      <c r="H307" s="16">
        <f>J307+L307+N307+P307</f>
        <v>6.7724442600000003</v>
      </c>
      <c r="I307" s="16" t="s">
        <v>0</v>
      </c>
      <c r="J307" s="16">
        <v>0</v>
      </c>
      <c r="K307" s="16" t="s">
        <v>0</v>
      </c>
      <c r="L307" s="16">
        <v>6.0536131800000001</v>
      </c>
      <c r="M307" s="16" t="s">
        <v>0</v>
      </c>
      <c r="N307" s="16">
        <f>718.83108/1000</f>
        <v>0.71883108000000007</v>
      </c>
      <c r="O307" s="16" t="s">
        <v>0</v>
      </c>
      <c r="P307" s="16">
        <v>0</v>
      </c>
      <c r="Q307" s="16" t="s">
        <v>0</v>
      </c>
      <c r="R307" s="16" t="s">
        <v>0</v>
      </c>
      <c r="S307" s="14" t="s">
        <v>0</v>
      </c>
      <c r="T307" s="13" t="s">
        <v>517</v>
      </c>
      <c r="U307" s="9"/>
      <c r="V307" s="12"/>
      <c r="X307" s="10"/>
    </row>
    <row r="308" spans="1:24" s="3" customFormat="1" ht="63" x14ac:dyDescent="0.25">
      <c r="A308" s="35" t="s">
        <v>657</v>
      </c>
      <c r="B308" s="37" t="s">
        <v>79</v>
      </c>
      <c r="C308" s="33" t="s">
        <v>11</v>
      </c>
      <c r="D308" s="28">
        <v>0</v>
      </c>
      <c r="E308" s="28">
        <v>0</v>
      </c>
      <c r="F308" s="28">
        <v>0</v>
      </c>
      <c r="G308" s="28">
        <v>0</v>
      </c>
      <c r="H308" s="28">
        <v>0</v>
      </c>
      <c r="I308" s="28">
        <v>0</v>
      </c>
      <c r="J308" s="28">
        <v>0</v>
      </c>
      <c r="K308" s="28">
        <v>0</v>
      </c>
      <c r="L308" s="28">
        <v>0</v>
      </c>
      <c r="M308" s="28">
        <v>0</v>
      </c>
      <c r="N308" s="28">
        <v>0</v>
      </c>
      <c r="O308" s="28">
        <v>0</v>
      </c>
      <c r="P308" s="28">
        <v>0</v>
      </c>
      <c r="Q308" s="28">
        <v>0</v>
      </c>
      <c r="R308" s="28">
        <v>0</v>
      </c>
      <c r="S308" s="27">
        <v>0</v>
      </c>
      <c r="T308" s="26" t="s">
        <v>0</v>
      </c>
      <c r="U308" s="9"/>
      <c r="V308" s="12"/>
      <c r="X308" s="10"/>
    </row>
    <row r="309" spans="1:24" s="3" customFormat="1" ht="78.75" x14ac:dyDescent="0.25">
      <c r="A309" s="35" t="s">
        <v>656</v>
      </c>
      <c r="B309" s="37" t="s">
        <v>77</v>
      </c>
      <c r="C309" s="33" t="s">
        <v>11</v>
      </c>
      <c r="D309" s="28">
        <f t="shared" ref="D309:R309" si="106">SUM(D310:D310)</f>
        <v>747.51740885800007</v>
      </c>
      <c r="E309" s="28">
        <f t="shared" si="106"/>
        <v>170.17690969</v>
      </c>
      <c r="F309" s="28">
        <f t="shared" si="106"/>
        <v>577.34049916800006</v>
      </c>
      <c r="G309" s="28">
        <f t="shared" si="106"/>
        <v>23.941462640000001</v>
      </c>
      <c r="H309" s="28">
        <f t="shared" si="106"/>
        <v>0</v>
      </c>
      <c r="I309" s="28">
        <f t="shared" si="106"/>
        <v>0</v>
      </c>
      <c r="J309" s="28">
        <f t="shared" si="106"/>
        <v>0</v>
      </c>
      <c r="K309" s="28">
        <f t="shared" si="106"/>
        <v>0</v>
      </c>
      <c r="L309" s="28">
        <f t="shared" si="106"/>
        <v>0</v>
      </c>
      <c r="M309" s="28">
        <f t="shared" si="106"/>
        <v>8</v>
      </c>
      <c r="N309" s="28">
        <f t="shared" si="106"/>
        <v>0</v>
      </c>
      <c r="O309" s="28">
        <f t="shared" si="106"/>
        <v>15.941462639999999</v>
      </c>
      <c r="P309" s="28">
        <f t="shared" si="106"/>
        <v>0</v>
      </c>
      <c r="Q309" s="28">
        <f t="shared" si="106"/>
        <v>577.34049916800006</v>
      </c>
      <c r="R309" s="28">
        <f t="shared" si="106"/>
        <v>-8</v>
      </c>
      <c r="S309" s="27">
        <f t="shared" ref="S309:S321" si="107">R309/(I309+K309+M309)</f>
        <v>-1</v>
      </c>
      <c r="T309" s="26" t="s">
        <v>0</v>
      </c>
      <c r="U309" s="9"/>
      <c r="V309" s="12"/>
      <c r="X309" s="10"/>
    </row>
    <row r="310" spans="1:24" s="3" customFormat="1" ht="47.25" x14ac:dyDescent="0.25">
      <c r="A310" s="43" t="s">
        <v>656</v>
      </c>
      <c r="B310" s="20" t="s">
        <v>655</v>
      </c>
      <c r="C310" s="41" t="s">
        <v>654</v>
      </c>
      <c r="D310" s="16">
        <v>747.51740885800007</v>
      </c>
      <c r="E310" s="18">
        <v>170.17690969</v>
      </c>
      <c r="F310" s="16">
        <f>D310-E310</f>
        <v>577.34049916800006</v>
      </c>
      <c r="G310" s="17">
        <v>23.941462640000001</v>
      </c>
      <c r="H310" s="16">
        <f>J310+L310+N310+P310</f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8</v>
      </c>
      <c r="N310" s="16">
        <v>0</v>
      </c>
      <c r="O310" s="16">
        <v>15.941462639999999</v>
      </c>
      <c r="P310" s="16">
        <v>0</v>
      </c>
      <c r="Q310" s="16">
        <f>F310-H310</f>
        <v>577.34049916800006</v>
      </c>
      <c r="R310" s="16">
        <f>H310-(I310+K310+M310)</f>
        <v>-8</v>
      </c>
      <c r="S310" s="14">
        <f t="shared" si="107"/>
        <v>-1</v>
      </c>
      <c r="T310" s="22" t="s">
        <v>653</v>
      </c>
      <c r="U310" s="9"/>
      <c r="V310" s="12"/>
      <c r="X310" s="10"/>
    </row>
    <row r="311" spans="1:24" s="3" customFormat="1" ht="78.75" x14ac:dyDescent="0.25">
      <c r="A311" s="35" t="s">
        <v>617</v>
      </c>
      <c r="B311" s="37" t="s">
        <v>76</v>
      </c>
      <c r="C311" s="33" t="s">
        <v>11</v>
      </c>
      <c r="D311" s="28">
        <f t="shared" ref="D311:R311" si="108">SUM(D312:D329)</f>
        <v>299.48625546414911</v>
      </c>
      <c r="E311" s="28">
        <f t="shared" si="108"/>
        <v>174.76471958999997</v>
      </c>
      <c r="F311" s="28">
        <f t="shared" si="108"/>
        <v>124.72153587414914</v>
      </c>
      <c r="G311" s="28">
        <f t="shared" si="108"/>
        <v>73.595232674149116</v>
      </c>
      <c r="H311" s="28">
        <f t="shared" si="108"/>
        <v>62.13163561999999</v>
      </c>
      <c r="I311" s="28">
        <f t="shared" si="108"/>
        <v>14.056032674149137</v>
      </c>
      <c r="J311" s="28">
        <f t="shared" si="108"/>
        <v>17.18491882</v>
      </c>
      <c r="K311" s="28">
        <f t="shared" si="108"/>
        <v>0</v>
      </c>
      <c r="L311" s="28">
        <f t="shared" si="108"/>
        <v>1.62738936</v>
      </c>
      <c r="M311" s="28">
        <f t="shared" si="108"/>
        <v>19.692799999999998</v>
      </c>
      <c r="N311" s="28">
        <f t="shared" si="108"/>
        <v>43.319327440000002</v>
      </c>
      <c r="O311" s="28">
        <f t="shared" si="108"/>
        <v>39.846400000000003</v>
      </c>
      <c r="P311" s="28">
        <f t="shared" si="108"/>
        <v>0</v>
      </c>
      <c r="Q311" s="28">
        <f t="shared" si="108"/>
        <v>83.956050814149137</v>
      </c>
      <c r="R311" s="28">
        <f t="shared" si="108"/>
        <v>7.01665238585087</v>
      </c>
      <c r="S311" s="27">
        <f t="shared" si="107"/>
        <v>0.20790800243664345</v>
      </c>
      <c r="T311" s="26" t="s">
        <v>0</v>
      </c>
      <c r="U311" s="9"/>
      <c r="V311" s="12"/>
      <c r="X311" s="10"/>
    </row>
    <row r="312" spans="1:24" s="3" customFormat="1" ht="47.25" x14ac:dyDescent="0.25">
      <c r="A312" s="43" t="s">
        <v>617</v>
      </c>
      <c r="B312" s="20" t="s">
        <v>652</v>
      </c>
      <c r="C312" s="41" t="s">
        <v>651</v>
      </c>
      <c r="D312" s="16">
        <v>63.606765599999996</v>
      </c>
      <c r="E312" s="18">
        <v>1.8580901599999999</v>
      </c>
      <c r="F312" s="16">
        <f t="shared" ref="F312:F321" si="109">D312-E312</f>
        <v>61.748675439999992</v>
      </c>
      <c r="G312" s="17">
        <v>59.539199999999994</v>
      </c>
      <c r="H312" s="16">
        <f t="shared" ref="H312:H329" si="110">J312+L312+N312+P312</f>
        <v>2.9360544200000001</v>
      </c>
      <c r="I312" s="16">
        <v>0</v>
      </c>
      <c r="J312" s="16">
        <v>2.4860544199999999</v>
      </c>
      <c r="K312" s="16">
        <v>0</v>
      </c>
      <c r="L312" s="16">
        <v>0</v>
      </c>
      <c r="M312" s="16">
        <v>19.692799999999998</v>
      </c>
      <c r="N312" s="16">
        <v>0.45</v>
      </c>
      <c r="O312" s="16">
        <v>39.846400000000003</v>
      </c>
      <c r="P312" s="16">
        <v>0</v>
      </c>
      <c r="Q312" s="16">
        <f t="shared" ref="Q312:Q321" si="111">F312-H312</f>
        <v>58.812621019999995</v>
      </c>
      <c r="R312" s="16">
        <f t="shared" ref="R312:R321" si="112">H312-(I312+K312+M312)</f>
        <v>-16.756745579999997</v>
      </c>
      <c r="S312" s="14">
        <f t="shared" si="107"/>
        <v>-0.85090721380402978</v>
      </c>
      <c r="T312" s="22" t="s">
        <v>195</v>
      </c>
      <c r="U312" s="9"/>
      <c r="V312" s="12"/>
      <c r="X312" s="10"/>
    </row>
    <row r="313" spans="1:24" s="3" customFormat="1" ht="31.5" x14ac:dyDescent="0.25">
      <c r="A313" s="69" t="s">
        <v>617</v>
      </c>
      <c r="B313" s="48" t="s">
        <v>650</v>
      </c>
      <c r="C313" s="49" t="s">
        <v>649</v>
      </c>
      <c r="D313" s="40">
        <v>41.718107759999995</v>
      </c>
      <c r="E313" s="18">
        <v>38.750957409999998</v>
      </c>
      <c r="F313" s="16">
        <f t="shared" si="109"/>
        <v>2.9671503499999972</v>
      </c>
      <c r="G313" s="17">
        <v>1.5950065299999951</v>
      </c>
      <c r="H313" s="16">
        <f t="shared" si="110"/>
        <v>1.50300474</v>
      </c>
      <c r="I313" s="16">
        <v>1.5950065299999951</v>
      </c>
      <c r="J313" s="16">
        <v>1.50300474</v>
      </c>
      <c r="K313" s="18">
        <v>0</v>
      </c>
      <c r="L313" s="18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f t="shared" si="111"/>
        <v>1.4641456099999972</v>
      </c>
      <c r="R313" s="16">
        <f t="shared" si="112"/>
        <v>-9.2001789999995198E-2</v>
      </c>
      <c r="S313" s="14">
        <f t="shared" si="107"/>
        <v>-5.7681136891643621E-2</v>
      </c>
      <c r="T313" s="22" t="s">
        <v>0</v>
      </c>
      <c r="U313" s="9"/>
      <c r="V313" s="12"/>
      <c r="X313" s="10"/>
    </row>
    <row r="314" spans="1:24" s="3" customFormat="1" ht="31.5" x14ac:dyDescent="0.25">
      <c r="A314" s="69" t="s">
        <v>617</v>
      </c>
      <c r="B314" s="48" t="s">
        <v>648</v>
      </c>
      <c r="C314" s="49" t="s">
        <v>647</v>
      </c>
      <c r="D314" s="40">
        <v>10.838476006</v>
      </c>
      <c r="E314" s="18">
        <v>9.1747869299999998</v>
      </c>
      <c r="F314" s="16">
        <f t="shared" si="109"/>
        <v>1.6636890760000007</v>
      </c>
      <c r="G314" s="17">
        <v>0.61812271599999935</v>
      </c>
      <c r="H314" s="16">
        <f t="shared" si="110"/>
        <v>0.35058967000000002</v>
      </c>
      <c r="I314" s="16">
        <v>0.61812271599999935</v>
      </c>
      <c r="J314" s="16">
        <v>0.35058967000000002</v>
      </c>
      <c r="K314" s="18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>
        <f t="shared" si="111"/>
        <v>1.3130994060000007</v>
      </c>
      <c r="R314" s="16">
        <f t="shared" si="112"/>
        <v>-0.26753304599999933</v>
      </c>
      <c r="S314" s="14">
        <f t="shared" si="107"/>
        <v>-0.43281542495519548</v>
      </c>
      <c r="T314" s="22" t="s">
        <v>195</v>
      </c>
      <c r="U314" s="9"/>
      <c r="V314" s="12"/>
      <c r="X314" s="10"/>
    </row>
    <row r="315" spans="1:24" s="3" customFormat="1" ht="31.5" x14ac:dyDescent="0.25">
      <c r="A315" s="69" t="s">
        <v>617</v>
      </c>
      <c r="B315" s="48" t="s">
        <v>646</v>
      </c>
      <c r="C315" s="49" t="s">
        <v>645</v>
      </c>
      <c r="D315" s="40">
        <v>26.641469241599992</v>
      </c>
      <c r="E315" s="18">
        <v>25.443785729999998</v>
      </c>
      <c r="F315" s="16">
        <f t="shared" si="109"/>
        <v>1.197683511599994</v>
      </c>
      <c r="G315" s="17">
        <v>0.94719337159999484</v>
      </c>
      <c r="H315" s="16">
        <f t="shared" si="110"/>
        <v>0.98428302999999995</v>
      </c>
      <c r="I315" s="16">
        <v>0.94719337159999484</v>
      </c>
      <c r="J315" s="16">
        <v>0.98428302999999995</v>
      </c>
      <c r="K315" s="18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f t="shared" si="111"/>
        <v>0.21340048159999403</v>
      </c>
      <c r="R315" s="16">
        <f t="shared" si="112"/>
        <v>3.708965840000511E-2</v>
      </c>
      <c r="S315" s="14">
        <f t="shared" si="107"/>
        <v>3.9157430269337108E-2</v>
      </c>
      <c r="T315" s="22" t="s">
        <v>0</v>
      </c>
      <c r="U315" s="9"/>
      <c r="V315" s="12"/>
      <c r="X315" s="10"/>
    </row>
    <row r="316" spans="1:24" s="3" customFormat="1" ht="47.25" x14ac:dyDescent="0.25">
      <c r="A316" s="43" t="s">
        <v>617</v>
      </c>
      <c r="B316" s="20" t="s">
        <v>644</v>
      </c>
      <c r="C316" s="41" t="s">
        <v>643</v>
      </c>
      <c r="D316" s="16">
        <v>13.407502367999999</v>
      </c>
      <c r="E316" s="18">
        <v>9.8810857500000004</v>
      </c>
      <c r="F316" s="16">
        <f t="shared" si="109"/>
        <v>3.5264166179999989</v>
      </c>
      <c r="G316" s="17">
        <v>0.93722236800000069</v>
      </c>
      <c r="H316" s="16">
        <f t="shared" si="110"/>
        <v>2.3388532199999998</v>
      </c>
      <c r="I316" s="16">
        <v>0.93722236800000069</v>
      </c>
      <c r="J316" s="16">
        <v>2.3388532199999998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f t="shared" si="111"/>
        <v>1.1875633979999991</v>
      </c>
      <c r="R316" s="16">
        <f t="shared" si="112"/>
        <v>1.4016308519999991</v>
      </c>
      <c r="S316" s="14">
        <f t="shared" si="107"/>
        <v>1.4955157920430662</v>
      </c>
      <c r="T316" s="22" t="s">
        <v>195</v>
      </c>
      <c r="U316" s="9"/>
      <c r="V316" s="12"/>
      <c r="X316" s="10"/>
    </row>
    <row r="317" spans="1:24" s="3" customFormat="1" ht="47.25" x14ac:dyDescent="0.25">
      <c r="A317" s="43" t="s">
        <v>617</v>
      </c>
      <c r="B317" s="20" t="s">
        <v>642</v>
      </c>
      <c r="C317" s="41" t="s">
        <v>641</v>
      </c>
      <c r="D317" s="16">
        <v>15.98560638</v>
      </c>
      <c r="E317" s="18">
        <v>10.8335487</v>
      </c>
      <c r="F317" s="16">
        <f t="shared" si="109"/>
        <v>5.1520576800000004</v>
      </c>
      <c r="G317" s="17">
        <v>1.0459763799999982</v>
      </c>
      <c r="H317" s="16">
        <f t="shared" si="110"/>
        <v>2.3766508800000001</v>
      </c>
      <c r="I317" s="16">
        <v>1.0459763799999982</v>
      </c>
      <c r="J317" s="16">
        <v>2.3766508800000001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>
        <f t="shared" si="111"/>
        <v>2.7754068000000003</v>
      </c>
      <c r="R317" s="16">
        <f t="shared" si="112"/>
        <v>1.330674500000002</v>
      </c>
      <c r="S317" s="14">
        <f t="shared" si="107"/>
        <v>1.2721840812504814</v>
      </c>
      <c r="T317" s="13" t="s">
        <v>195</v>
      </c>
      <c r="U317" s="9"/>
      <c r="V317" s="12"/>
      <c r="X317" s="10"/>
    </row>
    <row r="318" spans="1:24" s="3" customFormat="1" ht="31.5" x14ac:dyDescent="0.25">
      <c r="A318" s="43" t="s">
        <v>617</v>
      </c>
      <c r="B318" s="48" t="s">
        <v>640</v>
      </c>
      <c r="C318" s="47" t="s">
        <v>639</v>
      </c>
      <c r="D318" s="16">
        <v>21.412753200000001</v>
      </c>
      <c r="E318" s="18">
        <v>8.3962181700000009</v>
      </c>
      <c r="F318" s="16">
        <f t="shared" si="109"/>
        <v>13.01653503</v>
      </c>
      <c r="G318" s="17">
        <v>2.1412763999999989</v>
      </c>
      <c r="H318" s="16">
        <f t="shared" si="110"/>
        <v>8.9767807200000007</v>
      </c>
      <c r="I318" s="16">
        <v>2.1412763999999989</v>
      </c>
      <c r="J318" s="16">
        <v>2.3245023599999999</v>
      </c>
      <c r="K318" s="16">
        <v>0</v>
      </c>
      <c r="L318" s="16">
        <v>0</v>
      </c>
      <c r="M318" s="16">
        <v>0</v>
      </c>
      <c r="N318" s="16">
        <f>6652.27836/1000</f>
        <v>6.6522783600000004</v>
      </c>
      <c r="O318" s="16">
        <v>0</v>
      </c>
      <c r="P318" s="16">
        <v>0</v>
      </c>
      <c r="Q318" s="16">
        <f t="shared" si="111"/>
        <v>4.0397543099999993</v>
      </c>
      <c r="R318" s="16">
        <f t="shared" si="112"/>
        <v>6.8355043200000019</v>
      </c>
      <c r="S318" s="14">
        <f t="shared" si="107"/>
        <v>3.192256880055282</v>
      </c>
      <c r="T318" s="61" t="s">
        <v>638</v>
      </c>
      <c r="U318" s="9"/>
      <c r="V318" s="12"/>
      <c r="X318" s="10"/>
    </row>
    <row r="319" spans="1:24" s="3" customFormat="1" ht="47.25" x14ac:dyDescent="0.25">
      <c r="A319" s="43" t="s">
        <v>617</v>
      </c>
      <c r="B319" s="48" t="s">
        <v>637</v>
      </c>
      <c r="C319" s="47" t="s">
        <v>636</v>
      </c>
      <c r="D319" s="16">
        <v>15.044202887599997</v>
      </c>
      <c r="E319" s="18">
        <v>11.32431227</v>
      </c>
      <c r="F319" s="16">
        <f t="shared" si="109"/>
        <v>3.7198906175999973</v>
      </c>
      <c r="G319" s="17">
        <v>0.53489288759999543</v>
      </c>
      <c r="H319" s="16">
        <f t="shared" si="110"/>
        <v>1.30470642</v>
      </c>
      <c r="I319" s="16">
        <v>0.53489288759999543</v>
      </c>
      <c r="J319" s="16">
        <v>1.30470642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>
        <f t="shared" si="111"/>
        <v>2.4151841975999973</v>
      </c>
      <c r="R319" s="16">
        <f t="shared" si="112"/>
        <v>0.76981353240000461</v>
      </c>
      <c r="S319" s="14">
        <f t="shared" si="107"/>
        <v>1.4391919396312631</v>
      </c>
      <c r="T319" s="61" t="s">
        <v>195</v>
      </c>
      <c r="U319" s="9"/>
      <c r="V319" s="12"/>
      <c r="X319" s="10"/>
    </row>
    <row r="320" spans="1:24" s="3" customFormat="1" ht="31.5" x14ac:dyDescent="0.25">
      <c r="A320" s="43" t="s">
        <v>617</v>
      </c>
      <c r="B320" s="48" t="s">
        <v>635</v>
      </c>
      <c r="C320" s="47" t="s">
        <v>634</v>
      </c>
      <c r="D320" s="16">
        <v>23.399652442372883</v>
      </c>
      <c r="E320" s="18">
        <v>21.048644359999997</v>
      </c>
      <c r="F320" s="16">
        <f t="shared" si="109"/>
        <v>2.3510080823728856</v>
      </c>
      <c r="G320" s="17">
        <v>1.4782724423728797</v>
      </c>
      <c r="H320" s="16">
        <f t="shared" si="110"/>
        <v>1.4840065200000001</v>
      </c>
      <c r="I320" s="16">
        <v>1.4782724423728797</v>
      </c>
      <c r="J320" s="16">
        <v>1.4840065200000001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>
        <f t="shared" si="111"/>
        <v>0.8670015623728855</v>
      </c>
      <c r="R320" s="16">
        <f t="shared" si="112"/>
        <v>5.7340776271204152E-3</v>
      </c>
      <c r="S320" s="14">
        <f t="shared" si="107"/>
        <v>3.8789044987649515E-3</v>
      </c>
      <c r="T320" s="61" t="s">
        <v>0</v>
      </c>
      <c r="U320" s="9"/>
      <c r="V320" s="12"/>
      <c r="X320" s="10"/>
    </row>
    <row r="321" spans="1:24" s="3" customFormat="1" ht="31.5" x14ac:dyDescent="0.25">
      <c r="A321" s="43" t="s">
        <v>617</v>
      </c>
      <c r="B321" s="48" t="s">
        <v>633</v>
      </c>
      <c r="C321" s="47" t="s">
        <v>632</v>
      </c>
      <c r="D321" s="16">
        <v>29.795359235593221</v>
      </c>
      <c r="E321" s="18">
        <v>23.838402130000002</v>
      </c>
      <c r="F321" s="16">
        <f t="shared" si="109"/>
        <v>5.9569571055932187</v>
      </c>
      <c r="G321" s="17">
        <v>2.4636292355932237</v>
      </c>
      <c r="H321" s="16">
        <f t="shared" si="110"/>
        <v>4.7411937599999998</v>
      </c>
      <c r="I321" s="16">
        <v>2.4636292355932237</v>
      </c>
      <c r="J321" s="16">
        <v>2.0322675600000002</v>
      </c>
      <c r="K321" s="16">
        <v>0</v>
      </c>
      <c r="L321" s="16">
        <v>0</v>
      </c>
      <c r="M321" s="16">
        <v>0</v>
      </c>
      <c r="N321" s="16">
        <f>2708.9262/1000</f>
        <v>2.7089262000000001</v>
      </c>
      <c r="O321" s="16">
        <v>0</v>
      </c>
      <c r="P321" s="16">
        <v>0</v>
      </c>
      <c r="Q321" s="16">
        <f t="shared" si="111"/>
        <v>1.2157633455932189</v>
      </c>
      <c r="R321" s="16">
        <f t="shared" si="112"/>
        <v>2.2775645244067761</v>
      </c>
      <c r="S321" s="14">
        <f t="shared" si="107"/>
        <v>0.9244753599696407</v>
      </c>
      <c r="T321" s="61" t="s">
        <v>195</v>
      </c>
      <c r="U321" s="9"/>
      <c r="V321" s="12"/>
      <c r="X321" s="10"/>
    </row>
    <row r="322" spans="1:24" s="3" customFormat="1" ht="47.25" x14ac:dyDescent="0.25">
      <c r="A322" s="43" t="s">
        <v>617</v>
      </c>
      <c r="B322" s="48" t="s">
        <v>631</v>
      </c>
      <c r="C322" s="47" t="s">
        <v>630</v>
      </c>
      <c r="D322" s="16" t="s">
        <v>0</v>
      </c>
      <c r="E322" s="18" t="s">
        <v>0</v>
      </c>
      <c r="F322" s="16" t="s">
        <v>0</v>
      </c>
      <c r="G322" s="17" t="s">
        <v>0</v>
      </c>
      <c r="H322" s="16">
        <f t="shared" si="110"/>
        <v>5.30418374</v>
      </c>
      <c r="I322" s="16" t="s">
        <v>0</v>
      </c>
      <c r="J322" s="16">
        <v>0</v>
      </c>
      <c r="K322" s="16" t="s">
        <v>0</v>
      </c>
      <c r="L322" s="16">
        <v>0</v>
      </c>
      <c r="M322" s="16" t="s">
        <v>0</v>
      </c>
      <c r="N322" s="16">
        <f>5304.18374/1000</f>
        <v>5.30418374</v>
      </c>
      <c r="O322" s="16" t="s">
        <v>0</v>
      </c>
      <c r="P322" s="16">
        <v>0</v>
      </c>
      <c r="Q322" s="16" t="s">
        <v>0</v>
      </c>
      <c r="R322" s="16" t="s">
        <v>0</v>
      </c>
      <c r="S322" s="14" t="s">
        <v>0</v>
      </c>
      <c r="T322" s="13" t="s">
        <v>517</v>
      </c>
      <c r="U322" s="9"/>
      <c r="V322" s="12"/>
      <c r="X322" s="10"/>
    </row>
    <row r="323" spans="1:24" s="3" customFormat="1" ht="47.25" x14ac:dyDescent="0.25">
      <c r="A323" s="43" t="s">
        <v>617</v>
      </c>
      <c r="B323" s="48" t="s">
        <v>629</v>
      </c>
      <c r="C323" s="47" t="s">
        <v>628</v>
      </c>
      <c r="D323" s="16" t="s">
        <v>0</v>
      </c>
      <c r="E323" s="18" t="s">
        <v>0</v>
      </c>
      <c r="F323" s="16" t="s">
        <v>0</v>
      </c>
      <c r="G323" s="17" t="s">
        <v>0</v>
      </c>
      <c r="H323" s="16">
        <f t="shared" si="110"/>
        <v>0.27104454</v>
      </c>
      <c r="I323" s="16" t="s">
        <v>0</v>
      </c>
      <c r="J323" s="16">
        <v>0</v>
      </c>
      <c r="K323" s="16" t="s">
        <v>0</v>
      </c>
      <c r="L323" s="16">
        <v>0</v>
      </c>
      <c r="M323" s="16" t="s">
        <v>0</v>
      </c>
      <c r="N323" s="16">
        <f>271.04454/1000</f>
        <v>0.27104454</v>
      </c>
      <c r="O323" s="16" t="s">
        <v>0</v>
      </c>
      <c r="P323" s="16">
        <v>0</v>
      </c>
      <c r="Q323" s="16" t="s">
        <v>0</v>
      </c>
      <c r="R323" s="16" t="s">
        <v>0</v>
      </c>
      <c r="S323" s="14" t="s">
        <v>0</v>
      </c>
      <c r="T323" s="13" t="s">
        <v>517</v>
      </c>
      <c r="U323" s="9"/>
      <c r="V323" s="12"/>
      <c r="X323" s="10"/>
    </row>
    <row r="324" spans="1:24" s="3" customFormat="1" ht="47.25" x14ac:dyDescent="0.25">
      <c r="A324" s="43" t="s">
        <v>617</v>
      </c>
      <c r="B324" s="48" t="s">
        <v>627</v>
      </c>
      <c r="C324" s="47" t="s">
        <v>626</v>
      </c>
      <c r="D324" s="16" t="s">
        <v>0</v>
      </c>
      <c r="E324" s="18" t="s">
        <v>0</v>
      </c>
      <c r="F324" s="16" t="s">
        <v>0</v>
      </c>
      <c r="G324" s="17" t="s">
        <v>0</v>
      </c>
      <c r="H324" s="16">
        <f t="shared" si="110"/>
        <v>2.0368984999999999</v>
      </c>
      <c r="I324" s="16" t="s">
        <v>0</v>
      </c>
      <c r="J324" s="16">
        <v>0</v>
      </c>
      <c r="K324" s="16" t="s">
        <v>0</v>
      </c>
      <c r="L324" s="16">
        <v>0</v>
      </c>
      <c r="M324" s="16" t="s">
        <v>0</v>
      </c>
      <c r="N324" s="16">
        <f>2036.8985/1000</f>
        <v>2.0368984999999999</v>
      </c>
      <c r="O324" s="16" t="s">
        <v>0</v>
      </c>
      <c r="P324" s="16">
        <v>0</v>
      </c>
      <c r="Q324" s="16" t="s">
        <v>0</v>
      </c>
      <c r="R324" s="16" t="s">
        <v>0</v>
      </c>
      <c r="S324" s="14" t="s">
        <v>0</v>
      </c>
      <c r="T324" s="13" t="s">
        <v>517</v>
      </c>
      <c r="U324" s="9"/>
      <c r="V324" s="12"/>
      <c r="X324" s="10"/>
    </row>
    <row r="325" spans="1:24" s="3" customFormat="1" ht="47.25" x14ac:dyDescent="0.25">
      <c r="A325" s="43" t="s">
        <v>617</v>
      </c>
      <c r="B325" s="48" t="s">
        <v>625</v>
      </c>
      <c r="C325" s="47" t="s">
        <v>624</v>
      </c>
      <c r="D325" s="16" t="s">
        <v>0</v>
      </c>
      <c r="E325" s="18" t="s">
        <v>0</v>
      </c>
      <c r="F325" s="16" t="s">
        <v>0</v>
      </c>
      <c r="G325" s="17" t="s">
        <v>0</v>
      </c>
      <c r="H325" s="16">
        <f t="shared" si="110"/>
        <v>0.34980525999999995</v>
      </c>
      <c r="I325" s="16" t="s">
        <v>0</v>
      </c>
      <c r="J325" s="16">
        <v>0</v>
      </c>
      <c r="K325" s="16" t="s">
        <v>0</v>
      </c>
      <c r="L325" s="16">
        <v>0</v>
      </c>
      <c r="M325" s="16" t="s">
        <v>0</v>
      </c>
      <c r="N325" s="16">
        <f>349.80526/1000</f>
        <v>0.34980525999999995</v>
      </c>
      <c r="O325" s="16" t="s">
        <v>0</v>
      </c>
      <c r="P325" s="16">
        <v>0</v>
      </c>
      <c r="Q325" s="16" t="s">
        <v>0</v>
      </c>
      <c r="R325" s="16" t="s">
        <v>0</v>
      </c>
      <c r="S325" s="14" t="s">
        <v>0</v>
      </c>
      <c r="T325" s="13" t="s">
        <v>517</v>
      </c>
      <c r="U325" s="9"/>
      <c r="V325" s="12"/>
      <c r="X325" s="10"/>
    </row>
    <row r="326" spans="1:24" s="3" customFormat="1" ht="47.25" x14ac:dyDescent="0.25">
      <c r="A326" s="43" t="s">
        <v>617</v>
      </c>
      <c r="B326" s="48" t="s">
        <v>623</v>
      </c>
      <c r="C326" s="47" t="s">
        <v>622</v>
      </c>
      <c r="D326" s="16" t="s">
        <v>0</v>
      </c>
      <c r="E326" s="18" t="s">
        <v>0</v>
      </c>
      <c r="F326" s="16" t="s">
        <v>0</v>
      </c>
      <c r="G326" s="17" t="s">
        <v>0</v>
      </c>
      <c r="H326" s="16">
        <f t="shared" si="110"/>
        <v>1.3038023400000001</v>
      </c>
      <c r="I326" s="16" t="s">
        <v>0</v>
      </c>
      <c r="J326" s="16">
        <v>0</v>
      </c>
      <c r="K326" s="16" t="s">
        <v>0</v>
      </c>
      <c r="L326" s="16">
        <v>0</v>
      </c>
      <c r="M326" s="16" t="s">
        <v>0</v>
      </c>
      <c r="N326" s="16">
        <f>1303.80234/1000</f>
        <v>1.3038023400000001</v>
      </c>
      <c r="O326" s="16" t="s">
        <v>0</v>
      </c>
      <c r="P326" s="16">
        <v>0</v>
      </c>
      <c r="Q326" s="16" t="s">
        <v>0</v>
      </c>
      <c r="R326" s="16" t="s">
        <v>0</v>
      </c>
      <c r="S326" s="14" t="s">
        <v>0</v>
      </c>
      <c r="T326" s="13" t="s">
        <v>517</v>
      </c>
      <c r="U326" s="9"/>
      <c r="V326" s="12"/>
      <c r="X326" s="10"/>
    </row>
    <row r="327" spans="1:24" s="3" customFormat="1" ht="47.25" x14ac:dyDescent="0.25">
      <c r="A327" s="43" t="s">
        <v>617</v>
      </c>
      <c r="B327" s="48" t="s">
        <v>621</v>
      </c>
      <c r="C327" s="47" t="s">
        <v>620</v>
      </c>
      <c r="D327" s="16" t="s">
        <v>0</v>
      </c>
      <c r="E327" s="18" t="s">
        <v>0</v>
      </c>
      <c r="F327" s="16" t="s">
        <v>0</v>
      </c>
      <c r="G327" s="17" t="s">
        <v>0</v>
      </c>
      <c r="H327" s="16">
        <f t="shared" si="110"/>
        <v>11.00997087</v>
      </c>
      <c r="I327" s="16" t="s">
        <v>0</v>
      </c>
      <c r="J327" s="16">
        <v>0</v>
      </c>
      <c r="K327" s="16" t="s">
        <v>0</v>
      </c>
      <c r="L327" s="16">
        <v>0</v>
      </c>
      <c r="M327" s="16" t="s">
        <v>0</v>
      </c>
      <c r="N327" s="16">
        <f>11009.97087/1000</f>
        <v>11.00997087</v>
      </c>
      <c r="O327" s="16" t="s">
        <v>0</v>
      </c>
      <c r="P327" s="16">
        <v>0</v>
      </c>
      <c r="Q327" s="16" t="s">
        <v>0</v>
      </c>
      <c r="R327" s="16" t="s">
        <v>0</v>
      </c>
      <c r="S327" s="14" t="s">
        <v>0</v>
      </c>
      <c r="T327" s="13" t="s">
        <v>517</v>
      </c>
      <c r="U327" s="9"/>
      <c r="V327" s="12"/>
      <c r="X327" s="10"/>
    </row>
    <row r="328" spans="1:24" s="3" customFormat="1" ht="47.25" x14ac:dyDescent="0.25">
      <c r="A328" s="43" t="s">
        <v>617</v>
      </c>
      <c r="B328" s="48" t="s">
        <v>619</v>
      </c>
      <c r="C328" s="47" t="s">
        <v>618</v>
      </c>
      <c r="D328" s="16" t="s">
        <v>0</v>
      </c>
      <c r="E328" s="18" t="s">
        <v>0</v>
      </c>
      <c r="F328" s="16" t="s">
        <v>0</v>
      </c>
      <c r="G328" s="17" t="s">
        <v>0</v>
      </c>
      <c r="H328" s="16">
        <f t="shared" si="110"/>
        <v>1.09044531</v>
      </c>
      <c r="I328" s="16" t="s">
        <v>0</v>
      </c>
      <c r="J328" s="16">
        <v>0</v>
      </c>
      <c r="K328" s="16" t="s">
        <v>0</v>
      </c>
      <c r="L328" s="16">
        <v>0</v>
      </c>
      <c r="M328" s="16" t="s">
        <v>0</v>
      </c>
      <c r="N328" s="16">
        <f>1090.44531/1000</f>
        <v>1.09044531</v>
      </c>
      <c r="O328" s="16" t="s">
        <v>0</v>
      </c>
      <c r="P328" s="16">
        <v>0</v>
      </c>
      <c r="Q328" s="16" t="s">
        <v>0</v>
      </c>
      <c r="R328" s="16" t="s">
        <v>0</v>
      </c>
      <c r="S328" s="14" t="s">
        <v>0</v>
      </c>
      <c r="T328" s="13" t="s">
        <v>517</v>
      </c>
      <c r="U328" s="9"/>
      <c r="V328" s="12"/>
      <c r="X328" s="10"/>
    </row>
    <row r="329" spans="1:24" s="3" customFormat="1" ht="47.25" x14ac:dyDescent="0.25">
      <c r="A329" s="43" t="s">
        <v>617</v>
      </c>
      <c r="B329" s="48" t="s">
        <v>616</v>
      </c>
      <c r="C329" s="47" t="s">
        <v>615</v>
      </c>
      <c r="D329" s="16">
        <v>37.636360342983053</v>
      </c>
      <c r="E329" s="18">
        <v>14.21488798</v>
      </c>
      <c r="F329" s="16">
        <f>D329-E329</f>
        <v>23.421472362983053</v>
      </c>
      <c r="G329" s="17">
        <v>2.2944403429830489</v>
      </c>
      <c r="H329" s="16">
        <f t="shared" si="110"/>
        <v>13.769361680000001</v>
      </c>
      <c r="I329" s="16">
        <v>2.2944403429830489</v>
      </c>
      <c r="J329" s="16">
        <v>0</v>
      </c>
      <c r="K329" s="16">
        <v>0</v>
      </c>
      <c r="L329" s="16">
        <v>1.62738936</v>
      </c>
      <c r="M329" s="16">
        <v>0</v>
      </c>
      <c r="N329" s="16">
        <f>12141.97232/1000</f>
        <v>12.141972320000001</v>
      </c>
      <c r="O329" s="16">
        <v>0</v>
      </c>
      <c r="P329" s="16">
        <v>0</v>
      </c>
      <c r="Q329" s="16">
        <f>F329-H329</f>
        <v>9.6521106829830519</v>
      </c>
      <c r="R329" s="16">
        <f>H329-(I329+K329+M329)</f>
        <v>11.474921337016951</v>
      </c>
      <c r="S329" s="14">
        <f>R329/(I329+K329+M329)</f>
        <v>5.0011853095723424</v>
      </c>
      <c r="T329" s="61" t="s">
        <v>510</v>
      </c>
      <c r="U329" s="9"/>
      <c r="V329" s="12"/>
      <c r="X329" s="10"/>
    </row>
    <row r="330" spans="1:24" s="3" customFormat="1" ht="31.5" x14ac:dyDescent="0.25">
      <c r="A330" s="35" t="s">
        <v>614</v>
      </c>
      <c r="B330" s="37" t="s">
        <v>71</v>
      </c>
      <c r="C330" s="33" t="s">
        <v>11</v>
      </c>
      <c r="D330" s="28">
        <v>0</v>
      </c>
      <c r="E330" s="28">
        <v>0</v>
      </c>
      <c r="F330" s="28">
        <v>0</v>
      </c>
      <c r="G330" s="28">
        <v>0</v>
      </c>
      <c r="H330" s="28">
        <v>0</v>
      </c>
      <c r="I330" s="28">
        <v>0</v>
      </c>
      <c r="J330" s="28">
        <v>0</v>
      </c>
      <c r="K330" s="28">
        <v>0</v>
      </c>
      <c r="L330" s="28">
        <v>0</v>
      </c>
      <c r="M330" s="28">
        <v>0</v>
      </c>
      <c r="N330" s="28">
        <v>0</v>
      </c>
      <c r="O330" s="28">
        <v>0</v>
      </c>
      <c r="P330" s="28">
        <v>0</v>
      </c>
      <c r="Q330" s="28">
        <v>0</v>
      </c>
      <c r="R330" s="28">
        <v>0</v>
      </c>
      <c r="S330" s="27">
        <v>0</v>
      </c>
      <c r="T330" s="26" t="s">
        <v>0</v>
      </c>
      <c r="U330" s="9"/>
      <c r="V330" s="12"/>
      <c r="X330" s="10"/>
    </row>
    <row r="331" spans="1:24" s="3" customFormat="1" ht="47.25" x14ac:dyDescent="0.25">
      <c r="A331" s="35" t="s">
        <v>613</v>
      </c>
      <c r="B331" s="37" t="s">
        <v>69</v>
      </c>
      <c r="C331" s="33" t="s">
        <v>11</v>
      </c>
      <c r="D331" s="28">
        <f t="shared" ref="D331:R331" si="113">D332+D337+D335+D336</f>
        <v>1143.0855035505115</v>
      </c>
      <c r="E331" s="28">
        <f t="shared" si="113"/>
        <v>265.20316452999998</v>
      </c>
      <c r="F331" s="28">
        <f t="shared" si="113"/>
        <v>877.88233902051161</v>
      </c>
      <c r="G331" s="28">
        <f t="shared" si="113"/>
        <v>322.18793170200001</v>
      </c>
      <c r="H331" s="28">
        <f t="shared" si="113"/>
        <v>52.064095300000005</v>
      </c>
      <c r="I331" s="28">
        <f t="shared" si="113"/>
        <v>4.1087849999999975</v>
      </c>
      <c r="J331" s="28">
        <f t="shared" si="113"/>
        <v>18.196772729999999</v>
      </c>
      <c r="K331" s="28">
        <f t="shared" si="113"/>
        <v>13.09054143</v>
      </c>
      <c r="L331" s="28">
        <f t="shared" si="113"/>
        <v>1.2335423100000003</v>
      </c>
      <c r="M331" s="28">
        <f t="shared" si="113"/>
        <v>155.52408499999999</v>
      </c>
      <c r="N331" s="28">
        <f t="shared" si="113"/>
        <v>32.633780260000002</v>
      </c>
      <c r="O331" s="28">
        <f t="shared" si="113"/>
        <v>149.46452027200002</v>
      </c>
      <c r="P331" s="28">
        <f t="shared" si="113"/>
        <v>0</v>
      </c>
      <c r="Q331" s="28">
        <f t="shared" si="113"/>
        <v>829.29098372051169</v>
      </c>
      <c r="R331" s="28">
        <f t="shared" si="113"/>
        <v>-124.13205613000002</v>
      </c>
      <c r="S331" s="27">
        <f>R331/(I331+K331+M331)</f>
        <v>-0.71867533823176777</v>
      </c>
      <c r="T331" s="26" t="s">
        <v>0</v>
      </c>
      <c r="U331" s="9"/>
      <c r="V331" s="12"/>
      <c r="X331" s="10"/>
    </row>
    <row r="332" spans="1:24" s="3" customFormat="1" ht="31.5" x14ac:dyDescent="0.25">
      <c r="A332" s="35" t="s">
        <v>610</v>
      </c>
      <c r="B332" s="37" t="s">
        <v>67</v>
      </c>
      <c r="C332" s="33" t="s">
        <v>11</v>
      </c>
      <c r="D332" s="28">
        <f t="shared" ref="D332:R332" si="114">SUM(D333:D334)</f>
        <v>531.38386212851162</v>
      </c>
      <c r="E332" s="28">
        <f t="shared" si="114"/>
        <v>129.18401621000001</v>
      </c>
      <c r="F332" s="28">
        <f t="shared" si="114"/>
        <v>402.19984591851164</v>
      </c>
      <c r="G332" s="28">
        <f t="shared" si="114"/>
        <v>2.6326999999999972</v>
      </c>
      <c r="H332" s="28">
        <f t="shared" si="114"/>
        <v>10.279385040000001</v>
      </c>
      <c r="I332" s="28">
        <f t="shared" si="114"/>
        <v>2.6326999999999972</v>
      </c>
      <c r="J332" s="28">
        <f t="shared" si="114"/>
        <v>10.279385040000001</v>
      </c>
      <c r="K332" s="28">
        <f t="shared" si="114"/>
        <v>0</v>
      </c>
      <c r="L332" s="28">
        <f t="shared" si="114"/>
        <v>0</v>
      </c>
      <c r="M332" s="28">
        <f t="shared" si="114"/>
        <v>0</v>
      </c>
      <c r="N332" s="28">
        <f t="shared" si="114"/>
        <v>0</v>
      </c>
      <c r="O332" s="28">
        <f t="shared" si="114"/>
        <v>0</v>
      </c>
      <c r="P332" s="28">
        <f t="shared" si="114"/>
        <v>0</v>
      </c>
      <c r="Q332" s="28">
        <f t="shared" si="114"/>
        <v>395.39320087851166</v>
      </c>
      <c r="R332" s="28">
        <f t="shared" si="114"/>
        <v>4.1739450400000031</v>
      </c>
      <c r="S332" s="27">
        <f>R332/(I332+K332+M332)</f>
        <v>1.5854237246932836</v>
      </c>
      <c r="T332" s="26" t="s">
        <v>0</v>
      </c>
      <c r="U332" s="9"/>
      <c r="V332" s="12"/>
      <c r="X332" s="10"/>
    </row>
    <row r="333" spans="1:24" s="3" customFormat="1" ht="31.5" x14ac:dyDescent="0.25">
      <c r="A333" s="43" t="s">
        <v>610</v>
      </c>
      <c r="B333" s="48" t="s">
        <v>612</v>
      </c>
      <c r="C333" s="49" t="s">
        <v>611</v>
      </c>
      <c r="D333" s="16">
        <v>531.38386212851162</v>
      </c>
      <c r="E333" s="18">
        <v>129.18401621000001</v>
      </c>
      <c r="F333" s="16">
        <f>D333-E333</f>
        <v>402.19984591851164</v>
      </c>
      <c r="G333" s="17">
        <v>2.6326999999999972</v>
      </c>
      <c r="H333" s="16">
        <f>J333+L333+N333+P333</f>
        <v>6.8066450400000003</v>
      </c>
      <c r="I333" s="16">
        <v>2.6326999999999972</v>
      </c>
      <c r="J333" s="16">
        <v>6.8066450400000003</v>
      </c>
      <c r="K333" s="18">
        <v>0</v>
      </c>
      <c r="L333" s="18">
        <v>0</v>
      </c>
      <c r="M333" s="16">
        <v>0</v>
      </c>
      <c r="N333" s="16">
        <v>0</v>
      </c>
      <c r="O333" s="16">
        <v>0</v>
      </c>
      <c r="P333" s="16">
        <v>0</v>
      </c>
      <c r="Q333" s="16">
        <f>F333-H333</f>
        <v>395.39320087851166</v>
      </c>
      <c r="R333" s="16">
        <f>H333-(I333+K333+M333)</f>
        <v>4.1739450400000031</v>
      </c>
      <c r="S333" s="14">
        <f>R333/(I333+K333+M333)</f>
        <v>1.5854237246932836</v>
      </c>
      <c r="T333" s="22" t="s">
        <v>195</v>
      </c>
      <c r="U333" s="9"/>
      <c r="V333" s="12"/>
      <c r="X333" s="10"/>
    </row>
    <row r="334" spans="1:24" s="3" customFormat="1" ht="31.5" x14ac:dyDescent="0.25">
      <c r="A334" s="43" t="s">
        <v>610</v>
      </c>
      <c r="B334" s="64" t="s">
        <v>609</v>
      </c>
      <c r="C334" s="49" t="s">
        <v>608</v>
      </c>
      <c r="D334" s="16" t="s">
        <v>0</v>
      </c>
      <c r="E334" s="18" t="s">
        <v>0</v>
      </c>
      <c r="F334" s="16" t="s">
        <v>0</v>
      </c>
      <c r="G334" s="16" t="s">
        <v>0</v>
      </c>
      <c r="H334" s="16">
        <f>J334+L334+N334+P334</f>
        <v>3.4727399999999999</v>
      </c>
      <c r="I334" s="16" t="s">
        <v>0</v>
      </c>
      <c r="J334" s="16">
        <v>3.4727399999999999</v>
      </c>
      <c r="K334" s="16" t="s">
        <v>0</v>
      </c>
      <c r="L334" s="16">
        <v>0</v>
      </c>
      <c r="M334" s="16" t="s">
        <v>0</v>
      </c>
      <c r="N334" s="16">
        <v>0</v>
      </c>
      <c r="O334" s="16" t="s">
        <v>0</v>
      </c>
      <c r="P334" s="16">
        <v>0</v>
      </c>
      <c r="Q334" s="16" t="s">
        <v>0</v>
      </c>
      <c r="R334" s="16" t="s">
        <v>0</v>
      </c>
      <c r="S334" s="32" t="s">
        <v>0</v>
      </c>
      <c r="T334" s="68" t="s">
        <v>195</v>
      </c>
      <c r="U334" s="9"/>
      <c r="V334" s="12"/>
      <c r="X334" s="10"/>
    </row>
    <row r="335" spans="1:24" s="3" customFormat="1" x14ac:dyDescent="0.25">
      <c r="A335" s="35" t="s">
        <v>607</v>
      </c>
      <c r="B335" s="37" t="s">
        <v>66</v>
      </c>
      <c r="C335" s="33" t="s">
        <v>11</v>
      </c>
      <c r="D335" s="28">
        <v>0</v>
      </c>
      <c r="E335" s="28">
        <v>0</v>
      </c>
      <c r="F335" s="28">
        <v>0</v>
      </c>
      <c r="G335" s="28">
        <v>0</v>
      </c>
      <c r="H335" s="28">
        <v>0</v>
      </c>
      <c r="I335" s="28">
        <v>0</v>
      </c>
      <c r="J335" s="28">
        <v>0</v>
      </c>
      <c r="K335" s="28">
        <v>0</v>
      </c>
      <c r="L335" s="28">
        <v>0</v>
      </c>
      <c r="M335" s="28">
        <v>0</v>
      </c>
      <c r="N335" s="28">
        <v>0</v>
      </c>
      <c r="O335" s="28">
        <v>0</v>
      </c>
      <c r="P335" s="28">
        <v>0</v>
      </c>
      <c r="Q335" s="28">
        <v>0</v>
      </c>
      <c r="R335" s="28">
        <v>0</v>
      </c>
      <c r="S335" s="27">
        <v>0</v>
      </c>
      <c r="T335" s="26" t="s">
        <v>0</v>
      </c>
      <c r="U335" s="9"/>
      <c r="V335" s="12"/>
      <c r="X335" s="10"/>
    </row>
    <row r="336" spans="1:24" s="3" customFormat="1" x14ac:dyDescent="0.25">
      <c r="A336" s="35" t="s">
        <v>606</v>
      </c>
      <c r="B336" s="37" t="s">
        <v>60</v>
      </c>
      <c r="C336" s="33" t="s">
        <v>11</v>
      </c>
      <c r="D336" s="28">
        <v>0</v>
      </c>
      <c r="E336" s="28">
        <v>0</v>
      </c>
      <c r="F336" s="28">
        <v>0</v>
      </c>
      <c r="G336" s="28">
        <v>0</v>
      </c>
      <c r="H336" s="28">
        <v>0</v>
      </c>
      <c r="I336" s="28">
        <v>0</v>
      </c>
      <c r="J336" s="28">
        <v>0</v>
      </c>
      <c r="K336" s="28">
        <v>0</v>
      </c>
      <c r="L336" s="28">
        <v>0</v>
      </c>
      <c r="M336" s="28">
        <v>0</v>
      </c>
      <c r="N336" s="28">
        <v>0</v>
      </c>
      <c r="O336" s="28">
        <v>0</v>
      </c>
      <c r="P336" s="28">
        <v>0</v>
      </c>
      <c r="Q336" s="28">
        <v>0</v>
      </c>
      <c r="R336" s="28">
        <v>0</v>
      </c>
      <c r="S336" s="27">
        <v>0</v>
      </c>
      <c r="T336" s="26" t="s">
        <v>0</v>
      </c>
      <c r="U336" s="9"/>
      <c r="V336" s="12"/>
      <c r="X336" s="10"/>
    </row>
    <row r="337" spans="1:24" s="3" customFormat="1" ht="31.5" x14ac:dyDescent="0.25">
      <c r="A337" s="35" t="s">
        <v>593</v>
      </c>
      <c r="B337" s="37" t="s">
        <v>59</v>
      </c>
      <c r="C337" s="33" t="s">
        <v>11</v>
      </c>
      <c r="D337" s="28">
        <f t="shared" ref="D337:R337" si="115">SUM(D338:D343)</f>
        <v>611.70164142199997</v>
      </c>
      <c r="E337" s="28">
        <f t="shared" si="115"/>
        <v>136.01914832</v>
      </c>
      <c r="F337" s="28">
        <f t="shared" si="115"/>
        <v>475.68249310199997</v>
      </c>
      <c r="G337" s="28">
        <f t="shared" si="115"/>
        <v>319.55523170200001</v>
      </c>
      <c r="H337" s="28">
        <f t="shared" si="115"/>
        <v>41.784710260000004</v>
      </c>
      <c r="I337" s="28">
        <f t="shared" si="115"/>
        <v>1.4760850000000001</v>
      </c>
      <c r="J337" s="28">
        <f t="shared" si="115"/>
        <v>7.91738769</v>
      </c>
      <c r="K337" s="28">
        <f t="shared" si="115"/>
        <v>13.09054143</v>
      </c>
      <c r="L337" s="28">
        <f t="shared" si="115"/>
        <v>1.2335423100000003</v>
      </c>
      <c r="M337" s="28">
        <f t="shared" si="115"/>
        <v>155.52408499999999</v>
      </c>
      <c r="N337" s="28">
        <f t="shared" si="115"/>
        <v>32.633780260000002</v>
      </c>
      <c r="O337" s="28">
        <f t="shared" si="115"/>
        <v>149.46452027200002</v>
      </c>
      <c r="P337" s="28">
        <f t="shared" si="115"/>
        <v>0</v>
      </c>
      <c r="Q337" s="28">
        <f t="shared" si="115"/>
        <v>433.89778284200003</v>
      </c>
      <c r="R337" s="28">
        <f t="shared" si="115"/>
        <v>-128.30600117000003</v>
      </c>
      <c r="S337" s="27">
        <f>R337/(I337+K337+M337)</f>
        <v>-0.75433867076747307</v>
      </c>
      <c r="T337" s="26" t="s">
        <v>0</v>
      </c>
      <c r="U337" s="9"/>
      <c r="V337" s="12"/>
      <c r="X337" s="10"/>
    </row>
    <row r="338" spans="1:24" s="3" customFormat="1" ht="31.5" x14ac:dyDescent="0.25">
      <c r="A338" s="43" t="s">
        <v>593</v>
      </c>
      <c r="B338" s="64" t="s">
        <v>605</v>
      </c>
      <c r="C338" s="49" t="s">
        <v>604</v>
      </c>
      <c r="D338" s="16">
        <v>379.88497462999999</v>
      </c>
      <c r="E338" s="18">
        <v>136.01914832</v>
      </c>
      <c r="F338" s="16">
        <f t="shared" ref="F338:F343" si="116">D338-E338</f>
        <v>243.86582630999999</v>
      </c>
      <c r="G338" s="17">
        <v>91.338564779999984</v>
      </c>
      <c r="H338" s="16">
        <f t="shared" ref="H338:H343" si="117">J338+L338+N338+P338</f>
        <v>34.341933949999998</v>
      </c>
      <c r="I338" s="16">
        <v>1.4760850000000001</v>
      </c>
      <c r="J338" s="16">
        <v>7.91738769</v>
      </c>
      <c r="K338" s="18">
        <v>13.09054143</v>
      </c>
      <c r="L338" s="16">
        <v>1.11043527</v>
      </c>
      <c r="M338" s="16">
        <v>35.506084999999999</v>
      </c>
      <c r="N338" s="16">
        <f>25314.11099/1000</f>
        <v>25.31411099</v>
      </c>
      <c r="O338" s="16">
        <v>41.26585335</v>
      </c>
      <c r="P338" s="16">
        <v>0</v>
      </c>
      <c r="Q338" s="16">
        <f t="shared" ref="Q338:Q343" si="118">F338-H338</f>
        <v>209.52389235999999</v>
      </c>
      <c r="R338" s="16">
        <f t="shared" ref="R338:R343" si="119">H338-(I338+K338+M338)</f>
        <v>-15.73077748</v>
      </c>
      <c r="S338" s="14">
        <f>R338/(I338+K338+M338)</f>
        <v>-0.31415869104654159</v>
      </c>
      <c r="T338" s="22" t="s">
        <v>603</v>
      </c>
      <c r="U338" s="9"/>
      <c r="V338" s="12"/>
      <c r="X338" s="10"/>
    </row>
    <row r="339" spans="1:24" s="3" customFormat="1" ht="47.25" x14ac:dyDescent="0.25">
      <c r="A339" s="43" t="s">
        <v>593</v>
      </c>
      <c r="B339" s="64" t="s">
        <v>602</v>
      </c>
      <c r="C339" s="49" t="s">
        <v>601</v>
      </c>
      <c r="D339" s="16">
        <v>231.40626679200003</v>
      </c>
      <c r="E339" s="18">
        <v>0</v>
      </c>
      <c r="F339" s="16">
        <f t="shared" si="116"/>
        <v>231.40626679200003</v>
      </c>
      <c r="G339" s="17">
        <v>227.80626692200002</v>
      </c>
      <c r="H339" s="16">
        <f t="shared" si="117"/>
        <v>7.03</v>
      </c>
      <c r="I339" s="16">
        <v>0</v>
      </c>
      <c r="J339" s="16">
        <v>0</v>
      </c>
      <c r="K339" s="16">
        <v>0</v>
      </c>
      <c r="L339" s="16">
        <v>0</v>
      </c>
      <c r="M339" s="16">
        <v>120</v>
      </c>
      <c r="N339" s="16">
        <f>7030/1000</f>
        <v>7.03</v>
      </c>
      <c r="O339" s="16">
        <v>107.80626692199999</v>
      </c>
      <c r="P339" s="16">
        <v>0</v>
      </c>
      <c r="Q339" s="16">
        <f t="shared" si="118"/>
        <v>224.37626679200002</v>
      </c>
      <c r="R339" s="16">
        <f t="shared" si="119"/>
        <v>-112.97</v>
      </c>
      <c r="S339" s="14">
        <f>R339/(I339+K339+M339)</f>
        <v>-0.94141666666666668</v>
      </c>
      <c r="T339" s="22" t="s">
        <v>600</v>
      </c>
      <c r="U339" s="9"/>
      <c r="V339" s="12"/>
      <c r="X339" s="10"/>
    </row>
    <row r="340" spans="1:24" s="3" customFormat="1" ht="47.25" x14ac:dyDescent="0.25">
      <c r="A340" s="43" t="s">
        <v>593</v>
      </c>
      <c r="B340" s="64" t="s">
        <v>599</v>
      </c>
      <c r="C340" s="49" t="s">
        <v>598</v>
      </c>
      <c r="D340" s="16">
        <v>0.12840000000000001</v>
      </c>
      <c r="E340" s="18">
        <v>0</v>
      </c>
      <c r="F340" s="16">
        <f t="shared" si="116"/>
        <v>0.12840000000000001</v>
      </c>
      <c r="G340" s="17">
        <v>0.12840000000000001</v>
      </c>
      <c r="H340" s="16">
        <f t="shared" si="117"/>
        <v>0.11564466000000001</v>
      </c>
      <c r="I340" s="16">
        <v>0</v>
      </c>
      <c r="J340" s="16">
        <v>0</v>
      </c>
      <c r="K340" s="16">
        <v>0</v>
      </c>
      <c r="L340" s="16">
        <v>3.8519999999999999E-2</v>
      </c>
      <c r="M340" s="16">
        <v>0</v>
      </c>
      <c r="N340" s="16">
        <f>77.12466/1000</f>
        <v>7.7124660000000012E-2</v>
      </c>
      <c r="O340" s="16">
        <v>0.12840000000000001</v>
      </c>
      <c r="P340" s="16">
        <v>0</v>
      </c>
      <c r="Q340" s="16">
        <f t="shared" si="118"/>
        <v>1.2755340000000004E-2</v>
      </c>
      <c r="R340" s="16">
        <f t="shared" si="119"/>
        <v>0.11564466000000001</v>
      </c>
      <c r="S340" s="14">
        <v>1</v>
      </c>
      <c r="T340" s="22" t="s">
        <v>590</v>
      </c>
      <c r="U340" s="9"/>
      <c r="V340" s="12"/>
      <c r="X340" s="10"/>
    </row>
    <row r="341" spans="1:24" s="3" customFormat="1" ht="47.25" x14ac:dyDescent="0.25">
      <c r="A341" s="43" t="s">
        <v>593</v>
      </c>
      <c r="B341" s="64" t="s">
        <v>597</v>
      </c>
      <c r="C341" s="49" t="s">
        <v>596</v>
      </c>
      <c r="D341" s="16">
        <v>0.13200000000000001</v>
      </c>
      <c r="E341" s="18">
        <v>0</v>
      </c>
      <c r="F341" s="16">
        <f t="shared" si="116"/>
        <v>0.13200000000000001</v>
      </c>
      <c r="G341" s="17">
        <v>0.13200000000000001</v>
      </c>
      <c r="H341" s="16">
        <f t="shared" si="117"/>
        <v>0.11774322000000001</v>
      </c>
      <c r="I341" s="16">
        <v>0</v>
      </c>
      <c r="J341" s="16">
        <v>0</v>
      </c>
      <c r="K341" s="16">
        <v>0</v>
      </c>
      <c r="L341" s="16">
        <v>3.9600000000000003E-2</v>
      </c>
      <c r="M341" s="16">
        <v>0</v>
      </c>
      <c r="N341" s="16">
        <f>78.14322/1000</f>
        <v>7.8143219999999999E-2</v>
      </c>
      <c r="O341" s="16">
        <v>0.13200000000000001</v>
      </c>
      <c r="P341" s="16">
        <v>0</v>
      </c>
      <c r="Q341" s="16">
        <f t="shared" si="118"/>
        <v>1.4256779999999997E-2</v>
      </c>
      <c r="R341" s="16">
        <f t="shared" si="119"/>
        <v>0.11774322000000001</v>
      </c>
      <c r="S341" s="14">
        <v>1</v>
      </c>
      <c r="T341" s="22" t="s">
        <v>590</v>
      </c>
      <c r="U341" s="9"/>
      <c r="V341" s="12"/>
      <c r="X341" s="10"/>
    </row>
    <row r="342" spans="1:24" s="3" customFormat="1" ht="47.25" x14ac:dyDescent="0.25">
      <c r="A342" s="43" t="s">
        <v>593</v>
      </c>
      <c r="B342" s="64" t="s">
        <v>595</v>
      </c>
      <c r="C342" s="49" t="s">
        <v>594</v>
      </c>
      <c r="D342" s="16">
        <v>0.1128</v>
      </c>
      <c r="E342" s="18">
        <v>0</v>
      </c>
      <c r="F342" s="16">
        <f t="shared" si="116"/>
        <v>0.1128</v>
      </c>
      <c r="G342" s="17">
        <v>0.1128</v>
      </c>
      <c r="H342" s="16">
        <f t="shared" si="117"/>
        <v>0.14052865</v>
      </c>
      <c r="I342" s="16">
        <v>0</v>
      </c>
      <c r="J342" s="16">
        <v>0</v>
      </c>
      <c r="K342" s="16">
        <v>0</v>
      </c>
      <c r="L342" s="16">
        <v>3.3840000000000002E-2</v>
      </c>
      <c r="M342" s="16">
        <v>0</v>
      </c>
      <c r="N342" s="16">
        <f>106.68865/1000</f>
        <v>0.10668865</v>
      </c>
      <c r="O342" s="16">
        <v>0.1128</v>
      </c>
      <c r="P342" s="16">
        <v>0</v>
      </c>
      <c r="Q342" s="16">
        <f t="shared" si="118"/>
        <v>-2.7728650000000007E-2</v>
      </c>
      <c r="R342" s="16">
        <f t="shared" si="119"/>
        <v>0.14052865</v>
      </c>
      <c r="S342" s="14">
        <v>1</v>
      </c>
      <c r="T342" s="22" t="s">
        <v>590</v>
      </c>
      <c r="U342" s="9"/>
      <c r="V342" s="12"/>
      <c r="X342" s="10"/>
    </row>
    <row r="343" spans="1:24" s="3" customFormat="1" ht="47.25" x14ac:dyDescent="0.25">
      <c r="A343" s="43" t="s">
        <v>593</v>
      </c>
      <c r="B343" s="64" t="s">
        <v>592</v>
      </c>
      <c r="C343" s="49" t="s">
        <v>591</v>
      </c>
      <c r="D343" s="16">
        <v>3.7199999999999997E-2</v>
      </c>
      <c r="E343" s="18">
        <v>0</v>
      </c>
      <c r="F343" s="16">
        <f t="shared" si="116"/>
        <v>3.7199999999999997E-2</v>
      </c>
      <c r="G343" s="17">
        <v>3.7199999999999997E-2</v>
      </c>
      <c r="H343" s="16">
        <f t="shared" si="117"/>
        <v>3.8859779999999997E-2</v>
      </c>
      <c r="I343" s="16">
        <v>0</v>
      </c>
      <c r="J343" s="16">
        <v>0</v>
      </c>
      <c r="K343" s="16">
        <v>0</v>
      </c>
      <c r="L343" s="16">
        <v>1.114704E-2</v>
      </c>
      <c r="M343" s="16">
        <v>1.7999999999999999E-2</v>
      </c>
      <c r="N343" s="16">
        <f>27.71274/1000</f>
        <v>2.771274E-2</v>
      </c>
      <c r="O343" s="16">
        <v>1.9199999999999998E-2</v>
      </c>
      <c r="P343" s="16">
        <v>0</v>
      </c>
      <c r="Q343" s="16">
        <f t="shared" si="118"/>
        <v>-1.6597799999999996E-3</v>
      </c>
      <c r="R343" s="16">
        <f t="shared" si="119"/>
        <v>2.0859779999999998E-2</v>
      </c>
      <c r="S343" s="14">
        <f>R343/(I343+K343+M343)</f>
        <v>1.1588766666666666</v>
      </c>
      <c r="T343" s="22" t="s">
        <v>590</v>
      </c>
      <c r="U343" s="9"/>
      <c r="V343" s="12"/>
      <c r="X343" s="10"/>
    </row>
    <row r="344" spans="1:24" s="3" customFormat="1" ht="31.5" x14ac:dyDescent="0.25">
      <c r="A344" s="35" t="s">
        <v>589</v>
      </c>
      <c r="B344" s="37" t="s">
        <v>53</v>
      </c>
      <c r="C344" s="33" t="s">
        <v>11</v>
      </c>
      <c r="D344" s="28">
        <f t="shared" ref="D344:R344" si="120">D345+D362+D364+D386</f>
        <v>6237.334625867562</v>
      </c>
      <c r="E344" s="28">
        <f t="shared" si="120"/>
        <v>1565.2710957199999</v>
      </c>
      <c r="F344" s="28">
        <f t="shared" si="120"/>
        <v>4672.0635301475631</v>
      </c>
      <c r="G344" s="28">
        <f t="shared" si="120"/>
        <v>932.64767813561252</v>
      </c>
      <c r="H344" s="28">
        <f t="shared" si="120"/>
        <v>385.50621240999999</v>
      </c>
      <c r="I344" s="28">
        <f t="shared" si="120"/>
        <v>81.290791215830652</v>
      </c>
      <c r="J344" s="28">
        <f t="shared" si="120"/>
        <v>128.51434872000002</v>
      </c>
      <c r="K344" s="28">
        <f t="shared" si="120"/>
        <v>17.583476775999998</v>
      </c>
      <c r="L344" s="28">
        <f t="shared" si="120"/>
        <v>134.77597190999998</v>
      </c>
      <c r="M344" s="28">
        <f t="shared" si="120"/>
        <v>166.71147767799999</v>
      </c>
      <c r="N344" s="28">
        <f t="shared" si="120"/>
        <v>122.21589178000002</v>
      </c>
      <c r="O344" s="28">
        <f t="shared" si="120"/>
        <v>667.06193246577993</v>
      </c>
      <c r="P344" s="28">
        <f t="shared" si="120"/>
        <v>0</v>
      </c>
      <c r="Q344" s="28">
        <f t="shared" si="120"/>
        <v>4297.0594930375637</v>
      </c>
      <c r="R344" s="28">
        <f t="shared" si="120"/>
        <v>109.41829144016936</v>
      </c>
      <c r="S344" s="27">
        <f>R344/(I344+K344+M344)</f>
        <v>0.41198856950777529</v>
      </c>
      <c r="T344" s="26" t="s">
        <v>0</v>
      </c>
      <c r="U344" s="9"/>
      <c r="V344" s="12"/>
      <c r="X344" s="10"/>
    </row>
    <row r="345" spans="1:24" s="3" customFormat="1" ht="31.5" x14ac:dyDescent="0.25">
      <c r="A345" s="35" t="s">
        <v>556</v>
      </c>
      <c r="B345" s="37" t="s">
        <v>51</v>
      </c>
      <c r="C345" s="33" t="s">
        <v>11</v>
      </c>
      <c r="D345" s="28">
        <f t="shared" ref="D345:R345" si="121">SUM(D346:D361)</f>
        <v>2585.946341588</v>
      </c>
      <c r="E345" s="28">
        <f t="shared" si="121"/>
        <v>1233.2586186399999</v>
      </c>
      <c r="F345" s="28">
        <f t="shared" si="121"/>
        <v>1352.6877229480001</v>
      </c>
      <c r="G345" s="28">
        <f t="shared" si="121"/>
        <v>362.55208858999998</v>
      </c>
      <c r="H345" s="28">
        <f t="shared" si="121"/>
        <v>107.87594457</v>
      </c>
      <c r="I345" s="28">
        <f t="shared" si="121"/>
        <v>62.108943894000006</v>
      </c>
      <c r="J345" s="28">
        <f t="shared" si="121"/>
        <v>84.306088250000002</v>
      </c>
      <c r="K345" s="28">
        <f t="shared" si="121"/>
        <v>0</v>
      </c>
      <c r="L345" s="28">
        <f t="shared" si="121"/>
        <v>23.569856320000003</v>
      </c>
      <c r="M345" s="28">
        <f t="shared" si="121"/>
        <v>0</v>
      </c>
      <c r="N345" s="28">
        <f t="shared" si="121"/>
        <v>0</v>
      </c>
      <c r="O345" s="28">
        <f t="shared" si="121"/>
        <v>300.44314469599993</v>
      </c>
      <c r="P345" s="28">
        <f t="shared" si="121"/>
        <v>0</v>
      </c>
      <c r="Q345" s="28">
        <f t="shared" si="121"/>
        <v>1251.928791538</v>
      </c>
      <c r="R345" s="28">
        <f t="shared" si="121"/>
        <v>38.649987515999996</v>
      </c>
      <c r="S345" s="27">
        <f>R345/(I345+K345+M345)</f>
        <v>0.62229342656289721</v>
      </c>
      <c r="T345" s="26" t="s">
        <v>0</v>
      </c>
      <c r="U345" s="9"/>
      <c r="V345" s="12"/>
      <c r="X345" s="10"/>
    </row>
    <row r="346" spans="1:24" s="3" customFormat="1" ht="47.25" x14ac:dyDescent="0.25">
      <c r="A346" s="43" t="s">
        <v>556</v>
      </c>
      <c r="B346" s="64" t="s">
        <v>588</v>
      </c>
      <c r="C346" s="49" t="s">
        <v>587</v>
      </c>
      <c r="D346" s="16">
        <v>91.864371449999993</v>
      </c>
      <c r="E346" s="18">
        <v>89.651823069999992</v>
      </c>
      <c r="F346" s="16">
        <f t="shared" ref="F346:F351" si="122">D346-E346</f>
        <v>2.2125483800000012</v>
      </c>
      <c r="G346" s="17">
        <v>1.1739464699999971</v>
      </c>
      <c r="H346" s="16">
        <f t="shared" ref="H346:H361" si="123">J346+L346+N346+P346</f>
        <v>4.1711950800000004</v>
      </c>
      <c r="I346" s="16">
        <v>1.1739464699999971</v>
      </c>
      <c r="J346" s="16">
        <v>4.1711950800000004</v>
      </c>
      <c r="K346" s="18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f t="shared" ref="Q346:Q351" si="124">F346-H346</f>
        <v>-1.9586466999999992</v>
      </c>
      <c r="R346" s="16">
        <f t="shared" ref="R346:R351" si="125">H346-(I346+K346+M346)</f>
        <v>2.9972486100000033</v>
      </c>
      <c r="S346" s="14">
        <f>R346/(I346+K346+M346)</f>
        <v>2.553139079672015</v>
      </c>
      <c r="T346" s="22" t="s">
        <v>195</v>
      </c>
      <c r="U346" s="9"/>
      <c r="V346" s="12"/>
      <c r="X346" s="10"/>
    </row>
    <row r="347" spans="1:24" s="3" customFormat="1" ht="31.5" x14ac:dyDescent="0.25">
      <c r="A347" s="43" t="s">
        <v>556</v>
      </c>
      <c r="B347" s="64" t="s">
        <v>586</v>
      </c>
      <c r="C347" s="49" t="s">
        <v>585</v>
      </c>
      <c r="D347" s="16">
        <v>99.3</v>
      </c>
      <c r="E347" s="18">
        <v>0</v>
      </c>
      <c r="F347" s="16">
        <f t="shared" si="122"/>
        <v>99.3</v>
      </c>
      <c r="G347" s="17">
        <v>9.6</v>
      </c>
      <c r="H347" s="16">
        <f t="shared" si="123"/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9.6</v>
      </c>
      <c r="P347" s="16">
        <v>0</v>
      </c>
      <c r="Q347" s="16">
        <f t="shared" si="124"/>
        <v>99.3</v>
      </c>
      <c r="R347" s="16">
        <f t="shared" si="125"/>
        <v>0</v>
      </c>
      <c r="S347" s="14">
        <v>0</v>
      </c>
      <c r="T347" s="22" t="s">
        <v>0</v>
      </c>
      <c r="U347" s="9"/>
      <c r="V347" s="12"/>
      <c r="X347" s="10"/>
    </row>
    <row r="348" spans="1:24" s="3" customFormat="1" ht="31.5" x14ac:dyDescent="0.25">
      <c r="A348" s="43" t="s">
        <v>556</v>
      </c>
      <c r="B348" s="64" t="s">
        <v>584</v>
      </c>
      <c r="C348" s="49" t="s">
        <v>583</v>
      </c>
      <c r="D348" s="16">
        <v>14.35</v>
      </c>
      <c r="E348" s="18">
        <v>0</v>
      </c>
      <c r="F348" s="16">
        <f t="shared" si="122"/>
        <v>14.35</v>
      </c>
      <c r="G348" s="17">
        <v>1.2</v>
      </c>
      <c r="H348" s="16">
        <f t="shared" si="123"/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1.2</v>
      </c>
      <c r="P348" s="16">
        <v>0</v>
      </c>
      <c r="Q348" s="16">
        <f t="shared" si="124"/>
        <v>14.35</v>
      </c>
      <c r="R348" s="16">
        <f t="shared" si="125"/>
        <v>0</v>
      </c>
      <c r="S348" s="14">
        <v>0</v>
      </c>
      <c r="T348" s="22" t="s">
        <v>0</v>
      </c>
      <c r="U348" s="9"/>
      <c r="V348" s="12"/>
      <c r="X348" s="10"/>
    </row>
    <row r="349" spans="1:24" s="3" customFormat="1" ht="31.5" x14ac:dyDescent="0.25">
      <c r="A349" s="43" t="s">
        <v>556</v>
      </c>
      <c r="B349" s="64" t="s">
        <v>582</v>
      </c>
      <c r="C349" s="49" t="s">
        <v>581</v>
      </c>
      <c r="D349" s="16">
        <v>179.26</v>
      </c>
      <c r="E349" s="18">
        <v>0</v>
      </c>
      <c r="F349" s="16">
        <f t="shared" si="122"/>
        <v>179.26</v>
      </c>
      <c r="G349" s="17">
        <v>18</v>
      </c>
      <c r="H349" s="16">
        <f t="shared" si="123"/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18</v>
      </c>
      <c r="P349" s="16">
        <v>0</v>
      </c>
      <c r="Q349" s="16">
        <f t="shared" si="124"/>
        <v>179.26</v>
      </c>
      <c r="R349" s="16">
        <f t="shared" si="125"/>
        <v>0</v>
      </c>
      <c r="S349" s="14">
        <v>0</v>
      </c>
      <c r="T349" s="22" t="s">
        <v>0</v>
      </c>
      <c r="U349" s="9"/>
      <c r="V349" s="12"/>
      <c r="X349" s="10"/>
    </row>
    <row r="350" spans="1:24" s="3" customFormat="1" ht="47.25" x14ac:dyDescent="0.25">
      <c r="A350" s="43" t="s">
        <v>556</v>
      </c>
      <c r="B350" s="64" t="s">
        <v>580</v>
      </c>
      <c r="C350" s="49" t="s">
        <v>579</v>
      </c>
      <c r="D350" s="16">
        <v>1670.8609419940001</v>
      </c>
      <c r="E350" s="18">
        <v>857.51221389</v>
      </c>
      <c r="F350" s="16">
        <f t="shared" si="122"/>
        <v>813.34872810400009</v>
      </c>
      <c r="G350" s="17">
        <v>217.53301485199998</v>
      </c>
      <c r="H350" s="16">
        <f t="shared" si="123"/>
        <v>66.821667379999994</v>
      </c>
      <c r="I350" s="16">
        <v>41.641015992</v>
      </c>
      <c r="J350" s="16">
        <v>52.556599949999999</v>
      </c>
      <c r="K350" s="18">
        <v>0</v>
      </c>
      <c r="L350" s="18">
        <v>14.26506743</v>
      </c>
      <c r="M350" s="16">
        <v>0</v>
      </c>
      <c r="N350" s="16">
        <v>0</v>
      </c>
      <c r="O350" s="16">
        <v>175.89199885999997</v>
      </c>
      <c r="P350" s="16">
        <v>0</v>
      </c>
      <c r="Q350" s="16">
        <f t="shared" si="124"/>
        <v>746.52706072400008</v>
      </c>
      <c r="R350" s="16">
        <f t="shared" si="125"/>
        <v>25.180651387999994</v>
      </c>
      <c r="S350" s="14">
        <f>R350/(I350+K350+M350)</f>
        <v>0.60470790128746277</v>
      </c>
      <c r="T350" s="22" t="s">
        <v>578</v>
      </c>
      <c r="U350" s="9"/>
      <c r="V350" s="12"/>
      <c r="X350" s="10"/>
    </row>
    <row r="351" spans="1:24" s="3" customFormat="1" ht="24.75" customHeight="1" x14ac:dyDescent="0.25">
      <c r="A351" s="43" t="s">
        <v>556</v>
      </c>
      <c r="B351" s="64" t="s">
        <v>577</v>
      </c>
      <c r="C351" s="49" t="s">
        <v>576</v>
      </c>
      <c r="D351" s="16">
        <v>45.526791119999999</v>
      </c>
      <c r="E351" s="18">
        <v>3.4791120000000002E-2</v>
      </c>
      <c r="F351" s="16">
        <f t="shared" si="122"/>
        <v>45.491999999999997</v>
      </c>
      <c r="G351" s="17">
        <v>41.005200000000002</v>
      </c>
      <c r="H351" s="16">
        <f t="shared" si="123"/>
        <v>6.8850675100000007</v>
      </c>
      <c r="I351" s="16">
        <v>0</v>
      </c>
      <c r="J351" s="16">
        <v>3.5216192899999998</v>
      </c>
      <c r="K351" s="18">
        <v>0</v>
      </c>
      <c r="L351" s="18">
        <v>3.3634482200000004</v>
      </c>
      <c r="M351" s="16">
        <v>0</v>
      </c>
      <c r="N351" s="16">
        <v>0</v>
      </c>
      <c r="O351" s="16">
        <v>41.005200000000002</v>
      </c>
      <c r="P351" s="16">
        <v>0</v>
      </c>
      <c r="Q351" s="16">
        <f t="shared" si="124"/>
        <v>38.606932489999998</v>
      </c>
      <c r="R351" s="16">
        <f t="shared" si="125"/>
        <v>6.8850675100000007</v>
      </c>
      <c r="S351" s="14">
        <v>1</v>
      </c>
      <c r="T351" s="67" t="s">
        <v>431</v>
      </c>
      <c r="U351" s="9"/>
      <c r="V351" s="12"/>
      <c r="X351" s="10"/>
    </row>
    <row r="352" spans="1:24" s="3" customFormat="1" ht="31.5" x14ac:dyDescent="0.25">
      <c r="A352" s="43" t="s">
        <v>556</v>
      </c>
      <c r="B352" s="64" t="s">
        <v>575</v>
      </c>
      <c r="C352" s="49" t="s">
        <v>574</v>
      </c>
      <c r="D352" s="16" t="s">
        <v>0</v>
      </c>
      <c r="E352" s="18" t="s">
        <v>0</v>
      </c>
      <c r="F352" s="16" t="s">
        <v>0</v>
      </c>
      <c r="G352" s="16" t="s">
        <v>0</v>
      </c>
      <c r="H352" s="16">
        <f t="shared" si="123"/>
        <v>2.43607152</v>
      </c>
      <c r="I352" s="16" t="s">
        <v>0</v>
      </c>
      <c r="J352" s="16">
        <v>2.43607152</v>
      </c>
      <c r="K352" s="18" t="s">
        <v>0</v>
      </c>
      <c r="L352" s="18">
        <v>0</v>
      </c>
      <c r="M352" s="16" t="s">
        <v>0</v>
      </c>
      <c r="N352" s="16">
        <v>0</v>
      </c>
      <c r="O352" s="16" t="s">
        <v>0</v>
      </c>
      <c r="P352" s="16">
        <v>0</v>
      </c>
      <c r="Q352" s="16" t="s">
        <v>0</v>
      </c>
      <c r="R352" s="16" t="s">
        <v>0</v>
      </c>
      <c r="S352" s="32" t="s">
        <v>0</v>
      </c>
      <c r="T352" s="22" t="s">
        <v>195</v>
      </c>
      <c r="U352" s="9"/>
      <c r="V352" s="12"/>
      <c r="X352" s="10"/>
    </row>
    <row r="353" spans="1:24" s="3" customFormat="1" ht="47.25" x14ac:dyDescent="0.25">
      <c r="A353" s="43" t="s">
        <v>556</v>
      </c>
      <c r="B353" s="64" t="s">
        <v>573</v>
      </c>
      <c r="C353" s="49" t="s">
        <v>572</v>
      </c>
      <c r="D353" s="16">
        <v>182.52458665399999</v>
      </c>
      <c r="E353" s="18">
        <v>76.545432259999998</v>
      </c>
      <c r="F353" s="16">
        <f>D353-E353</f>
        <v>105.97915439399999</v>
      </c>
      <c r="G353" s="17">
        <v>41.376350403999993</v>
      </c>
      <c r="H353" s="16">
        <f t="shared" si="123"/>
        <v>6.4666339200000005</v>
      </c>
      <c r="I353" s="16">
        <v>6.443541432</v>
      </c>
      <c r="J353" s="16">
        <v>0.56513325000000003</v>
      </c>
      <c r="K353" s="16">
        <v>0</v>
      </c>
      <c r="L353" s="16">
        <v>5.9015006700000008</v>
      </c>
      <c r="M353" s="16">
        <v>0</v>
      </c>
      <c r="N353" s="16">
        <v>0</v>
      </c>
      <c r="O353" s="16">
        <v>34.932808971999989</v>
      </c>
      <c r="P353" s="16">
        <v>0</v>
      </c>
      <c r="Q353" s="16">
        <f>F353-H353</f>
        <v>99.512520473999984</v>
      </c>
      <c r="R353" s="16">
        <f>H353-(I353+K353+M353)</f>
        <v>2.3092488000000522E-2</v>
      </c>
      <c r="S353" s="14">
        <f>R353/(I353+K353+M353)</f>
        <v>3.5838192775976118E-3</v>
      </c>
      <c r="T353" s="22" t="s">
        <v>559</v>
      </c>
      <c r="U353" s="9"/>
      <c r="V353" s="12"/>
      <c r="X353" s="10"/>
    </row>
    <row r="354" spans="1:24" s="3" customFormat="1" ht="31.5" x14ac:dyDescent="0.25">
      <c r="A354" s="43" t="s">
        <v>556</v>
      </c>
      <c r="B354" s="64" t="s">
        <v>571</v>
      </c>
      <c r="C354" s="49" t="s">
        <v>570</v>
      </c>
      <c r="D354" s="16">
        <v>39.856633290000005</v>
      </c>
      <c r="E354" s="18">
        <v>4.6193843299999999</v>
      </c>
      <c r="F354" s="16">
        <f>D354-E354</f>
        <v>35.237248960000002</v>
      </c>
      <c r="G354" s="17">
        <v>17.682124064</v>
      </c>
      <c r="H354" s="16">
        <f t="shared" si="123"/>
        <v>0</v>
      </c>
      <c r="I354" s="16">
        <v>0</v>
      </c>
      <c r="J354" s="16">
        <v>0</v>
      </c>
      <c r="K354" s="18">
        <v>0</v>
      </c>
      <c r="L354" s="18">
        <v>0</v>
      </c>
      <c r="M354" s="16">
        <v>0</v>
      </c>
      <c r="N354" s="16">
        <v>0</v>
      </c>
      <c r="O354" s="16">
        <v>17.682124064</v>
      </c>
      <c r="P354" s="16">
        <v>0</v>
      </c>
      <c r="Q354" s="16">
        <f>F354-H354</f>
        <v>35.237248960000002</v>
      </c>
      <c r="R354" s="16">
        <f>H354-(I354+K354+M354)</f>
        <v>0</v>
      </c>
      <c r="S354" s="14">
        <v>0</v>
      </c>
      <c r="T354" s="31" t="s">
        <v>0</v>
      </c>
      <c r="U354" s="9"/>
      <c r="V354" s="12"/>
      <c r="X354" s="10"/>
    </row>
    <row r="355" spans="1:24" s="3" customFormat="1" ht="31.5" x14ac:dyDescent="0.25">
      <c r="A355" s="43" t="s">
        <v>556</v>
      </c>
      <c r="B355" s="64" t="s">
        <v>569</v>
      </c>
      <c r="C355" s="49" t="s">
        <v>568</v>
      </c>
      <c r="D355" s="16" t="s">
        <v>0</v>
      </c>
      <c r="E355" s="18" t="s">
        <v>0</v>
      </c>
      <c r="F355" s="16" t="s">
        <v>0</v>
      </c>
      <c r="G355" s="16" t="s">
        <v>0</v>
      </c>
      <c r="H355" s="16">
        <f t="shared" si="123"/>
        <v>1.4719043999999999</v>
      </c>
      <c r="I355" s="16" t="s">
        <v>0</v>
      </c>
      <c r="J355" s="16">
        <v>1.4719043999999999</v>
      </c>
      <c r="K355" s="18" t="s">
        <v>0</v>
      </c>
      <c r="L355" s="18">
        <v>0</v>
      </c>
      <c r="M355" s="16" t="s">
        <v>0</v>
      </c>
      <c r="N355" s="16">
        <v>0</v>
      </c>
      <c r="O355" s="16" t="s">
        <v>0</v>
      </c>
      <c r="P355" s="16">
        <v>0</v>
      </c>
      <c r="Q355" s="16" t="s">
        <v>0</v>
      </c>
      <c r="R355" s="16" t="s">
        <v>0</v>
      </c>
      <c r="S355" s="32" t="s">
        <v>0</v>
      </c>
      <c r="T355" s="22" t="s">
        <v>195</v>
      </c>
      <c r="U355" s="9"/>
      <c r="V355" s="12"/>
      <c r="X355" s="10"/>
    </row>
    <row r="356" spans="1:24" s="3" customFormat="1" ht="31.5" x14ac:dyDescent="0.25">
      <c r="A356" s="43" t="s">
        <v>556</v>
      </c>
      <c r="B356" s="64" t="s">
        <v>567</v>
      </c>
      <c r="C356" s="49" t="s">
        <v>566</v>
      </c>
      <c r="D356" s="16" t="s">
        <v>0</v>
      </c>
      <c r="E356" s="18" t="s">
        <v>0</v>
      </c>
      <c r="F356" s="16" t="s">
        <v>0</v>
      </c>
      <c r="G356" s="16" t="s">
        <v>0</v>
      </c>
      <c r="H356" s="16">
        <f t="shared" si="123"/>
        <v>0.46111187999999997</v>
      </c>
      <c r="I356" s="16" t="s">
        <v>0</v>
      </c>
      <c r="J356" s="16">
        <v>0.46111187999999997</v>
      </c>
      <c r="K356" s="18" t="s">
        <v>0</v>
      </c>
      <c r="L356" s="18">
        <v>0</v>
      </c>
      <c r="M356" s="16" t="s">
        <v>0</v>
      </c>
      <c r="N356" s="16">
        <v>0</v>
      </c>
      <c r="O356" s="16" t="s">
        <v>0</v>
      </c>
      <c r="P356" s="16">
        <v>0</v>
      </c>
      <c r="Q356" s="16" t="s">
        <v>0</v>
      </c>
      <c r="R356" s="16" t="s">
        <v>0</v>
      </c>
      <c r="S356" s="32" t="s">
        <v>0</v>
      </c>
      <c r="T356" s="22" t="s">
        <v>195</v>
      </c>
      <c r="U356" s="9"/>
      <c r="V356" s="12"/>
      <c r="X356" s="10"/>
    </row>
    <row r="357" spans="1:24" s="3" customFormat="1" ht="29.25" customHeight="1" x14ac:dyDescent="0.25">
      <c r="A357" s="43" t="s">
        <v>556</v>
      </c>
      <c r="B357" s="64" t="s">
        <v>565</v>
      </c>
      <c r="C357" s="49" t="s">
        <v>564</v>
      </c>
      <c r="D357" s="16">
        <v>134.714946</v>
      </c>
      <c r="E357" s="18">
        <v>126.35636319000001</v>
      </c>
      <c r="F357" s="16">
        <f>D357-E357</f>
        <v>8.3585828099999873</v>
      </c>
      <c r="G357" s="17">
        <v>8.1504400000000015</v>
      </c>
      <c r="H357" s="16">
        <f t="shared" si="123"/>
        <v>8.1161820000000002</v>
      </c>
      <c r="I357" s="16">
        <v>8.1504400000000015</v>
      </c>
      <c r="J357" s="16">
        <v>8.1161820000000002</v>
      </c>
      <c r="K357" s="18">
        <v>0</v>
      </c>
      <c r="L357" s="18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f>F357-H357</f>
        <v>0.24240080999998703</v>
      </c>
      <c r="R357" s="16">
        <f>H357-(I357+K357+M357)</f>
        <v>-3.4258000000001232E-2</v>
      </c>
      <c r="S357" s="14">
        <f>R357/(I357+K357+M357)</f>
        <v>-4.2032086611276482E-3</v>
      </c>
      <c r="T357" s="22" t="s">
        <v>0</v>
      </c>
      <c r="U357" s="9"/>
      <c r="V357" s="12"/>
      <c r="X357" s="10"/>
    </row>
    <row r="358" spans="1:24" s="3" customFormat="1" ht="31.5" x14ac:dyDescent="0.25">
      <c r="A358" s="43" t="s">
        <v>556</v>
      </c>
      <c r="B358" s="64" t="s">
        <v>563</v>
      </c>
      <c r="C358" s="49" t="s">
        <v>562</v>
      </c>
      <c r="D358" s="16" t="s">
        <v>0</v>
      </c>
      <c r="E358" s="18" t="s">
        <v>0</v>
      </c>
      <c r="F358" s="16" t="s">
        <v>0</v>
      </c>
      <c r="G358" s="16" t="s">
        <v>0</v>
      </c>
      <c r="H358" s="16">
        <f t="shared" si="123"/>
        <v>1.3686889200000001</v>
      </c>
      <c r="I358" s="16" t="s">
        <v>0</v>
      </c>
      <c r="J358" s="16">
        <v>1.3686889200000001</v>
      </c>
      <c r="K358" s="18" t="s">
        <v>0</v>
      </c>
      <c r="L358" s="18">
        <v>0</v>
      </c>
      <c r="M358" s="16" t="s">
        <v>0</v>
      </c>
      <c r="N358" s="16">
        <v>0</v>
      </c>
      <c r="O358" s="16" t="s">
        <v>0</v>
      </c>
      <c r="P358" s="16">
        <v>0</v>
      </c>
      <c r="Q358" s="16" t="s">
        <v>0</v>
      </c>
      <c r="R358" s="16" t="s">
        <v>0</v>
      </c>
      <c r="S358" s="32" t="s">
        <v>0</v>
      </c>
      <c r="T358" s="22" t="s">
        <v>195</v>
      </c>
      <c r="U358" s="9"/>
      <c r="V358" s="12"/>
      <c r="X358" s="10"/>
    </row>
    <row r="359" spans="1:24" s="3" customFormat="1" ht="47.25" x14ac:dyDescent="0.25">
      <c r="A359" s="43" t="s">
        <v>556</v>
      </c>
      <c r="B359" s="64" t="s">
        <v>561</v>
      </c>
      <c r="C359" s="49" t="s">
        <v>560</v>
      </c>
      <c r="D359" s="16">
        <v>82.143664399999992</v>
      </c>
      <c r="E359" s="18">
        <v>78.538610779999999</v>
      </c>
      <c r="F359" s="16">
        <f>D359-E359</f>
        <v>3.6050536199999925</v>
      </c>
      <c r="G359" s="17">
        <v>4.7</v>
      </c>
      <c r="H359" s="16">
        <f t="shared" si="123"/>
        <v>8.1067159199999992</v>
      </c>
      <c r="I359" s="16">
        <v>4.7</v>
      </c>
      <c r="J359" s="16">
        <v>8.0668759199999993</v>
      </c>
      <c r="K359" s="18">
        <v>0</v>
      </c>
      <c r="L359" s="18">
        <v>3.984E-2</v>
      </c>
      <c r="M359" s="16">
        <v>0</v>
      </c>
      <c r="N359" s="16">
        <v>0</v>
      </c>
      <c r="O359" s="16">
        <v>0</v>
      </c>
      <c r="P359" s="16">
        <v>0</v>
      </c>
      <c r="Q359" s="16">
        <f>F359-H359</f>
        <v>-4.5016623000000067</v>
      </c>
      <c r="R359" s="16">
        <f>H359-(I359+K359+M359)</f>
        <v>3.406715919999999</v>
      </c>
      <c r="S359" s="14">
        <f>R359/(I359+K359+M359)</f>
        <v>0.72483317446808482</v>
      </c>
      <c r="T359" s="22" t="s">
        <v>559</v>
      </c>
      <c r="U359" s="9"/>
      <c r="V359" s="12"/>
      <c r="X359" s="10"/>
    </row>
    <row r="360" spans="1:24" s="3" customFormat="1" ht="31.5" x14ac:dyDescent="0.25">
      <c r="A360" s="43" t="s">
        <v>556</v>
      </c>
      <c r="B360" s="64" t="s">
        <v>558</v>
      </c>
      <c r="C360" s="49" t="s">
        <v>557</v>
      </c>
      <c r="D360" s="16">
        <v>45.544406679999994</v>
      </c>
      <c r="E360" s="18">
        <v>0</v>
      </c>
      <c r="F360" s="16">
        <f>D360-E360</f>
        <v>45.544406679999994</v>
      </c>
      <c r="G360" s="17">
        <v>2.1310128000000002</v>
      </c>
      <c r="H360" s="16">
        <f t="shared" si="123"/>
        <v>0.19146959999999999</v>
      </c>
      <c r="I360" s="16">
        <v>0</v>
      </c>
      <c r="J360" s="16">
        <v>0.19146959999999999</v>
      </c>
      <c r="K360" s="18">
        <v>0</v>
      </c>
      <c r="L360" s="18">
        <v>0</v>
      </c>
      <c r="M360" s="16">
        <v>0</v>
      </c>
      <c r="N360" s="16">
        <v>0</v>
      </c>
      <c r="O360" s="16">
        <v>2.1310128000000002</v>
      </c>
      <c r="P360" s="16">
        <v>0</v>
      </c>
      <c r="Q360" s="16">
        <f>F360-H360</f>
        <v>45.352937079999997</v>
      </c>
      <c r="R360" s="16">
        <f>H360-(I360+K360+M360)</f>
        <v>0.19146959999999999</v>
      </c>
      <c r="S360" s="14">
        <v>1</v>
      </c>
      <c r="T360" s="22" t="s">
        <v>431</v>
      </c>
      <c r="U360" s="9"/>
      <c r="V360" s="12"/>
      <c r="X360" s="10"/>
    </row>
    <row r="361" spans="1:24" s="3" customFormat="1" ht="31.5" x14ac:dyDescent="0.25">
      <c r="A361" s="43" t="s">
        <v>556</v>
      </c>
      <c r="B361" s="64" t="s">
        <v>555</v>
      </c>
      <c r="C361" s="49" t="s">
        <v>554</v>
      </c>
      <c r="D361" s="16" t="s">
        <v>0</v>
      </c>
      <c r="E361" s="18" t="s">
        <v>0</v>
      </c>
      <c r="F361" s="16" t="s">
        <v>0</v>
      </c>
      <c r="G361" s="16" t="s">
        <v>0</v>
      </c>
      <c r="H361" s="16">
        <f t="shared" si="123"/>
        <v>1.3792364399999999</v>
      </c>
      <c r="I361" s="16" t="s">
        <v>0</v>
      </c>
      <c r="J361" s="16">
        <v>1.3792364399999999</v>
      </c>
      <c r="K361" s="18" t="s">
        <v>0</v>
      </c>
      <c r="L361" s="18">
        <v>0</v>
      </c>
      <c r="M361" s="16" t="s">
        <v>0</v>
      </c>
      <c r="N361" s="16">
        <v>0</v>
      </c>
      <c r="O361" s="16" t="s">
        <v>0</v>
      </c>
      <c r="P361" s="16">
        <v>0</v>
      </c>
      <c r="Q361" s="16" t="s">
        <v>0</v>
      </c>
      <c r="R361" s="16" t="s">
        <v>0</v>
      </c>
      <c r="S361" s="32" t="s">
        <v>0</v>
      </c>
      <c r="T361" s="22" t="s">
        <v>195</v>
      </c>
      <c r="U361" s="9"/>
      <c r="V361" s="12"/>
      <c r="X361" s="10"/>
    </row>
    <row r="362" spans="1:24" s="3" customFormat="1" ht="52.5" customHeight="1" x14ac:dyDescent="0.25">
      <c r="A362" s="35" t="s">
        <v>553</v>
      </c>
      <c r="B362" s="37" t="s">
        <v>49</v>
      </c>
      <c r="C362" s="33" t="s">
        <v>11</v>
      </c>
      <c r="D362" s="28">
        <f t="shared" ref="D362:R362" si="126">SUM(D363)</f>
        <v>57.226824620000002</v>
      </c>
      <c r="E362" s="28">
        <f t="shared" si="126"/>
        <v>0</v>
      </c>
      <c r="F362" s="28">
        <f t="shared" si="126"/>
        <v>57.226824620000002</v>
      </c>
      <c r="G362" s="28">
        <f t="shared" si="126"/>
        <v>6</v>
      </c>
      <c r="H362" s="28">
        <f t="shared" si="126"/>
        <v>0</v>
      </c>
      <c r="I362" s="28">
        <f t="shared" si="126"/>
        <v>0</v>
      </c>
      <c r="J362" s="28">
        <f t="shared" si="126"/>
        <v>0</v>
      </c>
      <c r="K362" s="28">
        <f t="shared" si="126"/>
        <v>0</v>
      </c>
      <c r="L362" s="28">
        <f t="shared" si="126"/>
        <v>0</v>
      </c>
      <c r="M362" s="28">
        <f t="shared" si="126"/>
        <v>0</v>
      </c>
      <c r="N362" s="28">
        <f t="shared" si="126"/>
        <v>0</v>
      </c>
      <c r="O362" s="28">
        <f t="shared" si="126"/>
        <v>6</v>
      </c>
      <c r="P362" s="28">
        <f t="shared" si="126"/>
        <v>0</v>
      </c>
      <c r="Q362" s="28">
        <f t="shared" si="126"/>
        <v>57.226824620000002</v>
      </c>
      <c r="R362" s="28">
        <f t="shared" si="126"/>
        <v>0</v>
      </c>
      <c r="S362" s="27">
        <v>0</v>
      </c>
      <c r="T362" s="26" t="s">
        <v>0</v>
      </c>
      <c r="U362" s="9"/>
      <c r="V362" s="12"/>
      <c r="X362" s="10"/>
    </row>
    <row r="363" spans="1:24" s="3" customFormat="1" ht="42" customHeight="1" x14ac:dyDescent="0.25">
      <c r="A363" s="43" t="s">
        <v>553</v>
      </c>
      <c r="B363" s="50" t="s">
        <v>552</v>
      </c>
      <c r="C363" s="49" t="s">
        <v>551</v>
      </c>
      <c r="D363" s="16">
        <v>57.226824620000002</v>
      </c>
      <c r="E363" s="16">
        <v>0</v>
      </c>
      <c r="F363" s="16">
        <f>D363-E363</f>
        <v>57.226824620000002</v>
      </c>
      <c r="G363" s="17">
        <v>6</v>
      </c>
      <c r="H363" s="16">
        <f>J363+L363+N363+P363</f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6</v>
      </c>
      <c r="P363" s="16">
        <v>0</v>
      </c>
      <c r="Q363" s="16">
        <f>F363-H363</f>
        <v>57.226824620000002</v>
      </c>
      <c r="R363" s="16">
        <f>H363-(I363+K363+M363)</f>
        <v>0</v>
      </c>
      <c r="S363" s="14">
        <v>0</v>
      </c>
      <c r="T363" s="22" t="s">
        <v>0</v>
      </c>
      <c r="U363" s="9"/>
      <c r="V363" s="12"/>
      <c r="X363" s="10"/>
    </row>
    <row r="364" spans="1:24" s="3" customFormat="1" ht="31.5" x14ac:dyDescent="0.25">
      <c r="A364" s="35" t="s">
        <v>505</v>
      </c>
      <c r="B364" s="37" t="s">
        <v>47</v>
      </c>
      <c r="C364" s="33" t="s">
        <v>11</v>
      </c>
      <c r="D364" s="28">
        <f t="shared" ref="D364:R364" si="127">SUM(D365:D385)</f>
        <v>495.81190050743038</v>
      </c>
      <c r="E364" s="28">
        <f t="shared" si="127"/>
        <v>157.44156134999997</v>
      </c>
      <c r="F364" s="28">
        <f t="shared" si="127"/>
        <v>338.37033915743052</v>
      </c>
      <c r="G364" s="28">
        <f t="shared" si="127"/>
        <v>182.4905233374306</v>
      </c>
      <c r="H364" s="28">
        <f t="shared" si="127"/>
        <v>166.56663491999998</v>
      </c>
      <c r="I364" s="28">
        <f t="shared" si="127"/>
        <v>10.147817145830642</v>
      </c>
      <c r="J364" s="28">
        <f t="shared" si="127"/>
        <v>18.921374150000002</v>
      </c>
      <c r="K364" s="28">
        <f t="shared" si="127"/>
        <v>4.308739396</v>
      </c>
      <c r="L364" s="28">
        <f t="shared" si="127"/>
        <v>81.39491971999999</v>
      </c>
      <c r="M364" s="28">
        <f t="shared" si="127"/>
        <v>69.427580137999996</v>
      </c>
      <c r="N364" s="28">
        <f t="shared" si="127"/>
        <v>66.250341050000003</v>
      </c>
      <c r="O364" s="28">
        <f t="shared" si="127"/>
        <v>98.606386657599998</v>
      </c>
      <c r="P364" s="28">
        <f t="shared" si="127"/>
        <v>0</v>
      </c>
      <c r="Q364" s="28">
        <f t="shared" si="127"/>
        <v>172.19723790743046</v>
      </c>
      <c r="R364" s="28">
        <f t="shared" si="127"/>
        <v>82.288964570169355</v>
      </c>
      <c r="S364" s="27">
        <f t="shared" ref="S364:S378" si="128">R364/(I364+K364+M364)</f>
        <v>0.98098362607283263</v>
      </c>
      <c r="T364" s="26" t="s">
        <v>0</v>
      </c>
      <c r="U364" s="9"/>
      <c r="V364" s="12"/>
      <c r="X364" s="10"/>
    </row>
    <row r="365" spans="1:24" s="3" customFormat="1" ht="31.5" x14ac:dyDescent="0.25">
      <c r="A365" s="43" t="s">
        <v>505</v>
      </c>
      <c r="B365" s="48" t="s">
        <v>550</v>
      </c>
      <c r="C365" s="49" t="s">
        <v>549</v>
      </c>
      <c r="D365" s="40">
        <v>9.3847093840000007</v>
      </c>
      <c r="E365" s="18">
        <v>9.0453568499999975</v>
      </c>
      <c r="F365" s="16">
        <f t="shared" ref="F365:F378" si="129">D365-E365</f>
        <v>0.3393525340000032</v>
      </c>
      <c r="G365" s="17">
        <v>0.25871038399999996</v>
      </c>
      <c r="H365" s="16">
        <f t="shared" ref="H365:H385" si="130">J365+L365+N365+P365</f>
        <v>0.69406920000000005</v>
      </c>
      <c r="I365" s="16">
        <v>0.25871038399999996</v>
      </c>
      <c r="J365" s="16">
        <v>0.69406920000000005</v>
      </c>
      <c r="K365" s="18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f t="shared" ref="Q365:Q378" si="131">F365-H365</f>
        <v>-0.35471666599999685</v>
      </c>
      <c r="R365" s="16">
        <f t="shared" ref="R365:R378" si="132">H365-(I365+K365+M365)</f>
        <v>0.43535881600000009</v>
      </c>
      <c r="S365" s="14">
        <f t="shared" si="128"/>
        <v>1.6828037949957206</v>
      </c>
      <c r="T365" s="22" t="s">
        <v>195</v>
      </c>
      <c r="U365" s="9"/>
      <c r="V365" s="12"/>
      <c r="X365" s="10"/>
    </row>
    <row r="366" spans="1:24" s="3" customFormat="1" ht="63" x14ac:dyDescent="0.25">
      <c r="A366" s="43" t="s">
        <v>505</v>
      </c>
      <c r="B366" s="48" t="s">
        <v>548</v>
      </c>
      <c r="C366" s="49" t="s">
        <v>547</v>
      </c>
      <c r="D366" s="40">
        <v>27.019910823999993</v>
      </c>
      <c r="E366" s="18">
        <v>11.80936406</v>
      </c>
      <c r="F366" s="16">
        <f t="shared" si="129"/>
        <v>15.210546763999993</v>
      </c>
      <c r="G366" s="17">
        <v>1.0195120740001475</v>
      </c>
      <c r="H366" s="16">
        <f t="shared" si="130"/>
        <v>6.7331970400000003</v>
      </c>
      <c r="I366" s="16">
        <v>1.0195120740001475</v>
      </c>
      <c r="J366" s="16">
        <v>0.50930724000000005</v>
      </c>
      <c r="K366" s="18">
        <v>0</v>
      </c>
      <c r="L366" s="16">
        <v>0</v>
      </c>
      <c r="M366" s="16">
        <v>0</v>
      </c>
      <c r="N366" s="16">
        <v>6.2238898000000002</v>
      </c>
      <c r="O366" s="16">
        <v>0</v>
      </c>
      <c r="P366" s="16">
        <v>0</v>
      </c>
      <c r="Q366" s="16">
        <f t="shared" si="131"/>
        <v>8.4773497239999926</v>
      </c>
      <c r="R366" s="16">
        <f t="shared" si="132"/>
        <v>5.7136849659998532</v>
      </c>
      <c r="S366" s="14">
        <f t="shared" si="128"/>
        <v>5.6043328094994456</v>
      </c>
      <c r="T366" s="19" t="s">
        <v>534</v>
      </c>
      <c r="U366" s="9"/>
      <c r="V366" s="12"/>
      <c r="X366" s="10"/>
    </row>
    <row r="367" spans="1:24" s="3" customFormat="1" ht="47.25" x14ac:dyDescent="0.25">
      <c r="A367" s="43" t="s">
        <v>505</v>
      </c>
      <c r="B367" s="48" t="s">
        <v>546</v>
      </c>
      <c r="C367" s="49" t="s">
        <v>545</v>
      </c>
      <c r="D367" s="40">
        <v>7.0859041039999999</v>
      </c>
      <c r="E367" s="18">
        <v>6.3450153600000005</v>
      </c>
      <c r="F367" s="16">
        <f t="shared" si="129"/>
        <v>0.74088874399999938</v>
      </c>
      <c r="G367" s="17">
        <v>0.32662687400000051</v>
      </c>
      <c r="H367" s="16">
        <f t="shared" si="130"/>
        <v>0.34404936000000003</v>
      </c>
      <c r="I367" s="16">
        <v>0.32662687400000051</v>
      </c>
      <c r="J367" s="16">
        <v>0.34404936000000003</v>
      </c>
      <c r="K367" s="18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f t="shared" si="131"/>
        <v>0.39683938399999935</v>
      </c>
      <c r="R367" s="16">
        <f t="shared" si="132"/>
        <v>1.7422485999999515E-2</v>
      </c>
      <c r="S367" s="14">
        <f t="shared" si="128"/>
        <v>5.3340638468099499E-2</v>
      </c>
      <c r="T367" s="22" t="s">
        <v>0</v>
      </c>
      <c r="U367" s="9"/>
      <c r="V367" s="12"/>
      <c r="X367" s="10"/>
    </row>
    <row r="368" spans="1:24" s="3" customFormat="1" ht="31.5" x14ac:dyDescent="0.25">
      <c r="A368" s="43" t="s">
        <v>505</v>
      </c>
      <c r="B368" s="48" t="s">
        <v>544</v>
      </c>
      <c r="C368" s="49" t="s">
        <v>543</v>
      </c>
      <c r="D368" s="40">
        <v>18.317158184</v>
      </c>
      <c r="E368" s="18">
        <v>14.112549389999998</v>
      </c>
      <c r="F368" s="16">
        <f t="shared" si="129"/>
        <v>4.2046087940000021</v>
      </c>
      <c r="G368" s="17">
        <v>0.60489000400000081</v>
      </c>
      <c r="H368" s="16">
        <f t="shared" si="130"/>
        <v>0.96160091999999997</v>
      </c>
      <c r="I368" s="16">
        <v>0.60489000400000081</v>
      </c>
      <c r="J368" s="16">
        <v>0.96160091999999997</v>
      </c>
      <c r="K368" s="18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>
        <f t="shared" si="131"/>
        <v>3.2430078740000021</v>
      </c>
      <c r="R368" s="16">
        <f t="shared" si="132"/>
        <v>0.35671091599999916</v>
      </c>
      <c r="S368" s="14">
        <f t="shared" si="128"/>
        <v>0.58971203630602342</v>
      </c>
      <c r="T368" s="22" t="s">
        <v>195</v>
      </c>
      <c r="U368" s="9"/>
      <c r="V368" s="12"/>
      <c r="X368" s="10"/>
    </row>
    <row r="369" spans="1:24" s="3" customFormat="1" ht="31.5" x14ac:dyDescent="0.25">
      <c r="A369" s="43" t="s">
        <v>505</v>
      </c>
      <c r="B369" s="48" t="s">
        <v>542</v>
      </c>
      <c r="C369" s="49" t="s">
        <v>541</v>
      </c>
      <c r="D369" s="40">
        <v>30.626632632</v>
      </c>
      <c r="E369" s="18">
        <v>29.52870021</v>
      </c>
      <c r="F369" s="16">
        <f t="shared" si="129"/>
        <v>1.0979324219999995</v>
      </c>
      <c r="G369" s="17">
        <v>0.53263263199999711</v>
      </c>
      <c r="H369" s="16">
        <f t="shared" si="130"/>
        <v>2.5008564</v>
      </c>
      <c r="I369" s="16">
        <v>0.53263263199999711</v>
      </c>
      <c r="J369" s="16">
        <v>2.5008564</v>
      </c>
      <c r="K369" s="18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f t="shared" si="131"/>
        <v>-1.4029239780000005</v>
      </c>
      <c r="R369" s="16">
        <f t="shared" si="132"/>
        <v>1.9682237680000028</v>
      </c>
      <c r="S369" s="14">
        <f t="shared" si="128"/>
        <v>3.695274472030496</v>
      </c>
      <c r="T369" s="22" t="s">
        <v>195</v>
      </c>
      <c r="U369" s="9"/>
      <c r="V369" s="12"/>
      <c r="X369" s="10"/>
    </row>
    <row r="370" spans="1:24" s="3" customFormat="1" ht="31.5" x14ac:dyDescent="0.25">
      <c r="A370" s="43" t="s">
        <v>505</v>
      </c>
      <c r="B370" s="48" t="s">
        <v>540</v>
      </c>
      <c r="C370" s="49" t="s">
        <v>539</v>
      </c>
      <c r="D370" s="40">
        <v>25.900924251999999</v>
      </c>
      <c r="E370" s="18">
        <v>18.147407250000001</v>
      </c>
      <c r="F370" s="16">
        <f t="shared" si="129"/>
        <v>7.7535170019999988</v>
      </c>
      <c r="G370" s="17">
        <v>0.3873220619999993</v>
      </c>
      <c r="H370" s="16">
        <f t="shared" si="130"/>
        <v>1.36942776</v>
      </c>
      <c r="I370" s="16">
        <v>0.3873220619999993</v>
      </c>
      <c r="J370" s="16">
        <v>1.36942776</v>
      </c>
      <c r="K370" s="18">
        <v>0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>
        <f t="shared" si="131"/>
        <v>6.3840892419999991</v>
      </c>
      <c r="R370" s="16">
        <f t="shared" si="132"/>
        <v>0.98210569800000069</v>
      </c>
      <c r="S370" s="14">
        <f t="shared" si="128"/>
        <v>2.5356306659340322</v>
      </c>
      <c r="T370" s="22" t="s">
        <v>195</v>
      </c>
      <c r="U370" s="9"/>
      <c r="V370" s="12"/>
      <c r="X370" s="10"/>
    </row>
    <row r="371" spans="1:24" s="3" customFormat="1" ht="31.5" x14ac:dyDescent="0.25">
      <c r="A371" s="43" t="s">
        <v>505</v>
      </c>
      <c r="B371" s="48" t="s">
        <v>538</v>
      </c>
      <c r="C371" s="49" t="s">
        <v>537</v>
      </c>
      <c r="D371" s="40">
        <v>15.675683736</v>
      </c>
      <c r="E371" s="18">
        <v>9.4732238100000004</v>
      </c>
      <c r="F371" s="16">
        <f t="shared" si="129"/>
        <v>6.2024599259999995</v>
      </c>
      <c r="G371" s="17">
        <v>0.56351525599999874</v>
      </c>
      <c r="H371" s="16">
        <f t="shared" si="130"/>
        <v>0.69063803999999995</v>
      </c>
      <c r="I371" s="16">
        <v>0.56351525599999874</v>
      </c>
      <c r="J371" s="16">
        <v>0.69063803999999995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f t="shared" si="131"/>
        <v>5.5118218859999999</v>
      </c>
      <c r="R371" s="16">
        <f t="shared" si="132"/>
        <v>0.12712278400000121</v>
      </c>
      <c r="S371" s="14">
        <f t="shared" si="128"/>
        <v>0.22558889514785646</v>
      </c>
      <c r="T371" s="22" t="s">
        <v>195</v>
      </c>
      <c r="U371" s="9"/>
      <c r="V371" s="12"/>
      <c r="X371" s="10"/>
    </row>
    <row r="372" spans="1:24" s="3" customFormat="1" ht="63" x14ac:dyDescent="0.25">
      <c r="A372" s="43" t="s">
        <v>505</v>
      </c>
      <c r="B372" s="48" t="s">
        <v>536</v>
      </c>
      <c r="C372" s="49" t="s">
        <v>535</v>
      </c>
      <c r="D372" s="40">
        <v>64.723408038000002</v>
      </c>
      <c r="E372" s="18">
        <v>26.843904690000002</v>
      </c>
      <c r="F372" s="16">
        <f t="shared" si="129"/>
        <v>37.879503348</v>
      </c>
      <c r="G372" s="17">
        <v>29.055264697999998</v>
      </c>
      <c r="H372" s="16">
        <f t="shared" si="130"/>
        <v>25.267025570000001</v>
      </c>
      <c r="I372" s="16">
        <v>0.27520650000000002</v>
      </c>
      <c r="J372" s="16">
        <v>5.2257212099999997</v>
      </c>
      <c r="K372" s="18">
        <v>0.27520650000000002</v>
      </c>
      <c r="L372" s="16">
        <v>18.789845830000001</v>
      </c>
      <c r="M372" s="16">
        <v>12.2763805</v>
      </c>
      <c r="N372" s="16">
        <f>1251.45853/1000</f>
        <v>1.2514585300000001</v>
      </c>
      <c r="O372" s="16">
        <v>16.228471197999998</v>
      </c>
      <c r="P372" s="16">
        <v>0</v>
      </c>
      <c r="Q372" s="16">
        <f t="shared" si="131"/>
        <v>12.612477777999999</v>
      </c>
      <c r="R372" s="16">
        <f t="shared" si="132"/>
        <v>12.44023207</v>
      </c>
      <c r="S372" s="14">
        <f t="shared" si="128"/>
        <v>0.96986297237887231</v>
      </c>
      <c r="T372" s="19" t="s">
        <v>534</v>
      </c>
      <c r="U372" s="9"/>
      <c r="V372" s="12"/>
      <c r="X372" s="10"/>
    </row>
    <row r="373" spans="1:24" s="3" customFormat="1" ht="78.75" x14ac:dyDescent="0.25">
      <c r="A373" s="43" t="s">
        <v>505</v>
      </c>
      <c r="B373" s="48" t="s">
        <v>533</v>
      </c>
      <c r="C373" s="49" t="s">
        <v>532</v>
      </c>
      <c r="D373" s="40">
        <v>42.447915243600001</v>
      </c>
      <c r="E373" s="18">
        <v>0</v>
      </c>
      <c r="F373" s="16">
        <f t="shared" si="129"/>
        <v>42.447915243600001</v>
      </c>
      <c r="G373" s="17">
        <v>38.347915243599999</v>
      </c>
      <c r="H373" s="16">
        <f t="shared" si="130"/>
        <v>30.403581580000001</v>
      </c>
      <c r="I373" s="16">
        <v>0.63741250000000005</v>
      </c>
      <c r="J373" s="16">
        <v>3.2539963300000001</v>
      </c>
      <c r="K373" s="18">
        <v>1.59838086</v>
      </c>
      <c r="L373" s="16">
        <v>14.654044880000001</v>
      </c>
      <c r="M373" s="16">
        <v>15.538331510000001</v>
      </c>
      <c r="N373" s="16">
        <f>12495.54037/1000</f>
        <v>12.495540370000001</v>
      </c>
      <c r="O373" s="16">
        <v>20.573790373600001</v>
      </c>
      <c r="P373" s="16">
        <v>0</v>
      </c>
      <c r="Q373" s="16">
        <f t="shared" si="131"/>
        <v>12.0443336636</v>
      </c>
      <c r="R373" s="16">
        <f t="shared" si="132"/>
        <v>12.629456709999999</v>
      </c>
      <c r="S373" s="14">
        <f t="shared" si="128"/>
        <v>0.71055294155812909</v>
      </c>
      <c r="T373" s="22" t="s">
        <v>520</v>
      </c>
      <c r="U373" s="9"/>
      <c r="V373" s="12"/>
      <c r="X373" s="10"/>
    </row>
    <row r="374" spans="1:24" s="3" customFormat="1" ht="31.5" x14ac:dyDescent="0.25">
      <c r="A374" s="43" t="s">
        <v>505</v>
      </c>
      <c r="B374" s="48" t="s">
        <v>531</v>
      </c>
      <c r="C374" s="49" t="s">
        <v>530</v>
      </c>
      <c r="D374" s="40">
        <v>6.4683999999999999</v>
      </c>
      <c r="E374" s="18">
        <v>0</v>
      </c>
      <c r="F374" s="16">
        <f t="shared" si="129"/>
        <v>6.4683999999999999</v>
      </c>
      <c r="G374" s="17">
        <v>6.4683999999999999</v>
      </c>
      <c r="H374" s="16">
        <f t="shared" si="130"/>
        <v>3.4332989099999995</v>
      </c>
      <c r="I374" s="16">
        <v>5.8000000000000003E-2</v>
      </c>
      <c r="J374" s="16">
        <v>6.0727419999999997E-2</v>
      </c>
      <c r="K374" s="18">
        <v>0.1889296</v>
      </c>
      <c r="L374" s="16">
        <v>0.97017631999999998</v>
      </c>
      <c r="M374" s="16">
        <v>2.35501592</v>
      </c>
      <c r="N374" s="16">
        <f>2402.39517/1000</f>
        <v>2.4023951699999997</v>
      </c>
      <c r="O374" s="16">
        <v>3.8664544799999998</v>
      </c>
      <c r="P374" s="16">
        <v>0</v>
      </c>
      <c r="Q374" s="16">
        <f t="shared" si="131"/>
        <v>3.0351010900000004</v>
      </c>
      <c r="R374" s="16">
        <f t="shared" si="132"/>
        <v>0.83135338999999941</v>
      </c>
      <c r="S374" s="14">
        <f t="shared" si="128"/>
        <v>0.3195122202251181</v>
      </c>
      <c r="T374" s="22" t="s">
        <v>195</v>
      </c>
      <c r="U374" s="9"/>
      <c r="V374" s="12"/>
      <c r="X374" s="10"/>
    </row>
    <row r="375" spans="1:24" s="3" customFormat="1" ht="78.75" x14ac:dyDescent="0.25">
      <c r="A375" s="43" t="s">
        <v>505</v>
      </c>
      <c r="B375" s="48" t="s">
        <v>529</v>
      </c>
      <c r="C375" s="49" t="s">
        <v>528</v>
      </c>
      <c r="D375" s="40">
        <v>13.7822</v>
      </c>
      <c r="E375" s="18">
        <v>0</v>
      </c>
      <c r="F375" s="16">
        <f t="shared" si="129"/>
        <v>13.7822</v>
      </c>
      <c r="G375" s="17">
        <v>10.7822</v>
      </c>
      <c r="H375" s="16">
        <f t="shared" si="130"/>
        <v>11.611029559999999</v>
      </c>
      <c r="I375" s="16">
        <v>9.7201750000000003E-2</v>
      </c>
      <c r="J375" s="16">
        <v>0.10074123</v>
      </c>
      <c r="K375" s="18">
        <v>0.45041865000000003</v>
      </c>
      <c r="L375" s="16">
        <v>7.4860204499999998</v>
      </c>
      <c r="M375" s="16">
        <v>5.15029424</v>
      </c>
      <c r="N375" s="16">
        <f>4024.26788/1000</f>
        <v>4.02426788</v>
      </c>
      <c r="O375" s="16">
        <v>5.08428536</v>
      </c>
      <c r="P375" s="16">
        <v>0</v>
      </c>
      <c r="Q375" s="16">
        <f t="shared" si="131"/>
        <v>2.1711704400000009</v>
      </c>
      <c r="R375" s="16">
        <f t="shared" si="132"/>
        <v>5.9131149199999982</v>
      </c>
      <c r="S375" s="14">
        <f t="shared" si="128"/>
        <v>1.0377682527023602</v>
      </c>
      <c r="T375" s="22" t="s">
        <v>520</v>
      </c>
      <c r="U375" s="9"/>
      <c r="V375" s="12"/>
      <c r="X375" s="10"/>
    </row>
    <row r="376" spans="1:24" s="3" customFormat="1" ht="31.5" x14ac:dyDescent="0.25">
      <c r="A376" s="43" t="s">
        <v>505</v>
      </c>
      <c r="B376" s="48" t="s">
        <v>527</v>
      </c>
      <c r="C376" s="49" t="s">
        <v>526</v>
      </c>
      <c r="D376" s="40">
        <v>17.221599999999999</v>
      </c>
      <c r="E376" s="18">
        <v>0</v>
      </c>
      <c r="F376" s="16">
        <f t="shared" si="129"/>
        <v>17.221599999999999</v>
      </c>
      <c r="G376" s="17">
        <v>15.221599999999999</v>
      </c>
      <c r="H376" s="16">
        <f t="shared" si="130"/>
        <v>7.3368508999999991</v>
      </c>
      <c r="I376" s="16">
        <v>9.8155500000000007E-2</v>
      </c>
      <c r="J376" s="16">
        <v>0.10195777</v>
      </c>
      <c r="K376" s="18">
        <v>0.43970877600000002</v>
      </c>
      <c r="L376" s="16">
        <v>0.90224461</v>
      </c>
      <c r="M376" s="16">
        <v>6.2766109560000007</v>
      </c>
      <c r="N376" s="16">
        <f>6332.64852/1000</f>
        <v>6.3326485199999993</v>
      </c>
      <c r="O376" s="16">
        <v>8.4071247679999992</v>
      </c>
      <c r="P376" s="16">
        <v>0</v>
      </c>
      <c r="Q376" s="16">
        <f t="shared" si="131"/>
        <v>9.8847491000000005</v>
      </c>
      <c r="R376" s="16">
        <f t="shared" si="132"/>
        <v>0.52237566799999779</v>
      </c>
      <c r="S376" s="14">
        <f t="shared" si="128"/>
        <v>7.6656771096177884E-2</v>
      </c>
      <c r="T376" s="22" t="s">
        <v>0</v>
      </c>
      <c r="U376" s="9"/>
      <c r="V376" s="12"/>
      <c r="X376" s="10"/>
    </row>
    <row r="377" spans="1:24" s="3" customFormat="1" ht="31.5" x14ac:dyDescent="0.25">
      <c r="A377" s="43" t="s">
        <v>505</v>
      </c>
      <c r="B377" s="48" t="s">
        <v>525</v>
      </c>
      <c r="C377" s="49" t="s">
        <v>524</v>
      </c>
      <c r="D377" s="40">
        <v>19.860599999999998</v>
      </c>
      <c r="E377" s="18">
        <v>0</v>
      </c>
      <c r="F377" s="16">
        <f t="shared" si="129"/>
        <v>19.860599999999998</v>
      </c>
      <c r="G377" s="17">
        <v>17.860599999999998</v>
      </c>
      <c r="H377" s="16">
        <f t="shared" si="130"/>
        <v>14.682365930000001</v>
      </c>
      <c r="I377" s="16">
        <v>0.11898775</v>
      </c>
      <c r="J377" s="16">
        <v>0.12380975</v>
      </c>
      <c r="K377" s="18">
        <v>0.42115210999999997</v>
      </c>
      <c r="L377" s="16">
        <v>5.43881441</v>
      </c>
      <c r="M377" s="16">
        <v>7.0847950099999997</v>
      </c>
      <c r="N377" s="16">
        <f>9119.74177/1000</f>
        <v>9.119741770000001</v>
      </c>
      <c r="O377" s="16">
        <v>10.235665129999999</v>
      </c>
      <c r="P377" s="16">
        <v>0</v>
      </c>
      <c r="Q377" s="16">
        <f t="shared" si="131"/>
        <v>5.1782340699999967</v>
      </c>
      <c r="R377" s="16">
        <f t="shared" si="132"/>
        <v>7.0574310600000016</v>
      </c>
      <c r="S377" s="14">
        <f t="shared" si="128"/>
        <v>0.92557263508796395</v>
      </c>
      <c r="T377" s="22" t="s">
        <v>523</v>
      </c>
      <c r="U377" s="9"/>
      <c r="V377" s="12"/>
      <c r="X377" s="10"/>
    </row>
    <row r="378" spans="1:24" s="3" customFormat="1" ht="78.75" x14ac:dyDescent="0.25">
      <c r="A378" s="43" t="s">
        <v>505</v>
      </c>
      <c r="B378" s="48" t="s">
        <v>522</v>
      </c>
      <c r="C378" s="49" t="s">
        <v>521</v>
      </c>
      <c r="D378" s="40">
        <v>18.9176</v>
      </c>
      <c r="E378" s="18">
        <v>0</v>
      </c>
      <c r="F378" s="16">
        <f t="shared" si="129"/>
        <v>18.9176</v>
      </c>
      <c r="G378" s="17">
        <v>17.9176</v>
      </c>
      <c r="H378" s="16">
        <f t="shared" si="130"/>
        <v>13.539186320000001</v>
      </c>
      <c r="I378" s="16">
        <v>0.21370975</v>
      </c>
      <c r="J378" s="16">
        <v>0.22117234999999999</v>
      </c>
      <c r="K378" s="18">
        <v>0.63494289999999998</v>
      </c>
      <c r="L378" s="16">
        <v>11.12680553</v>
      </c>
      <c r="M378" s="16">
        <v>6.9001520019999996</v>
      </c>
      <c r="N378" s="16">
        <f>2191.20844/1000</f>
        <v>2.19120844</v>
      </c>
      <c r="O378" s="16">
        <v>10.168795348000003</v>
      </c>
      <c r="P378" s="16">
        <v>0</v>
      </c>
      <c r="Q378" s="16">
        <f t="shared" si="131"/>
        <v>5.3784136799999995</v>
      </c>
      <c r="R378" s="16">
        <f t="shared" si="132"/>
        <v>5.7903816680000011</v>
      </c>
      <c r="S378" s="14">
        <f t="shared" si="128"/>
        <v>0.74726127809990395</v>
      </c>
      <c r="T378" s="22" t="s">
        <v>520</v>
      </c>
      <c r="U378" s="9"/>
      <c r="V378" s="12"/>
      <c r="X378" s="10"/>
    </row>
    <row r="379" spans="1:24" s="3" customFormat="1" ht="47.25" x14ac:dyDescent="0.25">
      <c r="A379" s="43" t="s">
        <v>505</v>
      </c>
      <c r="B379" s="48" t="s">
        <v>519</v>
      </c>
      <c r="C379" s="49" t="s">
        <v>518</v>
      </c>
      <c r="D379" s="40" t="s">
        <v>0</v>
      </c>
      <c r="E379" s="18" t="s">
        <v>0</v>
      </c>
      <c r="F379" s="16" t="s">
        <v>0</v>
      </c>
      <c r="G379" s="17" t="s">
        <v>0</v>
      </c>
      <c r="H379" s="16">
        <f t="shared" si="130"/>
        <v>0.39353366999999995</v>
      </c>
      <c r="I379" s="16" t="s">
        <v>0</v>
      </c>
      <c r="J379" s="16">
        <v>0</v>
      </c>
      <c r="K379" s="18" t="s">
        <v>0</v>
      </c>
      <c r="L379" s="16">
        <v>0</v>
      </c>
      <c r="M379" s="16" t="s">
        <v>0</v>
      </c>
      <c r="N379" s="16">
        <f>393.53367/1000</f>
        <v>0.39353366999999995</v>
      </c>
      <c r="O379" s="16" t="s">
        <v>0</v>
      </c>
      <c r="P379" s="16">
        <v>0</v>
      </c>
      <c r="Q379" s="16" t="s">
        <v>0</v>
      </c>
      <c r="R379" s="16" t="s">
        <v>0</v>
      </c>
      <c r="S379" s="14" t="s">
        <v>0</v>
      </c>
      <c r="T379" s="13" t="s">
        <v>517</v>
      </c>
      <c r="U379" s="9"/>
      <c r="V379" s="12"/>
      <c r="X379" s="10"/>
    </row>
    <row r="380" spans="1:24" s="3" customFormat="1" ht="47.25" x14ac:dyDescent="0.25">
      <c r="A380" s="43" t="s">
        <v>505</v>
      </c>
      <c r="B380" s="48" t="s">
        <v>516</v>
      </c>
      <c r="C380" s="49" t="s">
        <v>515</v>
      </c>
      <c r="D380" s="40">
        <v>14.111690185220338</v>
      </c>
      <c r="E380" s="18">
        <v>0.58241866000000009</v>
      </c>
      <c r="F380" s="16">
        <f t="shared" ref="F380:F385" si="133">D380-E380</f>
        <v>13.529271525220338</v>
      </c>
      <c r="G380" s="17">
        <v>1.322350185220339</v>
      </c>
      <c r="H380" s="16">
        <f t="shared" si="130"/>
        <v>10.81022548</v>
      </c>
      <c r="I380" s="16">
        <v>1.322350185220339</v>
      </c>
      <c r="J380" s="16">
        <v>0</v>
      </c>
      <c r="K380" s="18">
        <v>0</v>
      </c>
      <c r="L380" s="16">
        <v>0</v>
      </c>
      <c r="M380" s="16">
        <v>0</v>
      </c>
      <c r="N380" s="16">
        <f>10810.22548/1000</f>
        <v>10.81022548</v>
      </c>
      <c r="O380" s="16">
        <v>0</v>
      </c>
      <c r="P380" s="16">
        <v>0</v>
      </c>
      <c r="Q380" s="16">
        <f t="shared" ref="Q380:Q385" si="134">F380-H380</f>
        <v>2.7190460452203382</v>
      </c>
      <c r="R380" s="16">
        <f t="shared" ref="R380:R385" si="135">H380-(I380+K380+M380)</f>
        <v>9.487875294779661</v>
      </c>
      <c r="S380" s="14">
        <f t="shared" ref="S380:S386" si="136">R380/(I380+K380+M380)</f>
        <v>7.1750096160789107</v>
      </c>
      <c r="T380" s="22" t="s">
        <v>510</v>
      </c>
      <c r="U380" s="9"/>
      <c r="V380" s="12"/>
      <c r="X380" s="10"/>
    </row>
    <row r="381" spans="1:24" s="3" customFormat="1" ht="41.25" customHeight="1" x14ac:dyDescent="0.25">
      <c r="A381" s="43" t="s">
        <v>505</v>
      </c>
      <c r="B381" s="48" t="s">
        <v>514</v>
      </c>
      <c r="C381" s="49" t="s">
        <v>513</v>
      </c>
      <c r="D381" s="40">
        <v>12.63553060433898</v>
      </c>
      <c r="E381" s="18">
        <v>13.575261430000001</v>
      </c>
      <c r="F381" s="16">
        <f t="shared" si="133"/>
        <v>-0.93973082566102129</v>
      </c>
      <c r="G381" s="17">
        <v>0.81470060433898284</v>
      </c>
      <c r="H381" s="16">
        <f t="shared" si="130"/>
        <v>1.01992908</v>
      </c>
      <c r="I381" s="16">
        <v>0.81470060433898284</v>
      </c>
      <c r="J381" s="16">
        <v>1.01992908</v>
      </c>
      <c r="K381" s="18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f t="shared" si="134"/>
        <v>-1.9596599056610213</v>
      </c>
      <c r="R381" s="16">
        <f t="shared" si="135"/>
        <v>0.20522847566101721</v>
      </c>
      <c r="S381" s="14">
        <f t="shared" si="136"/>
        <v>0.25190662013505172</v>
      </c>
      <c r="T381" s="22" t="s">
        <v>195</v>
      </c>
      <c r="U381" s="9"/>
      <c r="V381" s="12"/>
      <c r="X381" s="10"/>
    </row>
    <row r="382" spans="1:24" s="3" customFormat="1" ht="47.25" x14ac:dyDescent="0.25">
      <c r="A382" s="43" t="s">
        <v>505</v>
      </c>
      <c r="B382" s="48" t="s">
        <v>512</v>
      </c>
      <c r="C382" s="49" t="s">
        <v>511</v>
      </c>
      <c r="D382" s="40">
        <v>10.380228133016947</v>
      </c>
      <c r="E382" s="18">
        <v>1.6210546799999996</v>
      </c>
      <c r="F382" s="16">
        <f t="shared" si="133"/>
        <v>8.7591734530169472</v>
      </c>
      <c r="G382" s="17">
        <v>0.85467813301694695</v>
      </c>
      <c r="H382" s="16">
        <f t="shared" si="130"/>
        <v>6.6298003200000002</v>
      </c>
      <c r="I382" s="16">
        <v>0.85467813301694695</v>
      </c>
      <c r="J382" s="16">
        <v>0</v>
      </c>
      <c r="K382" s="18">
        <v>0</v>
      </c>
      <c r="L382" s="16">
        <v>0</v>
      </c>
      <c r="M382" s="16">
        <v>0</v>
      </c>
      <c r="N382" s="16">
        <f>6629.80032/1000</f>
        <v>6.6298003200000002</v>
      </c>
      <c r="O382" s="16">
        <v>0</v>
      </c>
      <c r="P382" s="16">
        <v>0</v>
      </c>
      <c r="Q382" s="16">
        <f t="shared" si="134"/>
        <v>2.129373133016947</v>
      </c>
      <c r="R382" s="16">
        <f t="shared" si="135"/>
        <v>5.7751221869830536</v>
      </c>
      <c r="S382" s="14">
        <f t="shared" si="136"/>
        <v>6.7570725912892193</v>
      </c>
      <c r="T382" s="22" t="s">
        <v>510</v>
      </c>
      <c r="U382" s="9"/>
      <c r="V382" s="12"/>
      <c r="X382" s="10"/>
    </row>
    <row r="383" spans="1:24" s="3" customFormat="1" ht="31.5" x14ac:dyDescent="0.25">
      <c r="A383" s="43" t="s">
        <v>505</v>
      </c>
      <c r="B383" s="48" t="s">
        <v>509</v>
      </c>
      <c r="C383" s="49" t="s">
        <v>508</v>
      </c>
      <c r="D383" s="40">
        <v>17.397605187254229</v>
      </c>
      <c r="E383" s="18">
        <v>14.667238220000002</v>
      </c>
      <c r="F383" s="16">
        <f t="shared" si="133"/>
        <v>2.730366967254227</v>
      </c>
      <c r="G383" s="17">
        <v>1.4842051872542288</v>
      </c>
      <c r="H383" s="16">
        <f t="shared" si="130"/>
        <v>1.35049116</v>
      </c>
      <c r="I383" s="16">
        <v>1.4842051872542288</v>
      </c>
      <c r="J383" s="16">
        <v>1.35049116</v>
      </c>
      <c r="K383" s="18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f t="shared" si="134"/>
        <v>1.379875807254227</v>
      </c>
      <c r="R383" s="16">
        <f t="shared" si="135"/>
        <v>-0.13371402725422876</v>
      </c>
      <c r="S383" s="14">
        <f t="shared" si="136"/>
        <v>-9.0091335350740126E-2</v>
      </c>
      <c r="T383" s="22" t="s">
        <v>0</v>
      </c>
      <c r="U383" s="9"/>
      <c r="V383" s="12"/>
      <c r="X383" s="10"/>
    </row>
    <row r="384" spans="1:24" s="3" customFormat="1" ht="31.5" x14ac:dyDescent="0.25">
      <c r="A384" s="43" t="s">
        <v>505</v>
      </c>
      <c r="B384" s="48" t="s">
        <v>507</v>
      </c>
      <c r="C384" s="49" t="s">
        <v>506</v>
      </c>
      <c r="D384" s="40">
        <v>9</v>
      </c>
      <c r="E384" s="18">
        <v>1.69006674</v>
      </c>
      <c r="F384" s="16">
        <f t="shared" si="133"/>
        <v>7.3099332600000002</v>
      </c>
      <c r="G384" s="17">
        <v>1.98</v>
      </c>
      <c r="H384" s="16">
        <f t="shared" si="130"/>
        <v>8.1682439999999995E-2</v>
      </c>
      <c r="I384" s="16">
        <v>0.18</v>
      </c>
      <c r="J384" s="16">
        <v>8.1682439999999995E-2</v>
      </c>
      <c r="K384" s="16">
        <v>0</v>
      </c>
      <c r="L384" s="16">
        <v>0</v>
      </c>
      <c r="M384" s="16">
        <v>1.2</v>
      </c>
      <c r="N384" s="16">
        <v>0</v>
      </c>
      <c r="O384" s="16">
        <v>0.6</v>
      </c>
      <c r="P384" s="16">
        <v>0</v>
      </c>
      <c r="Q384" s="16">
        <f t="shared" si="134"/>
        <v>7.2282508200000004</v>
      </c>
      <c r="R384" s="16">
        <f t="shared" si="135"/>
        <v>-1.2983175599999999</v>
      </c>
      <c r="S384" s="14">
        <f t="shared" si="136"/>
        <v>-0.94080982608695651</v>
      </c>
      <c r="T384" s="22" t="s">
        <v>195</v>
      </c>
      <c r="U384" s="9"/>
      <c r="V384" s="12"/>
      <c r="X384" s="10"/>
    </row>
    <row r="385" spans="1:24" s="3" customFormat="1" ht="47.25" x14ac:dyDescent="0.25">
      <c r="A385" s="43" t="s">
        <v>505</v>
      </c>
      <c r="B385" s="48" t="s">
        <v>504</v>
      </c>
      <c r="C385" s="49" t="s">
        <v>503</v>
      </c>
      <c r="D385" s="40">
        <v>114.85419999999999</v>
      </c>
      <c r="E385" s="18">
        <v>0</v>
      </c>
      <c r="F385" s="16">
        <f t="shared" si="133"/>
        <v>114.85419999999999</v>
      </c>
      <c r="G385" s="17">
        <v>36.687799999999996</v>
      </c>
      <c r="H385" s="16">
        <f t="shared" si="130"/>
        <v>26.713795279999999</v>
      </c>
      <c r="I385" s="16">
        <v>0.3</v>
      </c>
      <c r="J385" s="16">
        <v>0.31119648999999999</v>
      </c>
      <c r="K385" s="16">
        <v>0.3</v>
      </c>
      <c r="L385" s="16">
        <v>22.026967689999999</v>
      </c>
      <c r="M385" s="16">
        <v>12.646000000000001</v>
      </c>
      <c r="N385" s="16">
        <f>4375.6311/1000</f>
        <v>4.3756310999999997</v>
      </c>
      <c r="O385" s="16">
        <v>23.441800000000001</v>
      </c>
      <c r="P385" s="16">
        <v>0</v>
      </c>
      <c r="Q385" s="16">
        <f t="shared" si="134"/>
        <v>88.140404719999992</v>
      </c>
      <c r="R385" s="16">
        <f t="shared" si="135"/>
        <v>13.467795279999999</v>
      </c>
      <c r="S385" s="14">
        <f t="shared" si="136"/>
        <v>1.0167443213045446</v>
      </c>
      <c r="T385" s="61" t="s">
        <v>498</v>
      </c>
      <c r="U385" s="9"/>
      <c r="V385" s="12"/>
      <c r="X385" s="10"/>
    </row>
    <row r="386" spans="1:24" s="3" customFormat="1" ht="31.5" x14ac:dyDescent="0.25">
      <c r="A386" s="35" t="s">
        <v>430</v>
      </c>
      <c r="B386" s="37" t="s">
        <v>46</v>
      </c>
      <c r="C386" s="33" t="s">
        <v>11</v>
      </c>
      <c r="D386" s="28">
        <f t="shared" ref="D386:R386" si="137">SUM(D387:D419)</f>
        <v>3098.3495591521314</v>
      </c>
      <c r="E386" s="28">
        <f t="shared" si="137"/>
        <v>174.57091572999997</v>
      </c>
      <c r="F386" s="28">
        <f t="shared" si="137"/>
        <v>2923.7786434221325</v>
      </c>
      <c r="G386" s="28">
        <f t="shared" si="137"/>
        <v>381.60506620818194</v>
      </c>
      <c r="H386" s="28">
        <f t="shared" si="137"/>
        <v>111.06363292000005</v>
      </c>
      <c r="I386" s="28">
        <f t="shared" si="137"/>
        <v>9.0340301759999999</v>
      </c>
      <c r="J386" s="28">
        <f t="shared" si="137"/>
        <v>25.286886319999997</v>
      </c>
      <c r="K386" s="28">
        <f t="shared" si="137"/>
        <v>13.274737379999998</v>
      </c>
      <c r="L386" s="28">
        <f t="shared" si="137"/>
        <v>29.811195869999999</v>
      </c>
      <c r="M386" s="28">
        <f t="shared" si="137"/>
        <v>97.283897539999998</v>
      </c>
      <c r="N386" s="28">
        <f t="shared" si="137"/>
        <v>55.965550730000011</v>
      </c>
      <c r="O386" s="28">
        <f t="shared" si="137"/>
        <v>262.01240111217999</v>
      </c>
      <c r="P386" s="28">
        <f t="shared" si="137"/>
        <v>0</v>
      </c>
      <c r="Q386" s="28">
        <f t="shared" si="137"/>
        <v>2815.7066389721331</v>
      </c>
      <c r="R386" s="28">
        <f t="shared" si="137"/>
        <v>-11.520660645999993</v>
      </c>
      <c r="S386" s="27">
        <f t="shared" si="136"/>
        <v>-9.6332501970351384E-2</v>
      </c>
      <c r="T386" s="26" t="s">
        <v>0</v>
      </c>
      <c r="U386" s="9"/>
      <c r="V386" s="12"/>
      <c r="X386" s="10"/>
    </row>
    <row r="387" spans="1:24" s="3" customFormat="1" ht="31.5" x14ac:dyDescent="0.25">
      <c r="A387" s="43" t="s">
        <v>430</v>
      </c>
      <c r="B387" s="64" t="s">
        <v>502</v>
      </c>
      <c r="C387" s="49" t="s">
        <v>501</v>
      </c>
      <c r="D387" s="16" t="s">
        <v>0</v>
      </c>
      <c r="E387" s="18" t="s">
        <v>0</v>
      </c>
      <c r="F387" s="16" t="s">
        <v>0</v>
      </c>
      <c r="G387" s="16" t="s">
        <v>0</v>
      </c>
      <c r="H387" s="16">
        <f t="shared" ref="H387:H419" si="138">J387+L387+N387+P387</f>
        <v>4.5081990000000002E-2</v>
      </c>
      <c r="I387" s="16" t="s">
        <v>0</v>
      </c>
      <c r="J387" s="16">
        <v>4.5081990000000002E-2</v>
      </c>
      <c r="K387" s="18" t="s">
        <v>0</v>
      </c>
      <c r="L387" s="16">
        <v>0</v>
      </c>
      <c r="M387" s="16" t="s">
        <v>0</v>
      </c>
      <c r="N387" s="16">
        <v>0</v>
      </c>
      <c r="O387" s="16" t="s">
        <v>0</v>
      </c>
      <c r="P387" s="16">
        <v>0</v>
      </c>
      <c r="Q387" s="16" t="s">
        <v>0</v>
      </c>
      <c r="R387" s="16" t="s">
        <v>0</v>
      </c>
      <c r="S387" s="32" t="s">
        <v>0</v>
      </c>
      <c r="T387" s="22" t="s">
        <v>195</v>
      </c>
      <c r="U387" s="9"/>
      <c r="V387" s="12"/>
      <c r="X387" s="10"/>
    </row>
    <row r="388" spans="1:24" s="3" customFormat="1" ht="47.25" x14ac:dyDescent="0.25">
      <c r="A388" s="56" t="s">
        <v>430</v>
      </c>
      <c r="B388" s="24" t="s">
        <v>500</v>
      </c>
      <c r="C388" s="66" t="s">
        <v>499</v>
      </c>
      <c r="D388" s="16">
        <v>570.57493057811814</v>
      </c>
      <c r="E388" s="18">
        <v>0</v>
      </c>
      <c r="F388" s="16">
        <f t="shared" ref="F388:F412" si="139">D388-E388</f>
        <v>570.57493057811814</v>
      </c>
      <c r="G388" s="17">
        <v>171.30579999999998</v>
      </c>
      <c r="H388" s="16">
        <f t="shared" si="138"/>
        <v>62.655723160000008</v>
      </c>
      <c r="I388" s="16">
        <v>2.4547310499999999</v>
      </c>
      <c r="J388" s="16">
        <v>1.6446514800000001</v>
      </c>
      <c r="K388" s="18">
        <v>12.43888643</v>
      </c>
      <c r="L388" s="16">
        <v>19.503470549999999</v>
      </c>
      <c r="M388" s="16">
        <v>70.338037229999998</v>
      </c>
      <c r="N388" s="16">
        <f>41507.60113/1000</f>
        <v>41.507601130000005</v>
      </c>
      <c r="O388" s="16">
        <v>86.074145290000004</v>
      </c>
      <c r="P388" s="16">
        <v>0</v>
      </c>
      <c r="Q388" s="16">
        <f t="shared" ref="Q388:Q412" si="140">F388-H388</f>
        <v>507.91920741811816</v>
      </c>
      <c r="R388" s="16">
        <f t="shared" ref="R388:R412" si="141">H388-(I388+K388+M388)</f>
        <v>-22.575931549999993</v>
      </c>
      <c r="S388" s="14">
        <f>R388/(I388+K388+M388)</f>
        <v>-0.26487731144977078</v>
      </c>
      <c r="T388" s="13" t="s">
        <v>498</v>
      </c>
      <c r="U388" s="9"/>
      <c r="V388" s="12"/>
      <c r="X388" s="10"/>
    </row>
    <row r="389" spans="1:24" s="3" customFormat="1" ht="31.5" x14ac:dyDescent="0.25">
      <c r="A389" s="56" t="s">
        <v>430</v>
      </c>
      <c r="B389" s="24" t="s">
        <v>496</v>
      </c>
      <c r="C389" s="66" t="s">
        <v>495</v>
      </c>
      <c r="D389" s="16">
        <v>96.872800002259368</v>
      </c>
      <c r="E389" s="18">
        <v>0</v>
      </c>
      <c r="F389" s="16">
        <f t="shared" si="139"/>
        <v>96.872800002259368</v>
      </c>
      <c r="G389" s="17">
        <v>5.7072768301819314</v>
      </c>
      <c r="H389" s="16">
        <f t="shared" si="138"/>
        <v>0</v>
      </c>
      <c r="I389" s="16">
        <v>0</v>
      </c>
      <c r="J389" s="16">
        <v>0</v>
      </c>
      <c r="K389" s="18">
        <v>0</v>
      </c>
      <c r="L389" s="16">
        <v>0</v>
      </c>
      <c r="M389" s="16">
        <v>0</v>
      </c>
      <c r="N389" s="16">
        <v>0</v>
      </c>
      <c r="O389" s="16">
        <v>5.7072768301799996</v>
      </c>
      <c r="P389" s="16">
        <v>0</v>
      </c>
      <c r="Q389" s="16">
        <f t="shared" si="140"/>
        <v>96.872800002259368</v>
      </c>
      <c r="R389" s="16">
        <f t="shared" si="141"/>
        <v>0</v>
      </c>
      <c r="S389" s="14">
        <v>0</v>
      </c>
      <c r="T389" s="13" t="s">
        <v>0</v>
      </c>
      <c r="U389" s="9"/>
      <c r="V389" s="12"/>
      <c r="X389" s="10"/>
    </row>
    <row r="390" spans="1:24" s="3" customFormat="1" ht="31.5" x14ac:dyDescent="0.25">
      <c r="A390" s="43" t="s">
        <v>430</v>
      </c>
      <c r="B390" s="64" t="s">
        <v>494</v>
      </c>
      <c r="C390" s="49" t="s">
        <v>493</v>
      </c>
      <c r="D390" s="16">
        <v>237.40437009220278</v>
      </c>
      <c r="E390" s="18">
        <v>10.609262749999999</v>
      </c>
      <c r="F390" s="16">
        <f t="shared" si="139"/>
        <v>226.79510734220278</v>
      </c>
      <c r="G390" s="17">
        <v>9.8307884000000012</v>
      </c>
      <c r="H390" s="16">
        <f t="shared" si="138"/>
        <v>9.5405849300000014</v>
      </c>
      <c r="I390" s="16">
        <v>0.36511340000000003</v>
      </c>
      <c r="J390" s="16">
        <v>1.6476648</v>
      </c>
      <c r="K390" s="18">
        <v>7.5225E-2</v>
      </c>
      <c r="L390" s="16">
        <v>7.5660779999999997E-2</v>
      </c>
      <c r="M390" s="16">
        <v>4.0752249999999997</v>
      </c>
      <c r="N390" s="16">
        <f>7817.25935/1000</f>
        <v>7.8172593500000005</v>
      </c>
      <c r="O390" s="16">
        <v>5.3152250000000008</v>
      </c>
      <c r="P390" s="16">
        <v>0</v>
      </c>
      <c r="Q390" s="16">
        <f t="shared" si="140"/>
        <v>217.25452241220279</v>
      </c>
      <c r="R390" s="16">
        <f t="shared" si="141"/>
        <v>5.0250215300000018</v>
      </c>
      <c r="S390" s="14">
        <f t="shared" ref="S390:S398" si="142">R390/(I390+K390+M390)</f>
        <v>1.1128227166514819</v>
      </c>
      <c r="T390" s="22" t="s">
        <v>195</v>
      </c>
      <c r="U390" s="9"/>
      <c r="V390" s="12"/>
      <c r="X390" s="10"/>
    </row>
    <row r="391" spans="1:24" s="3" customFormat="1" ht="31.5" x14ac:dyDescent="0.25">
      <c r="A391" s="43" t="s">
        <v>430</v>
      </c>
      <c r="B391" s="64" t="s">
        <v>492</v>
      </c>
      <c r="C391" s="49" t="s">
        <v>491</v>
      </c>
      <c r="D391" s="16">
        <v>276.1085350866</v>
      </c>
      <c r="E391" s="18">
        <v>19.55638892</v>
      </c>
      <c r="F391" s="16">
        <f t="shared" si="139"/>
        <v>256.55214616659998</v>
      </c>
      <c r="G391" s="17">
        <v>9.8250036000000005</v>
      </c>
      <c r="H391" s="16">
        <f t="shared" si="138"/>
        <v>2.4161630199999999</v>
      </c>
      <c r="I391" s="16">
        <v>0.3593286</v>
      </c>
      <c r="J391" s="16">
        <v>7.4057419999999999E-2</v>
      </c>
      <c r="K391" s="18">
        <v>7.5225E-2</v>
      </c>
      <c r="L391" s="16">
        <v>7.9949919999999994E-2</v>
      </c>
      <c r="M391" s="16">
        <v>2.475225</v>
      </c>
      <c r="N391" s="16">
        <f>2262.15568/1000</f>
        <v>2.2621556799999998</v>
      </c>
      <c r="O391" s="16">
        <v>6.9152250000000004</v>
      </c>
      <c r="P391" s="16">
        <v>0</v>
      </c>
      <c r="Q391" s="16">
        <f t="shared" si="140"/>
        <v>254.13598314659998</v>
      </c>
      <c r="R391" s="16">
        <f t="shared" si="141"/>
        <v>-0.49361558000000016</v>
      </c>
      <c r="S391" s="14">
        <f t="shared" si="142"/>
        <v>-0.16964025372927002</v>
      </c>
      <c r="T391" s="22" t="s">
        <v>195</v>
      </c>
      <c r="U391" s="9"/>
      <c r="V391" s="12"/>
      <c r="X391" s="10"/>
    </row>
    <row r="392" spans="1:24" s="3" customFormat="1" ht="31.5" x14ac:dyDescent="0.25">
      <c r="A392" s="43" t="s">
        <v>430</v>
      </c>
      <c r="B392" s="64" t="s">
        <v>490</v>
      </c>
      <c r="C392" s="49" t="s">
        <v>489</v>
      </c>
      <c r="D392" s="16">
        <v>205.68734713356599</v>
      </c>
      <c r="E392" s="18">
        <v>21.75802281</v>
      </c>
      <c r="F392" s="16">
        <f t="shared" si="139"/>
        <v>183.92932432356599</v>
      </c>
      <c r="G392" s="17">
        <v>6.94</v>
      </c>
      <c r="H392" s="16">
        <f t="shared" si="138"/>
        <v>5.7097490000000001E-2</v>
      </c>
      <c r="I392" s="16">
        <v>2.4774999999999998E-2</v>
      </c>
      <c r="J392" s="16">
        <v>2.5084510000000001E-2</v>
      </c>
      <c r="K392" s="16">
        <v>2.5075E-2</v>
      </c>
      <c r="L392" s="16">
        <v>2.4430190000000001E-2</v>
      </c>
      <c r="M392" s="16">
        <v>1.2250750000000001</v>
      </c>
      <c r="N392" s="16">
        <f>7.58279/1000</f>
        <v>7.5827899999999998E-3</v>
      </c>
      <c r="O392" s="16">
        <v>5.6650749999999999</v>
      </c>
      <c r="P392" s="16">
        <v>0</v>
      </c>
      <c r="Q392" s="16">
        <f t="shared" si="140"/>
        <v>183.872226833566</v>
      </c>
      <c r="R392" s="16">
        <f t="shared" si="141"/>
        <v>-1.21782751</v>
      </c>
      <c r="S392" s="14">
        <f t="shared" si="142"/>
        <v>-0.95521502049140139</v>
      </c>
      <c r="T392" s="22" t="s">
        <v>0</v>
      </c>
      <c r="U392" s="9"/>
      <c r="V392" s="12"/>
      <c r="X392" s="10"/>
    </row>
    <row r="393" spans="1:24" s="3" customFormat="1" ht="31.5" x14ac:dyDescent="0.25">
      <c r="A393" s="43" t="s">
        <v>430</v>
      </c>
      <c r="B393" s="64" t="s">
        <v>488</v>
      </c>
      <c r="C393" s="49" t="s">
        <v>487</v>
      </c>
      <c r="D393" s="16">
        <v>0.69599999999999995</v>
      </c>
      <c r="E393" s="18">
        <v>0</v>
      </c>
      <c r="F393" s="16">
        <f t="shared" si="139"/>
        <v>0.69599999999999995</v>
      </c>
      <c r="G393" s="17">
        <v>0.69599999999999995</v>
      </c>
      <c r="H393" s="16">
        <f t="shared" si="138"/>
        <v>0.72199444999999995</v>
      </c>
      <c r="I393" s="16">
        <v>0</v>
      </c>
      <c r="J393" s="16">
        <v>0.12959999999999999</v>
      </c>
      <c r="K393" s="16">
        <v>0</v>
      </c>
      <c r="L393" s="16">
        <v>0</v>
      </c>
      <c r="M393" s="16">
        <v>0.69599999999999995</v>
      </c>
      <c r="N393" s="16">
        <f>592.39445/1000</f>
        <v>0.59239445000000002</v>
      </c>
      <c r="O393" s="16">
        <v>0</v>
      </c>
      <c r="P393" s="16">
        <v>0</v>
      </c>
      <c r="Q393" s="16">
        <f t="shared" si="140"/>
        <v>-2.5994450000000002E-2</v>
      </c>
      <c r="R393" s="16">
        <f t="shared" si="141"/>
        <v>2.5994450000000002E-2</v>
      </c>
      <c r="S393" s="14">
        <f t="shared" si="142"/>
        <v>3.7348347701149434E-2</v>
      </c>
      <c r="T393" s="22" t="s">
        <v>486</v>
      </c>
      <c r="U393" s="9"/>
      <c r="V393" s="12"/>
      <c r="X393" s="10"/>
    </row>
    <row r="394" spans="1:24" s="3" customFormat="1" ht="47.25" x14ac:dyDescent="0.25">
      <c r="A394" s="43" t="s">
        <v>430</v>
      </c>
      <c r="B394" s="64" t="s">
        <v>485</v>
      </c>
      <c r="C394" s="49" t="s">
        <v>484</v>
      </c>
      <c r="D394" s="16">
        <v>0.31482791999999998</v>
      </c>
      <c r="E394" s="18">
        <v>0</v>
      </c>
      <c r="F394" s="16">
        <f t="shared" si="139"/>
        <v>0.31482791999999998</v>
      </c>
      <c r="G394" s="17">
        <v>0.31482791999999998</v>
      </c>
      <c r="H394" s="16">
        <f t="shared" si="138"/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0.31482791999999998</v>
      </c>
      <c r="N394" s="16">
        <v>0</v>
      </c>
      <c r="O394" s="16">
        <v>0</v>
      </c>
      <c r="P394" s="16">
        <v>0</v>
      </c>
      <c r="Q394" s="16">
        <f t="shared" si="140"/>
        <v>0.31482791999999998</v>
      </c>
      <c r="R394" s="16">
        <f t="shared" si="141"/>
        <v>-0.31482791999999998</v>
      </c>
      <c r="S394" s="14">
        <f t="shared" si="142"/>
        <v>-1</v>
      </c>
      <c r="T394" s="22" t="s">
        <v>0</v>
      </c>
      <c r="U394" s="9"/>
      <c r="V394" s="12"/>
      <c r="X394" s="10"/>
    </row>
    <row r="395" spans="1:24" s="3" customFormat="1" ht="47.25" x14ac:dyDescent="0.25">
      <c r="A395" s="43" t="s">
        <v>430</v>
      </c>
      <c r="B395" s="64" t="s">
        <v>483</v>
      </c>
      <c r="C395" s="49" t="s">
        <v>482</v>
      </c>
      <c r="D395" s="16">
        <v>0.12108768</v>
      </c>
      <c r="E395" s="18">
        <v>0</v>
      </c>
      <c r="F395" s="16">
        <f t="shared" si="139"/>
        <v>0.12108768</v>
      </c>
      <c r="G395" s="17">
        <v>0.12108768</v>
      </c>
      <c r="H395" s="16">
        <f t="shared" si="138"/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0.12108768</v>
      </c>
      <c r="N395" s="16">
        <v>0</v>
      </c>
      <c r="O395" s="16">
        <v>0</v>
      </c>
      <c r="P395" s="16">
        <v>0</v>
      </c>
      <c r="Q395" s="16">
        <f t="shared" si="140"/>
        <v>0.12108768</v>
      </c>
      <c r="R395" s="16">
        <f t="shared" si="141"/>
        <v>-0.12108768</v>
      </c>
      <c r="S395" s="14">
        <f t="shared" si="142"/>
        <v>-1</v>
      </c>
      <c r="T395" s="22" t="s">
        <v>0</v>
      </c>
      <c r="U395" s="9"/>
      <c r="V395" s="12"/>
      <c r="X395" s="10"/>
    </row>
    <row r="396" spans="1:24" s="3" customFormat="1" ht="31.5" x14ac:dyDescent="0.25">
      <c r="A396" s="43" t="s">
        <v>430</v>
      </c>
      <c r="B396" s="64" t="s">
        <v>481</v>
      </c>
      <c r="C396" s="49" t="s">
        <v>480</v>
      </c>
      <c r="D396" s="16">
        <v>4.2468000000000004</v>
      </c>
      <c r="E396" s="18">
        <v>0</v>
      </c>
      <c r="F396" s="16">
        <f t="shared" si="139"/>
        <v>4.2468000000000004</v>
      </c>
      <c r="G396" s="17">
        <v>4.2468000000000004</v>
      </c>
      <c r="H396" s="16">
        <f t="shared" si="138"/>
        <v>3.6233229900000001</v>
      </c>
      <c r="I396" s="16">
        <v>0</v>
      </c>
      <c r="J396" s="16">
        <v>0</v>
      </c>
      <c r="K396" s="16">
        <v>0</v>
      </c>
      <c r="L396" s="16">
        <v>2.9159999999999999</v>
      </c>
      <c r="M396" s="16">
        <v>3.6311999999999998</v>
      </c>
      <c r="N396" s="16">
        <f>707.32299/1000</f>
        <v>0.70732298999999998</v>
      </c>
      <c r="O396" s="16">
        <v>0.61560000000000004</v>
      </c>
      <c r="P396" s="16">
        <v>0</v>
      </c>
      <c r="Q396" s="16">
        <f t="shared" si="140"/>
        <v>0.62347701000000022</v>
      </c>
      <c r="R396" s="16">
        <f t="shared" si="141"/>
        <v>-7.877009999999629E-3</v>
      </c>
      <c r="S396" s="14">
        <f t="shared" si="142"/>
        <v>-2.1692580964969236E-3</v>
      </c>
      <c r="T396" s="22" t="s">
        <v>431</v>
      </c>
      <c r="U396" s="9"/>
      <c r="V396" s="12"/>
      <c r="X396" s="10"/>
    </row>
    <row r="397" spans="1:24" s="3" customFormat="1" ht="31.5" x14ac:dyDescent="0.25">
      <c r="A397" s="43" t="s">
        <v>430</v>
      </c>
      <c r="B397" s="64" t="s">
        <v>479</v>
      </c>
      <c r="C397" s="49" t="s">
        <v>478</v>
      </c>
      <c r="D397" s="16">
        <v>1.464</v>
      </c>
      <c r="E397" s="18">
        <v>0</v>
      </c>
      <c r="F397" s="16">
        <f t="shared" si="139"/>
        <v>1.464</v>
      </c>
      <c r="G397" s="17">
        <v>1.464</v>
      </c>
      <c r="H397" s="16">
        <f t="shared" si="138"/>
        <v>1.2878854100000001</v>
      </c>
      <c r="I397" s="16">
        <v>0</v>
      </c>
      <c r="J397" s="16">
        <v>0</v>
      </c>
      <c r="K397" s="16">
        <v>0</v>
      </c>
      <c r="L397" s="16">
        <v>6.6316799999999995E-2</v>
      </c>
      <c r="M397" s="16">
        <v>1.0640000000000001</v>
      </c>
      <c r="N397" s="16">
        <f>1221.56861/1000</f>
        <v>1.2215686100000001</v>
      </c>
      <c r="O397" s="16">
        <v>0.4</v>
      </c>
      <c r="P397" s="16">
        <v>0</v>
      </c>
      <c r="Q397" s="16">
        <f t="shared" si="140"/>
        <v>0.17611458999999985</v>
      </c>
      <c r="R397" s="16">
        <f t="shared" si="141"/>
        <v>0.22388541000000006</v>
      </c>
      <c r="S397" s="14">
        <f t="shared" si="142"/>
        <v>0.21041861842105267</v>
      </c>
      <c r="T397" s="22" t="s">
        <v>431</v>
      </c>
      <c r="U397" s="9"/>
      <c r="V397" s="12"/>
      <c r="X397" s="10"/>
    </row>
    <row r="398" spans="1:24" s="3" customFormat="1" ht="31.5" x14ac:dyDescent="0.25">
      <c r="A398" s="43" t="s">
        <v>430</v>
      </c>
      <c r="B398" s="64" t="s">
        <v>477</v>
      </c>
      <c r="C398" s="49" t="s">
        <v>476</v>
      </c>
      <c r="D398" s="16">
        <v>3.84</v>
      </c>
      <c r="E398" s="18">
        <v>0</v>
      </c>
      <c r="F398" s="16">
        <f t="shared" si="139"/>
        <v>3.84</v>
      </c>
      <c r="G398" s="17">
        <v>0.96</v>
      </c>
      <c r="H398" s="16">
        <f t="shared" si="138"/>
        <v>0.23317524000000001</v>
      </c>
      <c r="I398" s="16">
        <v>0</v>
      </c>
      <c r="J398" s="16">
        <v>0</v>
      </c>
      <c r="K398" s="16">
        <v>0</v>
      </c>
      <c r="L398" s="16">
        <v>0</v>
      </c>
      <c r="M398" s="16">
        <v>0.4</v>
      </c>
      <c r="N398" s="16">
        <f>233.17524/1000</f>
        <v>0.23317524000000001</v>
      </c>
      <c r="O398" s="16">
        <v>0.56000000000000005</v>
      </c>
      <c r="P398" s="16">
        <v>0</v>
      </c>
      <c r="Q398" s="16">
        <f t="shared" si="140"/>
        <v>3.6068247599999999</v>
      </c>
      <c r="R398" s="16">
        <f t="shared" si="141"/>
        <v>-0.16682476000000002</v>
      </c>
      <c r="S398" s="14">
        <f t="shared" si="142"/>
        <v>-0.41706190000000004</v>
      </c>
      <c r="T398" s="22" t="s">
        <v>456</v>
      </c>
      <c r="U398" s="9"/>
      <c r="V398" s="12"/>
      <c r="X398" s="10"/>
    </row>
    <row r="399" spans="1:24" s="3" customFormat="1" ht="31.5" x14ac:dyDescent="0.25">
      <c r="A399" s="43" t="s">
        <v>430</v>
      </c>
      <c r="B399" s="64" t="s">
        <v>475</v>
      </c>
      <c r="C399" s="49" t="s">
        <v>474</v>
      </c>
      <c r="D399" s="16">
        <v>8.2799999999999994</v>
      </c>
      <c r="E399" s="18">
        <v>0</v>
      </c>
      <c r="F399" s="16">
        <f t="shared" si="139"/>
        <v>8.2799999999999994</v>
      </c>
      <c r="G399" s="17">
        <v>8.2799999999999994</v>
      </c>
      <c r="H399" s="16">
        <f t="shared" si="138"/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8.2799999999999994</v>
      </c>
      <c r="P399" s="16">
        <v>0</v>
      </c>
      <c r="Q399" s="16">
        <f t="shared" si="140"/>
        <v>8.2799999999999994</v>
      </c>
      <c r="R399" s="16">
        <f t="shared" si="141"/>
        <v>0</v>
      </c>
      <c r="S399" s="14">
        <v>0</v>
      </c>
      <c r="T399" s="22" t="s">
        <v>0</v>
      </c>
      <c r="U399" s="9"/>
      <c r="V399" s="12"/>
      <c r="X399" s="10"/>
    </row>
    <row r="400" spans="1:24" s="3" customFormat="1" ht="31.5" x14ac:dyDescent="0.25">
      <c r="A400" s="43" t="s">
        <v>430</v>
      </c>
      <c r="B400" s="64" t="s">
        <v>473</v>
      </c>
      <c r="C400" s="49" t="s">
        <v>472</v>
      </c>
      <c r="D400" s="16">
        <v>18.053072</v>
      </c>
      <c r="E400" s="18">
        <v>0</v>
      </c>
      <c r="F400" s="16">
        <f t="shared" si="139"/>
        <v>18.053072</v>
      </c>
      <c r="G400" s="17">
        <v>18.053072</v>
      </c>
      <c r="H400" s="16">
        <f t="shared" si="138"/>
        <v>0.36426417999999999</v>
      </c>
      <c r="I400" s="16">
        <v>0.12537499999999999</v>
      </c>
      <c r="J400" s="16">
        <v>0.13071079999999999</v>
      </c>
      <c r="K400" s="16">
        <v>0.12537499999999999</v>
      </c>
      <c r="L400" s="16">
        <v>0.11564246</v>
      </c>
      <c r="M400" s="16">
        <v>0.124375</v>
      </c>
      <c r="N400" s="16">
        <f>117.91092/1000</f>
        <v>0.11791092</v>
      </c>
      <c r="O400" s="16">
        <v>17.677947</v>
      </c>
      <c r="P400" s="16">
        <v>0</v>
      </c>
      <c r="Q400" s="16">
        <f t="shared" si="140"/>
        <v>17.688807820000001</v>
      </c>
      <c r="R400" s="16">
        <f t="shared" si="141"/>
        <v>-1.0860819999999993E-2</v>
      </c>
      <c r="S400" s="14">
        <f>R400/(I400+K400+M400)</f>
        <v>-2.8952535821392851E-2</v>
      </c>
      <c r="T400" s="22" t="s">
        <v>0</v>
      </c>
      <c r="U400" s="9"/>
      <c r="V400" s="12"/>
      <c r="X400" s="10"/>
    </row>
    <row r="401" spans="1:24" s="3" customFormat="1" ht="31.5" x14ac:dyDescent="0.25">
      <c r="A401" s="43" t="s">
        <v>430</v>
      </c>
      <c r="B401" s="64" t="s">
        <v>471</v>
      </c>
      <c r="C401" s="49" t="s">
        <v>470</v>
      </c>
      <c r="D401" s="16">
        <v>4.32</v>
      </c>
      <c r="E401" s="18">
        <v>0</v>
      </c>
      <c r="F401" s="16">
        <f t="shared" si="139"/>
        <v>4.32</v>
      </c>
      <c r="G401" s="17">
        <v>4.32</v>
      </c>
      <c r="H401" s="16">
        <f t="shared" si="138"/>
        <v>0.36416180000000004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f>364.1618/1000</f>
        <v>0.36416180000000004</v>
      </c>
      <c r="O401" s="16">
        <v>4.32</v>
      </c>
      <c r="P401" s="16">
        <v>0</v>
      </c>
      <c r="Q401" s="16">
        <f t="shared" si="140"/>
        <v>3.9558382000000001</v>
      </c>
      <c r="R401" s="16">
        <f t="shared" si="141"/>
        <v>0.36416180000000004</v>
      </c>
      <c r="S401" s="14">
        <v>1</v>
      </c>
      <c r="T401" s="19" t="s">
        <v>469</v>
      </c>
      <c r="U401" s="9"/>
      <c r="V401" s="12"/>
      <c r="X401" s="10"/>
    </row>
    <row r="402" spans="1:24" s="3" customFormat="1" ht="31.5" x14ac:dyDescent="0.25">
      <c r="A402" s="43" t="s">
        <v>430</v>
      </c>
      <c r="B402" s="64" t="s">
        <v>468</v>
      </c>
      <c r="C402" s="49" t="s">
        <v>467</v>
      </c>
      <c r="D402" s="16">
        <v>134.64249107118638</v>
      </c>
      <c r="E402" s="18">
        <v>19.142752680000001</v>
      </c>
      <c r="F402" s="16">
        <f t="shared" si="139"/>
        <v>115.49973839118638</v>
      </c>
      <c r="G402" s="17">
        <v>3.8578108420000001</v>
      </c>
      <c r="H402" s="16">
        <f t="shared" si="138"/>
        <v>10.12506803</v>
      </c>
      <c r="I402" s="16">
        <v>0.37097084000000002</v>
      </c>
      <c r="J402" s="16">
        <v>7.4206244000000003</v>
      </c>
      <c r="K402" s="18">
        <v>4.2000000000000003E-2</v>
      </c>
      <c r="L402" s="16">
        <v>2.5754619600000002</v>
      </c>
      <c r="M402" s="16">
        <v>1.2294800000000001</v>
      </c>
      <c r="N402" s="16">
        <f>128.98167/1000</f>
        <v>0.12898167000000002</v>
      </c>
      <c r="O402" s="16">
        <v>2.2153600019999997</v>
      </c>
      <c r="P402" s="16">
        <v>0</v>
      </c>
      <c r="Q402" s="16">
        <f t="shared" si="140"/>
        <v>105.37467036118639</v>
      </c>
      <c r="R402" s="16">
        <f t="shared" si="141"/>
        <v>8.4826171899999991</v>
      </c>
      <c r="S402" s="14">
        <f>R402/(I402+K402+M402)</f>
        <v>5.1646094868812016</v>
      </c>
      <c r="T402" s="22" t="s">
        <v>195</v>
      </c>
      <c r="U402" s="9"/>
      <c r="V402" s="12"/>
      <c r="X402" s="10"/>
    </row>
    <row r="403" spans="1:24" s="3" customFormat="1" ht="31.5" x14ac:dyDescent="0.25">
      <c r="A403" s="43" t="s">
        <v>430</v>
      </c>
      <c r="B403" s="64" t="s">
        <v>466</v>
      </c>
      <c r="C403" s="49" t="s">
        <v>465</v>
      </c>
      <c r="D403" s="16">
        <v>81.681968095600013</v>
      </c>
      <c r="E403" s="18">
        <v>1.1115600000000001</v>
      </c>
      <c r="F403" s="16">
        <f t="shared" si="139"/>
        <v>80.570408095600015</v>
      </c>
      <c r="G403" s="17">
        <v>8.9499999999999993</v>
      </c>
      <c r="H403" s="16">
        <f t="shared" si="138"/>
        <v>0.17072762999999999</v>
      </c>
      <c r="I403" s="16">
        <v>6.2687499999999993E-2</v>
      </c>
      <c r="J403" s="16">
        <v>6.4561439999999998E-2</v>
      </c>
      <c r="K403" s="18">
        <v>6.2687499999999993E-2</v>
      </c>
      <c r="L403" s="16">
        <v>7.0706270000000002E-2</v>
      </c>
      <c r="M403" s="16">
        <v>3.0626875</v>
      </c>
      <c r="N403" s="16">
        <f>35.45992/1000</f>
        <v>3.5459919999999999E-2</v>
      </c>
      <c r="O403" s="16">
        <v>5.7619375000000002</v>
      </c>
      <c r="P403" s="16">
        <v>0</v>
      </c>
      <c r="Q403" s="16">
        <f t="shared" si="140"/>
        <v>80.399680465600014</v>
      </c>
      <c r="R403" s="16">
        <f t="shared" si="141"/>
        <v>-3.01733487</v>
      </c>
      <c r="S403" s="14">
        <f>R403/(I403+K403+M403)</f>
        <v>-0.94644784096924073</v>
      </c>
      <c r="T403" s="22" t="s">
        <v>464</v>
      </c>
      <c r="U403" s="9"/>
      <c r="V403" s="12"/>
      <c r="X403" s="10"/>
    </row>
    <row r="404" spans="1:24" s="3" customFormat="1" ht="31.5" x14ac:dyDescent="0.25">
      <c r="A404" s="43" t="s">
        <v>430</v>
      </c>
      <c r="B404" s="64" t="s">
        <v>463</v>
      </c>
      <c r="C404" s="49" t="s">
        <v>462</v>
      </c>
      <c r="D404" s="16">
        <v>20.147618135999998</v>
      </c>
      <c r="E404" s="18">
        <v>0</v>
      </c>
      <c r="F404" s="16">
        <f t="shared" si="139"/>
        <v>20.147618135999998</v>
      </c>
      <c r="G404" s="17">
        <v>16.667618135999998</v>
      </c>
      <c r="H404" s="16">
        <f t="shared" si="138"/>
        <v>4.0353792799999999</v>
      </c>
      <c r="I404" s="16">
        <v>0.31570920999999996</v>
      </c>
      <c r="J404" s="16">
        <v>0.32802586</v>
      </c>
      <c r="K404" s="18">
        <v>0.31570920000000002</v>
      </c>
      <c r="L404" s="16">
        <v>3.2848942600000002</v>
      </c>
      <c r="M404" s="16">
        <v>3.6848509600000003</v>
      </c>
      <c r="N404" s="16">
        <f>422.45916/1000</f>
        <v>0.42245916</v>
      </c>
      <c r="O404" s="16">
        <v>12.351348765999999</v>
      </c>
      <c r="P404" s="16">
        <v>0</v>
      </c>
      <c r="Q404" s="16">
        <f t="shared" si="140"/>
        <v>16.112238855999998</v>
      </c>
      <c r="R404" s="16">
        <f t="shared" si="141"/>
        <v>-0.28089009000000065</v>
      </c>
      <c r="S404" s="14">
        <f>R404/(I404+K404+M404)</f>
        <v>-6.5077052871702637E-2</v>
      </c>
      <c r="T404" s="22" t="s">
        <v>0</v>
      </c>
      <c r="U404" s="9"/>
      <c r="V404" s="12"/>
      <c r="X404" s="10"/>
    </row>
    <row r="405" spans="1:24" s="3" customFormat="1" ht="47.25" x14ac:dyDescent="0.25">
      <c r="A405" s="43" t="s">
        <v>430</v>
      </c>
      <c r="B405" s="64" t="s">
        <v>461</v>
      </c>
      <c r="C405" s="49" t="s">
        <v>460</v>
      </c>
      <c r="D405" s="16">
        <v>13.389999999999999</v>
      </c>
      <c r="E405" s="18">
        <v>0</v>
      </c>
      <c r="F405" s="16">
        <f t="shared" si="139"/>
        <v>13.389999999999999</v>
      </c>
      <c r="G405" s="17">
        <v>1.44</v>
      </c>
      <c r="H405" s="16">
        <f t="shared" si="138"/>
        <v>0.45</v>
      </c>
      <c r="I405" s="16">
        <v>0</v>
      </c>
      <c r="J405" s="16">
        <v>0</v>
      </c>
      <c r="K405" s="18">
        <v>0</v>
      </c>
      <c r="L405" s="16">
        <v>0</v>
      </c>
      <c r="M405" s="16">
        <v>0</v>
      </c>
      <c r="N405" s="16">
        <f>450/1000</f>
        <v>0.45</v>
      </c>
      <c r="O405" s="16">
        <v>1.44</v>
      </c>
      <c r="P405" s="16">
        <v>0</v>
      </c>
      <c r="Q405" s="16">
        <f t="shared" si="140"/>
        <v>12.94</v>
      </c>
      <c r="R405" s="16">
        <f t="shared" si="141"/>
        <v>0.45</v>
      </c>
      <c r="S405" s="14">
        <v>1</v>
      </c>
      <c r="T405" s="19" t="s">
        <v>459</v>
      </c>
      <c r="U405" s="9"/>
      <c r="V405" s="12"/>
      <c r="X405" s="10"/>
    </row>
    <row r="406" spans="1:24" s="3" customFormat="1" ht="31.5" x14ac:dyDescent="0.25">
      <c r="A406" s="43" t="s">
        <v>430</v>
      </c>
      <c r="B406" s="64" t="s">
        <v>458</v>
      </c>
      <c r="C406" s="49" t="s">
        <v>457</v>
      </c>
      <c r="D406" s="16">
        <v>48.859359999999995</v>
      </c>
      <c r="E406" s="18">
        <v>0</v>
      </c>
      <c r="F406" s="16">
        <f t="shared" si="139"/>
        <v>48.859359999999995</v>
      </c>
      <c r="G406" s="17">
        <v>17.059359999999998</v>
      </c>
      <c r="H406" s="16">
        <f t="shared" si="138"/>
        <v>0.32839127000000001</v>
      </c>
      <c r="I406" s="16">
        <v>0.11455425</v>
      </c>
      <c r="J406" s="16">
        <v>0.11861157</v>
      </c>
      <c r="K406" s="18">
        <v>0.11455425</v>
      </c>
      <c r="L406" s="16">
        <v>0.11226268</v>
      </c>
      <c r="M406" s="16">
        <v>4.8418262500000004</v>
      </c>
      <c r="N406" s="16">
        <f>97.51702/1000</f>
        <v>9.7517019999999996E-2</v>
      </c>
      <c r="O406" s="16">
        <v>11.988425250000001</v>
      </c>
      <c r="P406" s="16">
        <v>0</v>
      </c>
      <c r="Q406" s="16">
        <f t="shared" si="140"/>
        <v>48.530968729999998</v>
      </c>
      <c r="R406" s="16">
        <f t="shared" si="141"/>
        <v>-4.7425434800000001</v>
      </c>
      <c r="S406" s="14">
        <f>R406/(I406+K406+M406)</f>
        <v>-0.93524048598732212</v>
      </c>
      <c r="T406" s="22" t="s">
        <v>456</v>
      </c>
      <c r="U406" s="9"/>
      <c r="V406" s="12"/>
      <c r="X406" s="10"/>
    </row>
    <row r="407" spans="1:24" s="3" customFormat="1" ht="63" x14ac:dyDescent="0.25">
      <c r="A407" s="43" t="s">
        <v>430</v>
      </c>
      <c r="B407" s="64" t="s">
        <v>455</v>
      </c>
      <c r="C407" s="49" t="s">
        <v>454</v>
      </c>
      <c r="D407" s="16">
        <v>458.95989887539997</v>
      </c>
      <c r="E407" s="18">
        <v>8.993362659999999</v>
      </c>
      <c r="F407" s="16">
        <f t="shared" si="139"/>
        <v>449.96653621539997</v>
      </c>
      <c r="G407" s="17">
        <v>0.16526160000000026</v>
      </c>
      <c r="H407" s="16">
        <f t="shared" si="138"/>
        <v>0.10568669999999999</v>
      </c>
      <c r="I407" s="16">
        <v>0.16526160000000026</v>
      </c>
      <c r="J407" s="16">
        <v>0.10568669999999999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f t="shared" si="140"/>
        <v>449.86084951539999</v>
      </c>
      <c r="R407" s="16">
        <f t="shared" si="141"/>
        <v>-5.9574900000000264E-2</v>
      </c>
      <c r="S407" s="14">
        <f>R407/(I407+K407+M407)</f>
        <v>-0.36048846192945105</v>
      </c>
      <c r="T407" s="22" t="s">
        <v>195</v>
      </c>
      <c r="U407" s="9"/>
      <c r="V407" s="12"/>
      <c r="X407" s="10"/>
    </row>
    <row r="408" spans="1:24" s="3" customFormat="1" ht="21.75" customHeight="1" x14ac:dyDescent="0.25">
      <c r="A408" s="43" t="s">
        <v>430</v>
      </c>
      <c r="B408" s="64" t="s">
        <v>453</v>
      </c>
      <c r="C408" s="49" t="s">
        <v>452</v>
      </c>
      <c r="D408" s="16">
        <v>29.803934910000002</v>
      </c>
      <c r="E408" s="18">
        <v>16.34133491</v>
      </c>
      <c r="F408" s="16">
        <f t="shared" si="139"/>
        <v>13.462600000000002</v>
      </c>
      <c r="G408" s="17">
        <v>3.8843999999999999</v>
      </c>
      <c r="H408" s="16">
        <f t="shared" si="138"/>
        <v>0.18401719</v>
      </c>
      <c r="I408" s="16">
        <v>3.8843999999999999</v>
      </c>
      <c r="J408" s="16">
        <v>0.18401719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f t="shared" si="140"/>
        <v>13.278582810000001</v>
      </c>
      <c r="R408" s="16">
        <f t="shared" si="141"/>
        <v>-3.7003828099999998</v>
      </c>
      <c r="S408" s="14">
        <f>R408/(I408+K408+M408)</f>
        <v>-0.95262661157450312</v>
      </c>
      <c r="T408" s="65" t="s">
        <v>195</v>
      </c>
      <c r="U408" s="9"/>
      <c r="V408" s="12"/>
      <c r="X408" s="10"/>
    </row>
    <row r="409" spans="1:24" s="3" customFormat="1" ht="31.5" x14ac:dyDescent="0.25">
      <c r="A409" s="43" t="s">
        <v>430</v>
      </c>
      <c r="B409" s="64" t="s">
        <v>451</v>
      </c>
      <c r="C409" s="49" t="s">
        <v>450</v>
      </c>
      <c r="D409" s="16">
        <v>79.475835200000006</v>
      </c>
      <c r="E409" s="18">
        <v>37.496755199999996</v>
      </c>
      <c r="F409" s="16">
        <f t="shared" si="139"/>
        <v>41.97908000000001</v>
      </c>
      <c r="G409" s="17">
        <v>37.979080000000003</v>
      </c>
      <c r="H409" s="16">
        <f t="shared" si="138"/>
        <v>0</v>
      </c>
      <c r="I409" s="16">
        <v>0</v>
      </c>
      <c r="J409" s="16">
        <v>0</v>
      </c>
      <c r="K409" s="18">
        <v>0</v>
      </c>
      <c r="L409" s="18">
        <v>0</v>
      </c>
      <c r="M409" s="16">
        <v>0</v>
      </c>
      <c r="N409" s="16">
        <v>0</v>
      </c>
      <c r="O409" s="16">
        <v>37.979080000000003</v>
      </c>
      <c r="P409" s="16">
        <v>0</v>
      </c>
      <c r="Q409" s="16">
        <f t="shared" si="140"/>
        <v>41.97908000000001</v>
      </c>
      <c r="R409" s="16">
        <f t="shared" si="141"/>
        <v>0</v>
      </c>
      <c r="S409" s="14">
        <v>0</v>
      </c>
      <c r="T409" s="31" t="s">
        <v>0</v>
      </c>
      <c r="U409" s="9"/>
      <c r="V409" s="12"/>
      <c r="X409" s="10"/>
    </row>
    <row r="410" spans="1:24" s="3" customFormat="1" ht="38.25" customHeight="1" x14ac:dyDescent="0.25">
      <c r="A410" s="43" t="s">
        <v>430</v>
      </c>
      <c r="B410" s="64" t="s">
        <v>449</v>
      </c>
      <c r="C410" s="49" t="s">
        <v>448</v>
      </c>
      <c r="D410" s="16">
        <v>26.690999999999999</v>
      </c>
      <c r="E410" s="18">
        <v>0.88500000000000001</v>
      </c>
      <c r="F410" s="16">
        <f t="shared" si="139"/>
        <v>25.805999999999997</v>
      </c>
      <c r="G410" s="17">
        <v>3.9143999999999997</v>
      </c>
      <c r="H410" s="16">
        <f t="shared" si="138"/>
        <v>0</v>
      </c>
      <c r="I410" s="16">
        <v>0</v>
      </c>
      <c r="J410" s="16">
        <v>0</v>
      </c>
      <c r="K410" s="18">
        <v>0</v>
      </c>
      <c r="L410" s="18">
        <v>0</v>
      </c>
      <c r="M410" s="16">
        <v>0</v>
      </c>
      <c r="N410" s="16">
        <v>0</v>
      </c>
      <c r="O410" s="16">
        <v>3.9143999999999997</v>
      </c>
      <c r="P410" s="16">
        <v>0</v>
      </c>
      <c r="Q410" s="16">
        <f t="shared" si="140"/>
        <v>25.805999999999997</v>
      </c>
      <c r="R410" s="16">
        <f t="shared" si="141"/>
        <v>0</v>
      </c>
      <c r="S410" s="14">
        <v>0</v>
      </c>
      <c r="T410" s="31" t="s">
        <v>0</v>
      </c>
      <c r="U410" s="9"/>
      <c r="V410" s="12"/>
      <c r="X410" s="10"/>
    </row>
    <row r="411" spans="1:24" s="3" customFormat="1" ht="37.5" customHeight="1" x14ac:dyDescent="0.25">
      <c r="A411" s="43" t="s">
        <v>430</v>
      </c>
      <c r="B411" s="64" t="s">
        <v>447</v>
      </c>
      <c r="C411" s="49" t="s">
        <v>446</v>
      </c>
      <c r="D411" s="16">
        <v>459.83923517120002</v>
      </c>
      <c r="E411" s="18">
        <v>31.61927953</v>
      </c>
      <c r="F411" s="16">
        <f t="shared" si="139"/>
        <v>428.21995564120004</v>
      </c>
      <c r="G411" s="17">
        <v>15.028879999999997</v>
      </c>
      <c r="H411" s="16">
        <f t="shared" si="138"/>
        <v>1.5393204700000001</v>
      </c>
      <c r="I411" s="16">
        <v>0.79112372600000003</v>
      </c>
      <c r="J411" s="16">
        <v>1.5393204700000001</v>
      </c>
      <c r="K411" s="18">
        <v>0</v>
      </c>
      <c r="L411" s="18">
        <v>0</v>
      </c>
      <c r="M411" s="16">
        <v>0</v>
      </c>
      <c r="N411" s="16">
        <v>0</v>
      </c>
      <c r="O411" s="16">
        <v>14.237756273999997</v>
      </c>
      <c r="P411" s="16">
        <v>0</v>
      </c>
      <c r="Q411" s="16">
        <f t="shared" si="140"/>
        <v>426.68063517120004</v>
      </c>
      <c r="R411" s="16">
        <f t="shared" si="141"/>
        <v>0.74819674400000002</v>
      </c>
      <c r="S411" s="14">
        <f>R411/(I411+K411+M411)</f>
        <v>0.94573923068008203</v>
      </c>
      <c r="T411" s="31" t="s">
        <v>195</v>
      </c>
      <c r="U411" s="9"/>
      <c r="V411" s="12"/>
      <c r="X411" s="10"/>
    </row>
    <row r="412" spans="1:24" s="3" customFormat="1" ht="35.25" customHeight="1" x14ac:dyDescent="0.25">
      <c r="A412" s="43" t="s">
        <v>430</v>
      </c>
      <c r="B412" s="64" t="s">
        <v>445</v>
      </c>
      <c r="C412" s="49" t="s">
        <v>444</v>
      </c>
      <c r="D412" s="16">
        <v>89.858599999999996</v>
      </c>
      <c r="E412" s="18">
        <v>0</v>
      </c>
      <c r="F412" s="16">
        <f t="shared" si="139"/>
        <v>89.858599999999996</v>
      </c>
      <c r="G412" s="17">
        <v>2.4</v>
      </c>
      <c r="H412" s="16">
        <f t="shared" si="138"/>
        <v>0</v>
      </c>
      <c r="I412" s="16">
        <v>0</v>
      </c>
      <c r="J412" s="16">
        <v>0</v>
      </c>
      <c r="K412" s="18">
        <v>0</v>
      </c>
      <c r="L412" s="18">
        <v>0</v>
      </c>
      <c r="M412" s="16">
        <v>0</v>
      </c>
      <c r="N412" s="16">
        <v>0</v>
      </c>
      <c r="O412" s="16">
        <v>2.4</v>
      </c>
      <c r="P412" s="16">
        <v>0</v>
      </c>
      <c r="Q412" s="16">
        <f t="shared" si="140"/>
        <v>89.858599999999996</v>
      </c>
      <c r="R412" s="16">
        <f t="shared" si="141"/>
        <v>0</v>
      </c>
      <c r="S412" s="14">
        <v>0</v>
      </c>
      <c r="T412" s="31" t="s">
        <v>0</v>
      </c>
      <c r="U412" s="9"/>
      <c r="V412" s="12"/>
      <c r="X412" s="10"/>
    </row>
    <row r="413" spans="1:24" s="3" customFormat="1" ht="31.5" x14ac:dyDescent="0.25">
      <c r="A413" s="56" t="s">
        <v>430</v>
      </c>
      <c r="B413" s="53" t="s">
        <v>443</v>
      </c>
      <c r="C413" s="47" t="s">
        <v>442</v>
      </c>
      <c r="D413" s="16" t="s">
        <v>0</v>
      </c>
      <c r="E413" s="18" t="s">
        <v>0</v>
      </c>
      <c r="F413" s="16" t="s">
        <v>0</v>
      </c>
      <c r="G413" s="16" t="s">
        <v>0</v>
      </c>
      <c r="H413" s="16">
        <f t="shared" si="138"/>
        <v>1.5703893600000001</v>
      </c>
      <c r="I413" s="16" t="s">
        <v>0</v>
      </c>
      <c r="J413" s="16">
        <v>1.5703893600000001</v>
      </c>
      <c r="K413" s="16" t="s">
        <v>0</v>
      </c>
      <c r="L413" s="16">
        <v>0</v>
      </c>
      <c r="M413" s="16" t="s">
        <v>0</v>
      </c>
      <c r="N413" s="16">
        <v>0</v>
      </c>
      <c r="O413" s="16" t="s">
        <v>0</v>
      </c>
      <c r="P413" s="16">
        <v>0</v>
      </c>
      <c r="Q413" s="16" t="s">
        <v>0</v>
      </c>
      <c r="R413" s="16" t="s">
        <v>0</v>
      </c>
      <c r="S413" s="32" t="s">
        <v>0</v>
      </c>
      <c r="T413" s="88" t="s">
        <v>195</v>
      </c>
      <c r="U413" s="9"/>
      <c r="V413" s="12"/>
      <c r="X413" s="10"/>
    </row>
    <row r="414" spans="1:24" s="3" customFormat="1" ht="31.5" x14ac:dyDescent="0.25">
      <c r="A414" s="43" t="s">
        <v>430</v>
      </c>
      <c r="B414" s="64" t="s">
        <v>441</v>
      </c>
      <c r="C414" s="49" t="s">
        <v>440</v>
      </c>
      <c r="D414" s="16">
        <v>108</v>
      </c>
      <c r="E414" s="18">
        <v>6.6572242699999995</v>
      </c>
      <c r="F414" s="16">
        <f>D414-E414</f>
        <v>101.34277573</v>
      </c>
      <c r="G414" s="17">
        <v>0</v>
      </c>
      <c r="H414" s="16">
        <f t="shared" si="138"/>
        <v>8.8826412099999992</v>
      </c>
      <c r="I414" s="16">
        <v>0</v>
      </c>
      <c r="J414" s="16">
        <v>8.8826412099999992</v>
      </c>
      <c r="K414" s="18">
        <v>0</v>
      </c>
      <c r="L414" s="18">
        <v>0</v>
      </c>
      <c r="M414" s="16">
        <v>0</v>
      </c>
      <c r="N414" s="16">
        <v>0</v>
      </c>
      <c r="O414" s="16">
        <v>0</v>
      </c>
      <c r="P414" s="16">
        <v>0</v>
      </c>
      <c r="Q414" s="16">
        <f>F414-H414</f>
        <v>92.460134519999997</v>
      </c>
      <c r="R414" s="16">
        <f>H414-(I414+K414+M414)</f>
        <v>8.8826412099999992</v>
      </c>
      <c r="S414" s="14">
        <v>1</v>
      </c>
      <c r="T414" s="65" t="s">
        <v>195</v>
      </c>
      <c r="U414" s="9"/>
      <c r="V414" s="12"/>
      <c r="X414" s="10"/>
    </row>
    <row r="415" spans="1:24" s="3" customFormat="1" ht="27" customHeight="1" x14ac:dyDescent="0.25">
      <c r="A415" s="43" t="s">
        <v>430</v>
      </c>
      <c r="B415" s="64" t="s">
        <v>439</v>
      </c>
      <c r="C415" s="49" t="s">
        <v>438</v>
      </c>
      <c r="D415" s="16" t="s">
        <v>0</v>
      </c>
      <c r="E415" s="18" t="s">
        <v>0</v>
      </c>
      <c r="F415" s="16" t="s">
        <v>0</v>
      </c>
      <c r="G415" s="16" t="s">
        <v>0</v>
      </c>
      <c r="H415" s="16">
        <f t="shared" si="138"/>
        <v>1.37615712</v>
      </c>
      <c r="I415" s="16" t="s">
        <v>0</v>
      </c>
      <c r="J415" s="16">
        <v>1.37615712</v>
      </c>
      <c r="K415" s="16" t="s">
        <v>0</v>
      </c>
      <c r="L415" s="16">
        <v>0</v>
      </c>
      <c r="M415" s="16" t="s">
        <v>0</v>
      </c>
      <c r="N415" s="16">
        <v>0</v>
      </c>
      <c r="O415" s="16" t="s">
        <v>0</v>
      </c>
      <c r="P415" s="16">
        <v>0</v>
      </c>
      <c r="Q415" s="16" t="s">
        <v>0</v>
      </c>
      <c r="R415" s="16" t="s">
        <v>0</v>
      </c>
      <c r="S415" s="32" t="s">
        <v>0</v>
      </c>
      <c r="T415" s="22" t="s">
        <v>195</v>
      </c>
      <c r="U415" s="9"/>
      <c r="V415" s="12"/>
      <c r="X415" s="10"/>
    </row>
    <row r="416" spans="1:24" s="3" customFormat="1" x14ac:dyDescent="0.25">
      <c r="A416" s="43" t="s">
        <v>430</v>
      </c>
      <c r="B416" s="64" t="s">
        <v>437</v>
      </c>
      <c r="C416" s="49" t="s">
        <v>436</v>
      </c>
      <c r="D416" s="16">
        <v>18.094799999999999</v>
      </c>
      <c r="E416" s="18">
        <v>0.39997199999999999</v>
      </c>
      <c r="F416" s="16">
        <f>D416-E416</f>
        <v>17.694828000000001</v>
      </c>
      <c r="G416" s="17">
        <v>17.614799999999999</v>
      </c>
      <c r="H416" s="16">
        <f t="shared" si="138"/>
        <v>0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17.614799999999999</v>
      </c>
      <c r="P416" s="16">
        <v>0</v>
      </c>
      <c r="Q416" s="16">
        <f>F416-H416</f>
        <v>17.694828000000001</v>
      </c>
      <c r="R416" s="16">
        <f>H416-(I416+K416+M416)</f>
        <v>0</v>
      </c>
      <c r="S416" s="14">
        <v>0</v>
      </c>
      <c r="T416" s="22" t="s">
        <v>0</v>
      </c>
      <c r="U416" s="9"/>
      <c r="V416" s="12"/>
      <c r="X416" s="10"/>
    </row>
    <row r="417" spans="1:24" s="3" customFormat="1" ht="47.25" x14ac:dyDescent="0.25">
      <c r="A417" s="43" t="s">
        <v>430</v>
      </c>
      <c r="B417" s="64" t="s">
        <v>435</v>
      </c>
      <c r="C417" s="49" t="s">
        <v>434</v>
      </c>
      <c r="D417" s="16">
        <v>94.501327999999987</v>
      </c>
      <c r="E417" s="18">
        <v>0</v>
      </c>
      <c r="F417" s="16">
        <f>D417-E417</f>
        <v>94.501327999999987</v>
      </c>
      <c r="G417" s="17">
        <v>4.1590800000000003</v>
      </c>
      <c r="H417" s="16">
        <f t="shared" si="138"/>
        <v>0</v>
      </c>
      <c r="I417" s="16">
        <v>0</v>
      </c>
      <c r="J417" s="16">
        <v>0</v>
      </c>
      <c r="K417" s="16">
        <v>0</v>
      </c>
      <c r="L417" s="16">
        <v>0</v>
      </c>
      <c r="M417" s="16">
        <v>0</v>
      </c>
      <c r="N417" s="16">
        <v>0</v>
      </c>
      <c r="O417" s="16">
        <v>4.1590800000000003</v>
      </c>
      <c r="P417" s="16">
        <v>0</v>
      </c>
      <c r="Q417" s="16">
        <f>F417-H417</f>
        <v>94.501327999999987</v>
      </c>
      <c r="R417" s="16">
        <f>H417-(I417+K417+M417)</f>
        <v>0</v>
      </c>
      <c r="S417" s="14">
        <v>0</v>
      </c>
      <c r="T417" s="22" t="s">
        <v>0</v>
      </c>
      <c r="U417" s="9"/>
      <c r="V417" s="12"/>
      <c r="X417" s="10"/>
    </row>
    <row r="418" spans="1:24" s="3" customFormat="1" ht="31.5" x14ac:dyDescent="0.25">
      <c r="A418" s="43" t="s">
        <v>430</v>
      </c>
      <c r="B418" s="64" t="s">
        <v>433</v>
      </c>
      <c r="C418" s="49" t="s">
        <v>432</v>
      </c>
      <c r="D418" s="16">
        <v>1.44072</v>
      </c>
      <c r="E418" s="18">
        <v>0</v>
      </c>
      <c r="F418" s="16">
        <f>D418-E418</f>
        <v>1.44072</v>
      </c>
      <c r="G418" s="17">
        <v>1.44072</v>
      </c>
      <c r="H418" s="16">
        <f t="shared" si="138"/>
        <v>0.98639999999999994</v>
      </c>
      <c r="I418" s="16">
        <v>0</v>
      </c>
      <c r="J418" s="16">
        <v>0</v>
      </c>
      <c r="K418" s="16">
        <v>0</v>
      </c>
      <c r="L418" s="16">
        <v>0.98639999999999994</v>
      </c>
      <c r="M418" s="16">
        <v>0</v>
      </c>
      <c r="N418" s="16">
        <v>0</v>
      </c>
      <c r="O418" s="16">
        <v>1.44072</v>
      </c>
      <c r="P418" s="16">
        <v>0</v>
      </c>
      <c r="Q418" s="16">
        <f>F418-H418</f>
        <v>0.45432000000000006</v>
      </c>
      <c r="R418" s="16">
        <f>H418-(I418+K418+M418)</f>
        <v>0.98639999999999994</v>
      </c>
      <c r="S418" s="14">
        <v>1</v>
      </c>
      <c r="T418" s="22" t="s">
        <v>431</v>
      </c>
      <c r="U418" s="9"/>
      <c r="V418" s="12"/>
      <c r="X418" s="10"/>
    </row>
    <row r="419" spans="1:24" s="3" customFormat="1" ht="31.5" x14ac:dyDescent="0.25">
      <c r="A419" s="43" t="s">
        <v>430</v>
      </c>
      <c r="B419" s="64" t="s">
        <v>429</v>
      </c>
      <c r="C419" s="49" t="s">
        <v>428</v>
      </c>
      <c r="D419" s="16">
        <v>4.9789992000000005</v>
      </c>
      <c r="E419" s="18">
        <v>0</v>
      </c>
      <c r="F419" s="16">
        <f>D419-E419</f>
        <v>4.9789992000000005</v>
      </c>
      <c r="G419" s="17">
        <v>4.9789992000000005</v>
      </c>
      <c r="H419" s="16">
        <f t="shared" si="138"/>
        <v>0</v>
      </c>
      <c r="I419" s="16">
        <v>0</v>
      </c>
      <c r="J419" s="16">
        <v>0</v>
      </c>
      <c r="K419" s="16">
        <v>0</v>
      </c>
      <c r="L419" s="16">
        <v>0</v>
      </c>
      <c r="M419" s="16">
        <v>0</v>
      </c>
      <c r="N419" s="16">
        <v>0</v>
      </c>
      <c r="O419" s="16">
        <v>4.9789992000000005</v>
      </c>
      <c r="P419" s="16">
        <v>0</v>
      </c>
      <c r="Q419" s="16">
        <f>F419-H419</f>
        <v>4.9789992000000005</v>
      </c>
      <c r="R419" s="16">
        <f>H419-(I419+K419+M419)</f>
        <v>0</v>
      </c>
      <c r="S419" s="14">
        <v>0</v>
      </c>
      <c r="T419" s="22" t="s">
        <v>0</v>
      </c>
      <c r="U419" s="9"/>
      <c r="V419" s="12"/>
      <c r="X419" s="10"/>
    </row>
    <row r="420" spans="1:24" s="3" customFormat="1" ht="47.25" x14ac:dyDescent="0.25">
      <c r="A420" s="35" t="s">
        <v>427</v>
      </c>
      <c r="B420" s="37" t="s">
        <v>34</v>
      </c>
      <c r="C420" s="33" t="s">
        <v>11</v>
      </c>
      <c r="D420" s="28">
        <f t="shared" ref="D420:R420" si="143">D421</f>
        <v>0</v>
      </c>
      <c r="E420" s="28">
        <f t="shared" si="143"/>
        <v>0</v>
      </c>
      <c r="F420" s="28">
        <f t="shared" si="143"/>
        <v>0</v>
      </c>
      <c r="G420" s="28">
        <f t="shared" si="143"/>
        <v>0</v>
      </c>
      <c r="H420" s="28">
        <f t="shared" si="143"/>
        <v>0</v>
      </c>
      <c r="I420" s="28">
        <f t="shared" si="143"/>
        <v>0</v>
      </c>
      <c r="J420" s="28">
        <f t="shared" si="143"/>
        <v>0</v>
      </c>
      <c r="K420" s="28">
        <f t="shared" si="143"/>
        <v>0</v>
      </c>
      <c r="L420" s="28">
        <f t="shared" si="143"/>
        <v>0</v>
      </c>
      <c r="M420" s="28">
        <f t="shared" si="143"/>
        <v>0</v>
      </c>
      <c r="N420" s="28">
        <f t="shared" si="143"/>
        <v>0</v>
      </c>
      <c r="O420" s="28">
        <f t="shared" si="143"/>
        <v>0</v>
      </c>
      <c r="P420" s="28">
        <f t="shared" si="143"/>
        <v>0</v>
      </c>
      <c r="Q420" s="28">
        <f t="shared" si="143"/>
        <v>0</v>
      </c>
      <c r="R420" s="28">
        <f t="shared" si="143"/>
        <v>0</v>
      </c>
      <c r="S420" s="27">
        <v>0</v>
      </c>
      <c r="T420" s="26" t="s">
        <v>0</v>
      </c>
      <c r="U420" s="9"/>
      <c r="V420" s="12"/>
      <c r="X420" s="10"/>
    </row>
    <row r="421" spans="1:24" s="3" customFormat="1" x14ac:dyDescent="0.25">
      <c r="A421" s="35" t="s">
        <v>426</v>
      </c>
      <c r="B421" s="37" t="s">
        <v>425</v>
      </c>
      <c r="C421" s="33" t="s">
        <v>11</v>
      </c>
      <c r="D421" s="28">
        <f t="shared" ref="D421:R421" si="144">SUM(D422:D423)</f>
        <v>0</v>
      </c>
      <c r="E421" s="28">
        <f t="shared" si="144"/>
        <v>0</v>
      </c>
      <c r="F421" s="28">
        <f t="shared" si="144"/>
        <v>0</v>
      </c>
      <c r="G421" s="28">
        <f t="shared" si="144"/>
        <v>0</v>
      </c>
      <c r="H421" s="28">
        <f t="shared" si="144"/>
        <v>0</v>
      </c>
      <c r="I421" s="28">
        <f t="shared" si="144"/>
        <v>0</v>
      </c>
      <c r="J421" s="28">
        <f t="shared" si="144"/>
        <v>0</v>
      </c>
      <c r="K421" s="28">
        <f t="shared" si="144"/>
        <v>0</v>
      </c>
      <c r="L421" s="28">
        <f t="shared" si="144"/>
        <v>0</v>
      </c>
      <c r="M421" s="28">
        <f t="shared" si="144"/>
        <v>0</v>
      </c>
      <c r="N421" s="28">
        <f t="shared" si="144"/>
        <v>0</v>
      </c>
      <c r="O421" s="28">
        <f t="shared" si="144"/>
        <v>0</v>
      </c>
      <c r="P421" s="28">
        <f t="shared" si="144"/>
        <v>0</v>
      </c>
      <c r="Q421" s="28">
        <f t="shared" si="144"/>
        <v>0</v>
      </c>
      <c r="R421" s="28">
        <f t="shared" si="144"/>
        <v>0</v>
      </c>
      <c r="S421" s="27">
        <v>0</v>
      </c>
      <c r="T421" s="26" t="s">
        <v>0</v>
      </c>
      <c r="U421" s="9"/>
      <c r="V421" s="12"/>
      <c r="X421" s="10"/>
    </row>
    <row r="422" spans="1:24" s="3" customFormat="1" ht="47.25" x14ac:dyDescent="0.25">
      <c r="A422" s="35" t="s">
        <v>424</v>
      </c>
      <c r="B422" s="37" t="s">
        <v>27</v>
      </c>
      <c r="C422" s="33" t="s">
        <v>11</v>
      </c>
      <c r="D422" s="28">
        <v>0</v>
      </c>
      <c r="E422" s="28">
        <v>0</v>
      </c>
      <c r="F422" s="28">
        <v>0</v>
      </c>
      <c r="G422" s="28">
        <v>0</v>
      </c>
      <c r="H422" s="28">
        <v>0</v>
      </c>
      <c r="I422" s="28">
        <v>0</v>
      </c>
      <c r="J422" s="28">
        <v>0</v>
      </c>
      <c r="K422" s="28">
        <v>0</v>
      </c>
      <c r="L422" s="28">
        <v>0</v>
      </c>
      <c r="M422" s="28">
        <v>0</v>
      </c>
      <c r="N422" s="28">
        <v>0</v>
      </c>
      <c r="O422" s="28">
        <v>0</v>
      </c>
      <c r="P422" s="28">
        <v>0</v>
      </c>
      <c r="Q422" s="28">
        <v>0</v>
      </c>
      <c r="R422" s="28">
        <v>0</v>
      </c>
      <c r="S422" s="27">
        <v>0</v>
      </c>
      <c r="T422" s="26" t="s">
        <v>0</v>
      </c>
      <c r="U422" s="9"/>
      <c r="V422" s="12"/>
      <c r="X422" s="10"/>
    </row>
    <row r="423" spans="1:24" s="3" customFormat="1" ht="47.25" x14ac:dyDescent="0.25">
      <c r="A423" s="35" t="s">
        <v>423</v>
      </c>
      <c r="B423" s="37" t="s">
        <v>25</v>
      </c>
      <c r="C423" s="33" t="s">
        <v>11</v>
      </c>
      <c r="D423" s="28">
        <f t="shared" ref="D423:R423" si="145">SUM(D424:D424)</f>
        <v>0</v>
      </c>
      <c r="E423" s="28">
        <f t="shared" si="145"/>
        <v>0</v>
      </c>
      <c r="F423" s="28">
        <f t="shared" si="145"/>
        <v>0</v>
      </c>
      <c r="G423" s="28">
        <f t="shared" si="145"/>
        <v>0</v>
      </c>
      <c r="H423" s="28">
        <f t="shared" si="145"/>
        <v>0</v>
      </c>
      <c r="I423" s="28">
        <f t="shared" si="145"/>
        <v>0</v>
      </c>
      <c r="J423" s="28">
        <f t="shared" si="145"/>
        <v>0</v>
      </c>
      <c r="K423" s="28">
        <f t="shared" si="145"/>
        <v>0</v>
      </c>
      <c r="L423" s="28">
        <f t="shared" si="145"/>
        <v>0</v>
      </c>
      <c r="M423" s="28">
        <f t="shared" si="145"/>
        <v>0</v>
      </c>
      <c r="N423" s="28">
        <f t="shared" si="145"/>
        <v>0</v>
      </c>
      <c r="O423" s="28">
        <f t="shared" si="145"/>
        <v>0</v>
      </c>
      <c r="P423" s="28">
        <f t="shared" si="145"/>
        <v>0</v>
      </c>
      <c r="Q423" s="28">
        <f t="shared" si="145"/>
        <v>0</v>
      </c>
      <c r="R423" s="28">
        <f t="shared" si="145"/>
        <v>0</v>
      </c>
      <c r="S423" s="27">
        <v>0</v>
      </c>
      <c r="T423" s="26" t="s">
        <v>0</v>
      </c>
      <c r="U423" s="9"/>
      <c r="V423" s="12"/>
      <c r="X423" s="10"/>
    </row>
    <row r="424" spans="1:24" s="3" customFormat="1" x14ac:dyDescent="0.25">
      <c r="A424" s="35" t="s">
        <v>422</v>
      </c>
      <c r="B424" s="37" t="s">
        <v>29</v>
      </c>
      <c r="C424" s="33" t="s">
        <v>11</v>
      </c>
      <c r="D424" s="28">
        <v>0</v>
      </c>
      <c r="E424" s="28">
        <v>0</v>
      </c>
      <c r="F424" s="28">
        <v>0</v>
      </c>
      <c r="G424" s="28">
        <v>0</v>
      </c>
      <c r="H424" s="28">
        <v>0</v>
      </c>
      <c r="I424" s="28">
        <v>0</v>
      </c>
      <c r="J424" s="28">
        <v>0</v>
      </c>
      <c r="K424" s="28">
        <v>0</v>
      </c>
      <c r="L424" s="28">
        <v>0</v>
      </c>
      <c r="M424" s="28">
        <v>0</v>
      </c>
      <c r="N424" s="28">
        <v>0</v>
      </c>
      <c r="O424" s="28">
        <v>0</v>
      </c>
      <c r="P424" s="28">
        <v>0</v>
      </c>
      <c r="Q424" s="28">
        <v>0</v>
      </c>
      <c r="R424" s="28">
        <v>0</v>
      </c>
      <c r="S424" s="27">
        <v>0</v>
      </c>
      <c r="T424" s="26" t="s">
        <v>0</v>
      </c>
      <c r="U424" s="9"/>
      <c r="V424" s="12"/>
      <c r="X424" s="10"/>
    </row>
    <row r="425" spans="1:24" s="3" customFormat="1" ht="47.25" x14ac:dyDescent="0.25">
      <c r="A425" s="35" t="s">
        <v>421</v>
      </c>
      <c r="B425" s="37" t="s">
        <v>27</v>
      </c>
      <c r="C425" s="33" t="s">
        <v>11</v>
      </c>
      <c r="D425" s="28">
        <v>0</v>
      </c>
      <c r="E425" s="28">
        <v>0</v>
      </c>
      <c r="F425" s="28">
        <v>0</v>
      </c>
      <c r="G425" s="28">
        <v>0</v>
      </c>
      <c r="H425" s="28">
        <v>0</v>
      </c>
      <c r="I425" s="28">
        <v>0</v>
      </c>
      <c r="J425" s="28">
        <v>0</v>
      </c>
      <c r="K425" s="28">
        <v>0</v>
      </c>
      <c r="L425" s="28">
        <v>0</v>
      </c>
      <c r="M425" s="28">
        <v>0</v>
      </c>
      <c r="N425" s="28">
        <v>0</v>
      </c>
      <c r="O425" s="28">
        <v>0</v>
      </c>
      <c r="P425" s="28">
        <v>0</v>
      </c>
      <c r="Q425" s="28">
        <v>0</v>
      </c>
      <c r="R425" s="28">
        <v>0</v>
      </c>
      <c r="S425" s="27">
        <v>0</v>
      </c>
      <c r="T425" s="26" t="s">
        <v>0</v>
      </c>
      <c r="U425" s="9"/>
      <c r="V425" s="12"/>
      <c r="X425" s="10"/>
    </row>
    <row r="426" spans="1:24" s="3" customFormat="1" ht="47.25" x14ac:dyDescent="0.25">
      <c r="A426" s="35" t="s">
        <v>420</v>
      </c>
      <c r="B426" s="37" t="s">
        <v>25</v>
      </c>
      <c r="C426" s="33" t="s">
        <v>11</v>
      </c>
      <c r="D426" s="28">
        <v>0</v>
      </c>
      <c r="E426" s="28">
        <v>0</v>
      </c>
      <c r="F426" s="28">
        <v>0</v>
      </c>
      <c r="G426" s="28">
        <v>0</v>
      </c>
      <c r="H426" s="28">
        <v>0</v>
      </c>
      <c r="I426" s="28">
        <v>0</v>
      </c>
      <c r="J426" s="28">
        <v>0</v>
      </c>
      <c r="K426" s="28">
        <v>0</v>
      </c>
      <c r="L426" s="28">
        <v>0</v>
      </c>
      <c r="M426" s="28">
        <v>0</v>
      </c>
      <c r="N426" s="28">
        <v>0</v>
      </c>
      <c r="O426" s="28">
        <v>0</v>
      </c>
      <c r="P426" s="28">
        <v>0</v>
      </c>
      <c r="Q426" s="28">
        <v>0</v>
      </c>
      <c r="R426" s="28">
        <v>0</v>
      </c>
      <c r="S426" s="27">
        <v>0</v>
      </c>
      <c r="T426" s="26" t="s">
        <v>0</v>
      </c>
      <c r="U426" s="9"/>
      <c r="V426" s="12"/>
      <c r="X426" s="10"/>
    </row>
    <row r="427" spans="1:24" s="3" customFormat="1" x14ac:dyDescent="0.25">
      <c r="A427" s="35" t="s">
        <v>419</v>
      </c>
      <c r="B427" s="34" t="s">
        <v>23</v>
      </c>
      <c r="C427" s="33" t="s">
        <v>11</v>
      </c>
      <c r="D427" s="28">
        <f t="shared" ref="D427:R427" si="146">SUM(D429:D431,D428)</f>
        <v>2432.7583046509999</v>
      </c>
      <c r="E427" s="28">
        <f t="shared" si="146"/>
        <v>1762.8330807100001</v>
      </c>
      <c r="F427" s="28">
        <f t="shared" si="146"/>
        <v>669.92522394099979</v>
      </c>
      <c r="G427" s="28">
        <f t="shared" si="146"/>
        <v>152.49850368</v>
      </c>
      <c r="H427" s="28">
        <f t="shared" si="146"/>
        <v>25.133242389999996</v>
      </c>
      <c r="I427" s="28">
        <f t="shared" si="146"/>
        <v>3.9277047700000001</v>
      </c>
      <c r="J427" s="28">
        <f t="shared" si="146"/>
        <v>16.142900429999997</v>
      </c>
      <c r="K427" s="28">
        <f t="shared" si="146"/>
        <v>5.8517391200000004</v>
      </c>
      <c r="L427" s="28">
        <f t="shared" si="146"/>
        <v>3.7406796899999999</v>
      </c>
      <c r="M427" s="28">
        <f t="shared" si="146"/>
        <v>18.407270229999998</v>
      </c>
      <c r="N427" s="28">
        <f t="shared" si="146"/>
        <v>5.24966227</v>
      </c>
      <c r="O427" s="28">
        <f t="shared" si="146"/>
        <v>124.31178955999998</v>
      </c>
      <c r="P427" s="28">
        <f t="shared" si="146"/>
        <v>0</v>
      </c>
      <c r="Q427" s="28">
        <f t="shared" si="146"/>
        <v>644.79198155099971</v>
      </c>
      <c r="R427" s="28">
        <f t="shared" si="146"/>
        <v>-3.0534717300000027</v>
      </c>
      <c r="S427" s="27">
        <f>R427/(I427+K427+M427)</f>
        <v>-0.10833017701177873</v>
      </c>
      <c r="T427" s="26" t="s">
        <v>0</v>
      </c>
      <c r="U427" s="9"/>
      <c r="V427" s="12"/>
      <c r="X427" s="10"/>
    </row>
    <row r="428" spans="1:24" s="3" customFormat="1" ht="31.5" x14ac:dyDescent="0.25">
      <c r="A428" s="35" t="s">
        <v>418</v>
      </c>
      <c r="B428" s="34" t="s">
        <v>21</v>
      </c>
      <c r="C428" s="33" t="s">
        <v>11</v>
      </c>
      <c r="D428" s="28">
        <v>0</v>
      </c>
      <c r="E428" s="28">
        <v>0</v>
      </c>
      <c r="F428" s="28">
        <v>0</v>
      </c>
      <c r="G428" s="28">
        <v>0</v>
      </c>
      <c r="H428" s="28">
        <v>0</v>
      </c>
      <c r="I428" s="28">
        <v>0</v>
      </c>
      <c r="J428" s="28">
        <v>0</v>
      </c>
      <c r="K428" s="28">
        <v>0</v>
      </c>
      <c r="L428" s="28">
        <v>0</v>
      </c>
      <c r="M428" s="28">
        <v>0</v>
      </c>
      <c r="N428" s="28">
        <v>0</v>
      </c>
      <c r="O428" s="28">
        <v>0</v>
      </c>
      <c r="P428" s="28">
        <v>0</v>
      </c>
      <c r="Q428" s="28">
        <v>0</v>
      </c>
      <c r="R428" s="28">
        <v>0</v>
      </c>
      <c r="S428" s="27">
        <v>0</v>
      </c>
      <c r="T428" s="26" t="s">
        <v>0</v>
      </c>
      <c r="U428" s="9"/>
      <c r="V428" s="12"/>
      <c r="X428" s="10"/>
    </row>
    <row r="429" spans="1:24" s="3" customFormat="1" x14ac:dyDescent="0.25">
      <c r="A429" s="35" t="s">
        <v>417</v>
      </c>
      <c r="B429" s="34" t="s">
        <v>19</v>
      </c>
      <c r="C429" s="33" t="s">
        <v>11</v>
      </c>
      <c r="D429" s="28">
        <v>0</v>
      </c>
      <c r="E429" s="28">
        <v>0</v>
      </c>
      <c r="F429" s="28">
        <v>0</v>
      </c>
      <c r="G429" s="28">
        <v>0</v>
      </c>
      <c r="H429" s="76">
        <v>0</v>
      </c>
      <c r="I429" s="28">
        <v>0</v>
      </c>
      <c r="J429" s="28">
        <v>0</v>
      </c>
      <c r="K429" s="28">
        <v>0</v>
      </c>
      <c r="L429" s="28">
        <v>0</v>
      </c>
      <c r="M429" s="28">
        <v>0</v>
      </c>
      <c r="N429" s="28">
        <v>0</v>
      </c>
      <c r="O429" s="28">
        <v>0</v>
      </c>
      <c r="P429" s="28">
        <v>0</v>
      </c>
      <c r="Q429" s="28">
        <v>0</v>
      </c>
      <c r="R429" s="28">
        <v>0</v>
      </c>
      <c r="S429" s="27">
        <v>0</v>
      </c>
      <c r="T429" s="26" t="s">
        <v>0</v>
      </c>
      <c r="U429" s="9"/>
      <c r="V429" s="12"/>
      <c r="X429" s="10"/>
    </row>
    <row r="430" spans="1:24" s="3" customFormat="1" x14ac:dyDescent="0.25">
      <c r="A430" s="35" t="s">
        <v>416</v>
      </c>
      <c r="B430" s="34" t="s">
        <v>17</v>
      </c>
      <c r="C430" s="33" t="s">
        <v>11</v>
      </c>
      <c r="D430" s="28">
        <v>0</v>
      </c>
      <c r="E430" s="28">
        <v>0</v>
      </c>
      <c r="F430" s="28">
        <v>0</v>
      </c>
      <c r="G430" s="28">
        <v>0</v>
      </c>
      <c r="H430" s="76">
        <v>0</v>
      </c>
      <c r="I430" s="28">
        <v>0</v>
      </c>
      <c r="J430" s="28">
        <v>0</v>
      </c>
      <c r="K430" s="28">
        <v>0</v>
      </c>
      <c r="L430" s="28">
        <v>0</v>
      </c>
      <c r="M430" s="28">
        <v>0</v>
      </c>
      <c r="N430" s="28">
        <v>0</v>
      </c>
      <c r="O430" s="28">
        <v>0</v>
      </c>
      <c r="P430" s="28">
        <v>0</v>
      </c>
      <c r="Q430" s="28">
        <v>0</v>
      </c>
      <c r="R430" s="28">
        <v>0</v>
      </c>
      <c r="S430" s="27">
        <v>0</v>
      </c>
      <c r="T430" s="26" t="s">
        <v>0</v>
      </c>
      <c r="U430" s="9"/>
      <c r="V430" s="12"/>
      <c r="X430" s="10"/>
    </row>
    <row r="431" spans="1:24" s="3" customFormat="1" x14ac:dyDescent="0.25">
      <c r="A431" s="35" t="s">
        <v>412</v>
      </c>
      <c r="B431" s="34" t="s">
        <v>15</v>
      </c>
      <c r="C431" s="33" t="s">
        <v>11</v>
      </c>
      <c r="D431" s="28">
        <f t="shared" ref="D431:R431" si="147">SUM(D432:D433)</f>
        <v>2432.7583046509999</v>
      </c>
      <c r="E431" s="28">
        <f t="shared" si="147"/>
        <v>1762.8330807100001</v>
      </c>
      <c r="F431" s="28">
        <f t="shared" si="147"/>
        <v>669.92522394099979</v>
      </c>
      <c r="G431" s="28">
        <f t="shared" si="147"/>
        <v>152.49850368</v>
      </c>
      <c r="H431" s="76">
        <f t="shared" si="147"/>
        <v>25.133242389999996</v>
      </c>
      <c r="I431" s="28">
        <f t="shared" si="147"/>
        <v>3.9277047700000001</v>
      </c>
      <c r="J431" s="28">
        <f t="shared" si="147"/>
        <v>16.142900429999997</v>
      </c>
      <c r="K431" s="28">
        <f t="shared" si="147"/>
        <v>5.8517391200000004</v>
      </c>
      <c r="L431" s="28">
        <f t="shared" si="147"/>
        <v>3.7406796899999999</v>
      </c>
      <c r="M431" s="28">
        <f t="shared" si="147"/>
        <v>18.407270229999998</v>
      </c>
      <c r="N431" s="28">
        <f t="shared" si="147"/>
        <v>5.24966227</v>
      </c>
      <c r="O431" s="28">
        <f t="shared" si="147"/>
        <v>124.31178955999998</v>
      </c>
      <c r="P431" s="28">
        <f t="shared" si="147"/>
        <v>0</v>
      </c>
      <c r="Q431" s="28">
        <f t="shared" si="147"/>
        <v>644.79198155099971</v>
      </c>
      <c r="R431" s="28">
        <f t="shared" si="147"/>
        <v>-3.0534717300000027</v>
      </c>
      <c r="S431" s="27">
        <f>R431/(I431+K431+M431)</f>
        <v>-0.10833017701177873</v>
      </c>
      <c r="T431" s="60" t="s">
        <v>0</v>
      </c>
      <c r="U431" s="9"/>
      <c r="V431" s="12"/>
      <c r="X431" s="10"/>
    </row>
    <row r="432" spans="1:24" s="3" customFormat="1" ht="47.25" x14ac:dyDescent="0.25">
      <c r="A432" s="43" t="s">
        <v>412</v>
      </c>
      <c r="B432" s="48" t="s">
        <v>415</v>
      </c>
      <c r="C432" s="47" t="s">
        <v>414</v>
      </c>
      <c r="D432" s="16">
        <v>1901.1876326429999</v>
      </c>
      <c r="E432" s="18">
        <v>1430.4213357800002</v>
      </c>
      <c r="F432" s="16">
        <f>D432-E432</f>
        <v>470.76629686299975</v>
      </c>
      <c r="G432" s="17">
        <v>45.416911889999994</v>
      </c>
      <c r="H432" s="16">
        <f>J432+L432+N432+P432</f>
        <v>25.130330639999997</v>
      </c>
      <c r="I432" s="16">
        <v>3.0751808199999999</v>
      </c>
      <c r="J432" s="16">
        <v>16.139988679999998</v>
      </c>
      <c r="K432" s="18">
        <v>5.8517391200000004</v>
      </c>
      <c r="L432" s="18">
        <v>3.7406796899999999</v>
      </c>
      <c r="M432" s="16">
        <v>18.407270229999998</v>
      </c>
      <c r="N432" s="16">
        <f>5249.66227/1000</f>
        <v>5.24966227</v>
      </c>
      <c r="O432" s="16">
        <v>18.082721719999999</v>
      </c>
      <c r="P432" s="16">
        <v>0</v>
      </c>
      <c r="Q432" s="16">
        <f>F432-H432</f>
        <v>445.63596622299974</v>
      </c>
      <c r="R432" s="16">
        <f>H432-(I432+K432+M432)</f>
        <v>-2.2038595300000026</v>
      </c>
      <c r="S432" s="14">
        <f>R432/(I432+K432+M432)</f>
        <v>-8.0626479741799595E-2</v>
      </c>
      <c r="T432" s="61" t="s">
        <v>413</v>
      </c>
      <c r="U432" s="9"/>
      <c r="V432" s="12"/>
      <c r="X432" s="10"/>
    </row>
    <row r="433" spans="1:24" s="3" customFormat="1" ht="63" x14ac:dyDescent="0.25">
      <c r="A433" s="43" t="s">
        <v>412</v>
      </c>
      <c r="B433" s="48" t="s">
        <v>411</v>
      </c>
      <c r="C433" s="47" t="s">
        <v>410</v>
      </c>
      <c r="D433" s="16">
        <v>531.57067200799997</v>
      </c>
      <c r="E433" s="18">
        <v>332.41174493</v>
      </c>
      <c r="F433" s="16">
        <f>D433-E433</f>
        <v>199.15892707799998</v>
      </c>
      <c r="G433" s="17">
        <v>107.08159178999999</v>
      </c>
      <c r="H433" s="16">
        <f>J433+L433+N433+P433</f>
        <v>2.9117499999999998E-3</v>
      </c>
      <c r="I433" s="16">
        <v>0.85252395000000003</v>
      </c>
      <c r="J433" s="16">
        <v>2.9117499999999998E-3</v>
      </c>
      <c r="K433" s="18">
        <v>0</v>
      </c>
      <c r="L433" s="18">
        <v>0</v>
      </c>
      <c r="M433" s="16">
        <v>0</v>
      </c>
      <c r="N433" s="16">
        <v>0</v>
      </c>
      <c r="O433" s="16">
        <v>106.22906783999998</v>
      </c>
      <c r="P433" s="16">
        <v>0</v>
      </c>
      <c r="Q433" s="16">
        <f>F433-H433</f>
        <v>199.15601532799997</v>
      </c>
      <c r="R433" s="16">
        <f>H433-(I433+K433+M433)</f>
        <v>-0.84961220000000004</v>
      </c>
      <c r="S433" s="14">
        <f>R433/(I433+K433+M433)</f>
        <v>-0.99658455343102093</v>
      </c>
      <c r="T433" s="22" t="s">
        <v>409</v>
      </c>
      <c r="U433" s="9"/>
      <c r="V433" s="12"/>
      <c r="X433" s="10"/>
    </row>
    <row r="434" spans="1:24" s="3" customFormat="1" ht="31.5" x14ac:dyDescent="0.25">
      <c r="A434" s="59" t="s">
        <v>408</v>
      </c>
      <c r="B434" s="37" t="s">
        <v>13</v>
      </c>
      <c r="C434" s="33" t="s">
        <v>11</v>
      </c>
      <c r="D434" s="28">
        <v>0</v>
      </c>
      <c r="E434" s="28">
        <v>0</v>
      </c>
      <c r="F434" s="28">
        <v>0</v>
      </c>
      <c r="G434" s="28">
        <v>0</v>
      </c>
      <c r="H434" s="76">
        <v>0</v>
      </c>
      <c r="I434" s="28">
        <v>0</v>
      </c>
      <c r="J434" s="28">
        <v>0</v>
      </c>
      <c r="K434" s="28">
        <v>0</v>
      </c>
      <c r="L434" s="28">
        <v>0</v>
      </c>
      <c r="M434" s="28">
        <v>0</v>
      </c>
      <c r="N434" s="28">
        <v>0</v>
      </c>
      <c r="O434" s="28">
        <v>0</v>
      </c>
      <c r="P434" s="28">
        <v>0</v>
      </c>
      <c r="Q434" s="28">
        <v>0</v>
      </c>
      <c r="R434" s="28">
        <v>0</v>
      </c>
      <c r="S434" s="27">
        <v>0</v>
      </c>
      <c r="T434" s="26" t="s">
        <v>0</v>
      </c>
      <c r="U434" s="9"/>
      <c r="V434" s="12"/>
      <c r="X434" s="10"/>
    </row>
    <row r="435" spans="1:24" s="3" customFormat="1" ht="33" customHeight="1" x14ac:dyDescent="0.25">
      <c r="A435" s="35" t="s">
        <v>252</v>
      </c>
      <c r="B435" s="37" t="s">
        <v>12</v>
      </c>
      <c r="C435" s="33" t="s">
        <v>11</v>
      </c>
      <c r="D435" s="28">
        <f t="shared" ref="D435:R435" si="148">SUM(D436:D508)</f>
        <v>916.45869233071198</v>
      </c>
      <c r="E435" s="28">
        <f t="shared" si="148"/>
        <v>230.93795273000001</v>
      </c>
      <c r="F435" s="28">
        <f t="shared" si="148"/>
        <v>685.52073960071198</v>
      </c>
      <c r="G435" s="28">
        <f t="shared" si="148"/>
        <v>338.75945452098239</v>
      </c>
      <c r="H435" s="28">
        <f t="shared" si="148"/>
        <v>161.9676355900001</v>
      </c>
      <c r="I435" s="28">
        <f t="shared" si="148"/>
        <v>11.214142152799999</v>
      </c>
      <c r="J435" s="28">
        <f t="shared" si="148"/>
        <v>5.2953E-2</v>
      </c>
      <c r="K435" s="28">
        <f t="shared" si="148"/>
        <v>61.851644363200002</v>
      </c>
      <c r="L435" s="28">
        <f t="shared" si="148"/>
        <v>39.55447277999999</v>
      </c>
      <c r="M435" s="28">
        <f t="shared" si="148"/>
        <v>52.97584291006001</v>
      </c>
      <c r="N435" s="28">
        <f t="shared" si="148"/>
        <v>122.36020980999999</v>
      </c>
      <c r="O435" s="28">
        <f t="shared" si="148"/>
        <v>212.71782509491999</v>
      </c>
      <c r="P435" s="28">
        <f t="shared" si="148"/>
        <v>0</v>
      </c>
      <c r="Q435" s="28">
        <f t="shared" si="148"/>
        <v>523.55310401071222</v>
      </c>
      <c r="R435" s="28">
        <f t="shared" si="148"/>
        <v>35.926006163940009</v>
      </c>
      <c r="S435" s="27">
        <f>R435/(I435+K435+M435)</f>
        <v>0.28503286039328246</v>
      </c>
      <c r="T435" s="60" t="s">
        <v>0</v>
      </c>
      <c r="U435" s="9"/>
      <c r="V435" s="12"/>
      <c r="X435" s="10"/>
    </row>
    <row r="436" spans="1:24" s="3" customFormat="1" ht="267.75" x14ac:dyDescent="0.25">
      <c r="A436" s="43" t="s">
        <v>252</v>
      </c>
      <c r="B436" s="48" t="s">
        <v>407</v>
      </c>
      <c r="C436" s="49" t="s">
        <v>406</v>
      </c>
      <c r="D436" s="16">
        <v>118.555365708</v>
      </c>
      <c r="E436" s="18">
        <v>58.21680825</v>
      </c>
      <c r="F436" s="16">
        <f t="shared" ref="F436:F469" si="149">D436-E436</f>
        <v>60.338557457999997</v>
      </c>
      <c r="G436" s="17">
        <v>33.949027808000004</v>
      </c>
      <c r="H436" s="16">
        <f t="shared" ref="H436:H467" si="150">J436+L436+N436+P436</f>
        <v>36.668552069999997</v>
      </c>
      <c r="I436" s="16">
        <v>10.070136312799999</v>
      </c>
      <c r="J436" s="16">
        <v>0</v>
      </c>
      <c r="K436" s="16">
        <v>23.878891495200001</v>
      </c>
      <c r="L436" s="16">
        <v>0</v>
      </c>
      <c r="M436" s="16">
        <v>0</v>
      </c>
      <c r="N436" s="16">
        <f>36668.55207/1000</f>
        <v>36.668552069999997</v>
      </c>
      <c r="O436" s="16">
        <v>0</v>
      </c>
      <c r="P436" s="16">
        <v>0</v>
      </c>
      <c r="Q436" s="16">
        <f t="shared" ref="Q436:Q469" si="151">F436-H436</f>
        <v>23.670005388</v>
      </c>
      <c r="R436" s="16">
        <f t="shared" ref="R436:R469" si="152">H436-(I436+K436+M436)</f>
        <v>2.7195242620000002</v>
      </c>
      <c r="S436" s="14">
        <f>R436/(I436+K436+M436)</f>
        <v>8.0106101340526509E-2</v>
      </c>
      <c r="T436" s="13" t="s">
        <v>405</v>
      </c>
      <c r="U436" s="9"/>
      <c r="V436" s="12"/>
      <c r="X436" s="10"/>
    </row>
    <row r="437" spans="1:24" s="3" customFormat="1" ht="110.25" x14ac:dyDescent="0.25">
      <c r="A437" s="43" t="s">
        <v>252</v>
      </c>
      <c r="B437" s="48" t="s">
        <v>404</v>
      </c>
      <c r="C437" s="63" t="s">
        <v>403</v>
      </c>
      <c r="D437" s="16">
        <v>337.998861288</v>
      </c>
      <c r="E437" s="18">
        <v>122.48416207999999</v>
      </c>
      <c r="F437" s="16">
        <f t="shared" si="149"/>
        <v>215.51469920800002</v>
      </c>
      <c r="G437" s="17">
        <v>39.116758707999914</v>
      </c>
      <c r="H437" s="16">
        <f t="shared" si="150"/>
        <v>30.34509748</v>
      </c>
      <c r="I437" s="16">
        <v>1.1440058399999999</v>
      </c>
      <c r="J437" s="16">
        <v>0</v>
      </c>
      <c r="K437" s="18">
        <v>37.972752868000001</v>
      </c>
      <c r="L437" s="18">
        <v>30.32349348</v>
      </c>
      <c r="M437" s="16">
        <v>0</v>
      </c>
      <c r="N437" s="16">
        <f>21.604/1000</f>
        <v>2.1603999999999998E-2</v>
      </c>
      <c r="O437" s="16">
        <v>0</v>
      </c>
      <c r="P437" s="16">
        <v>0</v>
      </c>
      <c r="Q437" s="16">
        <f t="shared" si="151"/>
        <v>185.16960172800003</v>
      </c>
      <c r="R437" s="16">
        <f t="shared" si="152"/>
        <v>-8.7716612279999993</v>
      </c>
      <c r="S437" s="14">
        <f>R437/(I437+K437+M437)</f>
        <v>-0.22424304870142667</v>
      </c>
      <c r="T437" s="19" t="s">
        <v>402</v>
      </c>
      <c r="U437" s="9"/>
      <c r="V437" s="12"/>
      <c r="X437" s="10"/>
    </row>
    <row r="438" spans="1:24" s="3" customFormat="1" ht="42.75" customHeight="1" x14ac:dyDescent="0.25">
      <c r="A438" s="43" t="s">
        <v>252</v>
      </c>
      <c r="B438" s="48" t="s">
        <v>401</v>
      </c>
      <c r="C438" s="47" t="s">
        <v>400</v>
      </c>
      <c r="D438" s="16">
        <v>8.4</v>
      </c>
      <c r="E438" s="18">
        <v>0</v>
      </c>
      <c r="F438" s="16">
        <f t="shared" si="149"/>
        <v>8.4</v>
      </c>
      <c r="G438" s="17">
        <v>8.4</v>
      </c>
      <c r="H438" s="16">
        <f t="shared" si="150"/>
        <v>8.4</v>
      </c>
      <c r="I438" s="16">
        <v>0</v>
      </c>
      <c r="J438" s="16">
        <v>0</v>
      </c>
      <c r="K438" s="18">
        <v>0</v>
      </c>
      <c r="L438" s="18">
        <v>0</v>
      </c>
      <c r="M438" s="16">
        <v>0</v>
      </c>
      <c r="N438" s="16">
        <v>8.4</v>
      </c>
      <c r="O438" s="16">
        <v>8.4</v>
      </c>
      <c r="P438" s="16">
        <v>0</v>
      </c>
      <c r="Q438" s="16">
        <f t="shared" si="151"/>
        <v>0</v>
      </c>
      <c r="R438" s="16">
        <f t="shared" si="152"/>
        <v>8.4</v>
      </c>
      <c r="S438" s="14">
        <v>1</v>
      </c>
      <c r="T438" s="19" t="s">
        <v>2</v>
      </c>
      <c r="U438" s="9"/>
      <c r="V438" s="12"/>
      <c r="X438" s="10"/>
    </row>
    <row r="439" spans="1:24" s="3" customFormat="1" ht="31.5" x14ac:dyDescent="0.25">
      <c r="A439" s="43" t="s">
        <v>252</v>
      </c>
      <c r="B439" s="48" t="s">
        <v>399</v>
      </c>
      <c r="C439" s="47" t="s">
        <v>398</v>
      </c>
      <c r="D439" s="16">
        <v>158.4</v>
      </c>
      <c r="E439" s="18">
        <v>47.744999999999997</v>
      </c>
      <c r="F439" s="16">
        <f t="shared" si="149"/>
        <v>110.655</v>
      </c>
      <c r="G439" s="17">
        <v>55.2</v>
      </c>
      <c r="H439" s="16">
        <f t="shared" si="150"/>
        <v>55.05</v>
      </c>
      <c r="I439" s="16">
        <v>0</v>
      </c>
      <c r="J439" s="16">
        <v>0</v>
      </c>
      <c r="K439" s="18">
        <v>0</v>
      </c>
      <c r="L439" s="18">
        <v>0</v>
      </c>
      <c r="M439" s="16">
        <v>0</v>
      </c>
      <c r="N439" s="16">
        <v>55.05</v>
      </c>
      <c r="O439" s="16">
        <v>55.2</v>
      </c>
      <c r="P439" s="16">
        <v>0</v>
      </c>
      <c r="Q439" s="16">
        <f t="shared" si="151"/>
        <v>55.605000000000004</v>
      </c>
      <c r="R439" s="16">
        <f t="shared" si="152"/>
        <v>55.05</v>
      </c>
      <c r="S439" s="14">
        <v>1</v>
      </c>
      <c r="T439" s="19" t="s">
        <v>2</v>
      </c>
      <c r="U439" s="9"/>
      <c r="V439" s="12"/>
      <c r="X439" s="10"/>
    </row>
    <row r="440" spans="1:24" s="3" customFormat="1" ht="31.5" x14ac:dyDescent="0.25">
      <c r="A440" s="43" t="s">
        <v>252</v>
      </c>
      <c r="B440" s="48" t="s">
        <v>397</v>
      </c>
      <c r="C440" s="47" t="s">
        <v>396</v>
      </c>
      <c r="D440" s="16">
        <v>35.686799999999998</v>
      </c>
      <c r="E440" s="18">
        <v>0</v>
      </c>
      <c r="F440" s="16">
        <f t="shared" si="149"/>
        <v>35.686799999999998</v>
      </c>
      <c r="G440" s="17">
        <v>35.686799999999998</v>
      </c>
      <c r="H440" s="16">
        <f t="shared" si="150"/>
        <v>0</v>
      </c>
      <c r="I440" s="16">
        <v>0</v>
      </c>
      <c r="J440" s="16">
        <v>0</v>
      </c>
      <c r="K440" s="16">
        <v>0</v>
      </c>
      <c r="L440" s="18">
        <v>0</v>
      </c>
      <c r="M440" s="16">
        <v>0</v>
      </c>
      <c r="N440" s="16">
        <v>0</v>
      </c>
      <c r="O440" s="16">
        <v>35.686800000000005</v>
      </c>
      <c r="P440" s="16">
        <v>0</v>
      </c>
      <c r="Q440" s="16">
        <f t="shared" si="151"/>
        <v>35.686799999999998</v>
      </c>
      <c r="R440" s="16">
        <f t="shared" si="152"/>
        <v>0</v>
      </c>
      <c r="S440" s="14">
        <v>0</v>
      </c>
      <c r="T440" s="61" t="s">
        <v>0</v>
      </c>
      <c r="U440" s="9"/>
      <c r="V440" s="12"/>
      <c r="X440" s="10"/>
    </row>
    <row r="441" spans="1:24" s="3" customFormat="1" ht="31.5" x14ac:dyDescent="0.25">
      <c r="A441" s="43" t="s">
        <v>252</v>
      </c>
      <c r="B441" s="48" t="s">
        <v>395</v>
      </c>
      <c r="C441" s="47" t="s">
        <v>394</v>
      </c>
      <c r="D441" s="16">
        <v>0.93725099999999995</v>
      </c>
      <c r="E441" s="18">
        <v>0</v>
      </c>
      <c r="F441" s="16">
        <f t="shared" si="149"/>
        <v>0.93725099999999995</v>
      </c>
      <c r="G441" s="17">
        <v>0.93725099999999995</v>
      </c>
      <c r="H441" s="16">
        <f t="shared" si="150"/>
        <v>0.93600000000000005</v>
      </c>
      <c r="I441" s="16">
        <v>0</v>
      </c>
      <c r="J441" s="16">
        <v>0</v>
      </c>
      <c r="K441" s="16">
        <v>0</v>
      </c>
      <c r="L441" s="18">
        <v>0</v>
      </c>
      <c r="M441" s="16">
        <v>0</v>
      </c>
      <c r="N441" s="16">
        <v>0.93600000000000005</v>
      </c>
      <c r="O441" s="16">
        <v>0.93725099999999995</v>
      </c>
      <c r="P441" s="16">
        <v>0</v>
      </c>
      <c r="Q441" s="16">
        <f t="shared" si="151"/>
        <v>1.2509999999998911E-3</v>
      </c>
      <c r="R441" s="16">
        <f t="shared" si="152"/>
        <v>0.93600000000000005</v>
      </c>
      <c r="S441" s="14">
        <v>1</v>
      </c>
      <c r="T441" s="19" t="s">
        <v>2</v>
      </c>
      <c r="U441" s="9"/>
      <c r="V441" s="12"/>
      <c r="X441" s="10"/>
    </row>
    <row r="442" spans="1:24" s="3" customFormat="1" ht="31.5" x14ac:dyDescent="0.25">
      <c r="A442" s="43" t="s">
        <v>252</v>
      </c>
      <c r="B442" s="48" t="s">
        <v>393</v>
      </c>
      <c r="C442" s="47" t="s">
        <v>392</v>
      </c>
      <c r="D442" s="16">
        <v>0.67087439999999998</v>
      </c>
      <c r="E442" s="18">
        <v>0</v>
      </c>
      <c r="F442" s="16">
        <f t="shared" si="149"/>
        <v>0.67087439999999998</v>
      </c>
      <c r="G442" s="17">
        <v>0.67087439999999998</v>
      </c>
      <c r="H442" s="16">
        <f t="shared" si="150"/>
        <v>0</v>
      </c>
      <c r="I442" s="16">
        <v>0</v>
      </c>
      <c r="J442" s="16">
        <v>0</v>
      </c>
      <c r="K442" s="16">
        <v>0</v>
      </c>
      <c r="L442" s="18">
        <v>0</v>
      </c>
      <c r="M442" s="16">
        <v>0.67087439999999998</v>
      </c>
      <c r="N442" s="16">
        <v>0</v>
      </c>
      <c r="O442" s="16">
        <v>0</v>
      </c>
      <c r="P442" s="16">
        <v>0</v>
      </c>
      <c r="Q442" s="16">
        <f t="shared" si="151"/>
        <v>0.67087439999999998</v>
      </c>
      <c r="R442" s="16">
        <f t="shared" si="152"/>
        <v>-0.67087439999999998</v>
      </c>
      <c r="S442" s="14">
        <f t="shared" ref="S442:S450" si="153">R442/(I442+K442+M442)</f>
        <v>-1</v>
      </c>
      <c r="T442" s="22" t="s">
        <v>260</v>
      </c>
      <c r="U442" s="9"/>
      <c r="V442" s="12"/>
      <c r="X442" s="10"/>
    </row>
    <row r="443" spans="1:24" s="3" customFormat="1" ht="31.5" x14ac:dyDescent="0.25">
      <c r="A443" s="56" t="s">
        <v>252</v>
      </c>
      <c r="B443" s="53" t="s">
        <v>391</v>
      </c>
      <c r="C443" s="62" t="s">
        <v>390</v>
      </c>
      <c r="D443" s="16">
        <v>0.24</v>
      </c>
      <c r="E443" s="18">
        <v>0</v>
      </c>
      <c r="F443" s="16">
        <f t="shared" si="149"/>
        <v>0.24</v>
      </c>
      <c r="G443" s="17">
        <v>0.24</v>
      </c>
      <c r="H443" s="16">
        <f t="shared" si="150"/>
        <v>0</v>
      </c>
      <c r="I443" s="16">
        <v>0</v>
      </c>
      <c r="J443" s="16">
        <v>0</v>
      </c>
      <c r="K443" s="16">
        <v>0</v>
      </c>
      <c r="L443" s="18">
        <v>0</v>
      </c>
      <c r="M443" s="16">
        <v>0.24</v>
      </c>
      <c r="N443" s="16">
        <v>0</v>
      </c>
      <c r="O443" s="16">
        <v>0</v>
      </c>
      <c r="P443" s="16">
        <v>0</v>
      </c>
      <c r="Q443" s="16">
        <f t="shared" si="151"/>
        <v>0.24</v>
      </c>
      <c r="R443" s="16">
        <f t="shared" si="152"/>
        <v>-0.24</v>
      </c>
      <c r="S443" s="14">
        <f t="shared" si="153"/>
        <v>-1</v>
      </c>
      <c r="T443" s="13" t="s">
        <v>260</v>
      </c>
      <c r="U443" s="9"/>
      <c r="V443" s="12"/>
      <c r="X443" s="10"/>
    </row>
    <row r="444" spans="1:24" s="3" customFormat="1" ht="24.75" customHeight="1" x14ac:dyDescent="0.25">
      <c r="A444" s="43" t="s">
        <v>252</v>
      </c>
      <c r="B444" s="48" t="s">
        <v>389</v>
      </c>
      <c r="C444" s="47" t="s">
        <v>388</v>
      </c>
      <c r="D444" s="16">
        <v>0.24</v>
      </c>
      <c r="E444" s="18">
        <v>0</v>
      </c>
      <c r="F444" s="16">
        <f t="shared" si="149"/>
        <v>0.24</v>
      </c>
      <c r="G444" s="17">
        <v>0.24</v>
      </c>
      <c r="H444" s="16">
        <f t="shared" si="150"/>
        <v>0.216</v>
      </c>
      <c r="I444" s="16">
        <v>0</v>
      </c>
      <c r="J444" s="16">
        <v>0</v>
      </c>
      <c r="K444" s="16">
        <v>0</v>
      </c>
      <c r="L444" s="18">
        <v>0.216</v>
      </c>
      <c r="M444" s="16">
        <v>0.24</v>
      </c>
      <c r="N444" s="16">
        <v>0</v>
      </c>
      <c r="O444" s="16">
        <v>0</v>
      </c>
      <c r="P444" s="16">
        <v>0</v>
      </c>
      <c r="Q444" s="16">
        <f t="shared" si="151"/>
        <v>2.3999999999999994E-2</v>
      </c>
      <c r="R444" s="16">
        <f t="shared" si="152"/>
        <v>-2.3999999999999994E-2</v>
      </c>
      <c r="S444" s="14">
        <f t="shared" si="153"/>
        <v>-9.9999999999999978E-2</v>
      </c>
      <c r="T444" s="22" t="s">
        <v>316</v>
      </c>
      <c r="U444" s="9"/>
      <c r="V444" s="12"/>
      <c r="X444" s="10"/>
    </row>
    <row r="445" spans="1:24" s="3" customFormat="1" ht="25.5" customHeight="1" x14ac:dyDescent="0.25">
      <c r="A445" s="43" t="s">
        <v>252</v>
      </c>
      <c r="B445" s="48" t="s">
        <v>387</v>
      </c>
      <c r="C445" s="47" t="s">
        <v>386</v>
      </c>
      <c r="D445" s="16">
        <v>9.6000000000000002E-2</v>
      </c>
      <c r="E445" s="18">
        <v>0</v>
      </c>
      <c r="F445" s="16">
        <f t="shared" si="149"/>
        <v>9.6000000000000002E-2</v>
      </c>
      <c r="G445" s="17">
        <v>9.6000000000000002E-2</v>
      </c>
      <c r="H445" s="16">
        <f t="shared" si="150"/>
        <v>9.6977999999999995E-2</v>
      </c>
      <c r="I445" s="16">
        <v>0</v>
      </c>
      <c r="J445" s="16">
        <v>0</v>
      </c>
      <c r="K445" s="16">
        <v>0</v>
      </c>
      <c r="L445" s="18">
        <v>0</v>
      </c>
      <c r="M445" s="16">
        <v>9.6000000000000002E-2</v>
      </c>
      <c r="N445" s="16">
        <f>96.978/1000</f>
        <v>9.6977999999999995E-2</v>
      </c>
      <c r="O445" s="16">
        <v>0</v>
      </c>
      <c r="P445" s="16">
        <v>0</v>
      </c>
      <c r="Q445" s="16">
        <f t="shared" si="151"/>
        <v>-9.7799999999999276E-4</v>
      </c>
      <c r="R445" s="16">
        <f t="shared" si="152"/>
        <v>9.7799999999999276E-4</v>
      </c>
      <c r="S445" s="14">
        <f t="shared" si="153"/>
        <v>1.0187499999999924E-2</v>
      </c>
      <c r="T445" s="22" t="s">
        <v>0</v>
      </c>
      <c r="U445" s="9"/>
      <c r="V445" s="12"/>
      <c r="X445" s="10"/>
    </row>
    <row r="446" spans="1:24" s="3" customFormat="1" ht="31.5" x14ac:dyDescent="0.25">
      <c r="A446" s="43" t="s">
        <v>252</v>
      </c>
      <c r="B446" s="48" t="s">
        <v>385</v>
      </c>
      <c r="C446" s="47" t="s">
        <v>384</v>
      </c>
      <c r="D446" s="16">
        <v>0.24</v>
      </c>
      <c r="E446" s="18">
        <v>0</v>
      </c>
      <c r="F446" s="16">
        <f t="shared" si="149"/>
        <v>0.24</v>
      </c>
      <c r="G446" s="17">
        <v>0.24</v>
      </c>
      <c r="H446" s="16">
        <f t="shared" si="150"/>
        <v>0</v>
      </c>
      <c r="I446" s="16">
        <v>0</v>
      </c>
      <c r="J446" s="16">
        <v>0</v>
      </c>
      <c r="K446" s="16">
        <v>0</v>
      </c>
      <c r="L446" s="18">
        <v>0</v>
      </c>
      <c r="M446" s="16">
        <v>0.24</v>
      </c>
      <c r="N446" s="16">
        <v>0</v>
      </c>
      <c r="O446" s="16">
        <v>0</v>
      </c>
      <c r="P446" s="16">
        <v>0</v>
      </c>
      <c r="Q446" s="16">
        <f t="shared" si="151"/>
        <v>0.24</v>
      </c>
      <c r="R446" s="16">
        <f t="shared" si="152"/>
        <v>-0.24</v>
      </c>
      <c r="S446" s="14">
        <f t="shared" si="153"/>
        <v>-1</v>
      </c>
      <c r="T446" s="61" t="s">
        <v>260</v>
      </c>
      <c r="U446" s="9"/>
      <c r="V446" s="12"/>
      <c r="X446" s="10"/>
    </row>
    <row r="447" spans="1:24" s="3" customFormat="1" ht="31.5" x14ac:dyDescent="0.25">
      <c r="A447" s="43" t="s">
        <v>252</v>
      </c>
      <c r="B447" s="48" t="s">
        <v>383</v>
      </c>
      <c r="C447" s="47" t="s">
        <v>382</v>
      </c>
      <c r="D447" s="16">
        <v>1.44</v>
      </c>
      <c r="E447" s="18">
        <v>0</v>
      </c>
      <c r="F447" s="16">
        <f t="shared" si="149"/>
        <v>1.44</v>
      </c>
      <c r="G447" s="17">
        <v>1.44</v>
      </c>
      <c r="H447" s="16">
        <f t="shared" si="150"/>
        <v>0.72</v>
      </c>
      <c r="I447" s="16">
        <v>0</v>
      </c>
      <c r="J447" s="16">
        <v>0</v>
      </c>
      <c r="K447" s="18">
        <v>0</v>
      </c>
      <c r="L447" s="18">
        <v>0.72</v>
      </c>
      <c r="M447" s="16">
        <v>1.44</v>
      </c>
      <c r="N447" s="16">
        <v>0</v>
      </c>
      <c r="O447" s="16">
        <v>0</v>
      </c>
      <c r="P447" s="16">
        <v>0</v>
      </c>
      <c r="Q447" s="16">
        <f t="shared" si="151"/>
        <v>0.72</v>
      </c>
      <c r="R447" s="16">
        <f t="shared" si="152"/>
        <v>-0.72</v>
      </c>
      <c r="S447" s="14">
        <f t="shared" si="153"/>
        <v>-0.5</v>
      </c>
      <c r="T447" s="22" t="s">
        <v>316</v>
      </c>
      <c r="U447" s="9"/>
      <c r="V447" s="12"/>
      <c r="X447" s="10"/>
    </row>
    <row r="448" spans="1:24" s="3" customFormat="1" ht="47.25" x14ac:dyDescent="0.25">
      <c r="A448" s="43" t="s">
        <v>252</v>
      </c>
      <c r="B448" s="48" t="s">
        <v>381</v>
      </c>
      <c r="C448" s="47" t="s">
        <v>380</v>
      </c>
      <c r="D448" s="16">
        <v>0.32400000000000001</v>
      </c>
      <c r="E448" s="18">
        <v>0</v>
      </c>
      <c r="F448" s="16">
        <f t="shared" si="149"/>
        <v>0.32400000000000001</v>
      </c>
      <c r="G448" s="17">
        <v>0.32400000000000001</v>
      </c>
      <c r="H448" s="16">
        <f t="shared" si="150"/>
        <v>0.38663999999999998</v>
      </c>
      <c r="I448" s="16">
        <v>0</v>
      </c>
      <c r="J448" s="16">
        <v>0</v>
      </c>
      <c r="K448" s="16">
        <v>0</v>
      </c>
      <c r="L448" s="18">
        <v>0.19331999999999999</v>
      </c>
      <c r="M448" s="16">
        <v>0.32400000000000001</v>
      </c>
      <c r="N448" s="16">
        <f>193.32/1000</f>
        <v>0.19331999999999999</v>
      </c>
      <c r="O448" s="16">
        <v>0</v>
      </c>
      <c r="P448" s="16">
        <v>0</v>
      </c>
      <c r="Q448" s="16">
        <f t="shared" si="151"/>
        <v>-6.2639999999999973E-2</v>
      </c>
      <c r="R448" s="16">
        <f t="shared" si="152"/>
        <v>6.2639999999999973E-2</v>
      </c>
      <c r="S448" s="14">
        <f t="shared" si="153"/>
        <v>0.19333333333333325</v>
      </c>
      <c r="T448" s="19" t="s">
        <v>270</v>
      </c>
      <c r="U448" s="9"/>
      <c r="V448" s="12"/>
      <c r="X448" s="10"/>
    </row>
    <row r="449" spans="1:24" s="3" customFormat="1" ht="47.25" x14ac:dyDescent="0.25">
      <c r="A449" s="43" t="s">
        <v>252</v>
      </c>
      <c r="B449" s="48" t="s">
        <v>379</v>
      </c>
      <c r="C449" s="47" t="s">
        <v>378</v>
      </c>
      <c r="D449" s="16">
        <v>0.28799999999999998</v>
      </c>
      <c r="E449" s="18">
        <v>0</v>
      </c>
      <c r="F449" s="16">
        <f t="shared" si="149"/>
        <v>0.28799999999999998</v>
      </c>
      <c r="G449" s="17">
        <v>0.28799999999999998</v>
      </c>
      <c r="H449" s="16">
        <f t="shared" si="150"/>
        <v>0.29963519999999999</v>
      </c>
      <c r="I449" s="16">
        <v>0</v>
      </c>
      <c r="J449" s="16">
        <v>0</v>
      </c>
      <c r="K449" s="16">
        <v>0</v>
      </c>
      <c r="L449" s="18">
        <v>0.29963519999999999</v>
      </c>
      <c r="M449" s="16">
        <v>0.28799999999999998</v>
      </c>
      <c r="N449" s="16">
        <v>0</v>
      </c>
      <c r="O449" s="16">
        <v>0</v>
      </c>
      <c r="P449" s="16">
        <v>0</v>
      </c>
      <c r="Q449" s="16">
        <f t="shared" si="151"/>
        <v>-1.1635200000000012E-2</v>
      </c>
      <c r="R449" s="16">
        <f t="shared" si="152"/>
        <v>1.1635200000000012E-2</v>
      </c>
      <c r="S449" s="14">
        <f t="shared" si="153"/>
        <v>4.0400000000000047E-2</v>
      </c>
      <c r="T449" s="22" t="s">
        <v>0</v>
      </c>
      <c r="U449" s="9"/>
      <c r="V449" s="12"/>
      <c r="X449" s="10"/>
    </row>
    <row r="450" spans="1:24" s="3" customFormat="1" ht="31.5" x14ac:dyDescent="0.25">
      <c r="A450" s="43" t="s">
        <v>252</v>
      </c>
      <c r="B450" s="48" t="s">
        <v>377</v>
      </c>
      <c r="C450" s="47" t="s">
        <v>376</v>
      </c>
      <c r="D450" s="16">
        <v>1.44</v>
      </c>
      <c r="E450" s="18">
        <v>0</v>
      </c>
      <c r="F450" s="16">
        <f t="shared" si="149"/>
        <v>1.44</v>
      </c>
      <c r="G450" s="17">
        <v>1.44</v>
      </c>
      <c r="H450" s="16">
        <f t="shared" si="150"/>
        <v>1.044</v>
      </c>
      <c r="I450" s="16">
        <v>0</v>
      </c>
      <c r="J450" s="16">
        <v>0</v>
      </c>
      <c r="K450" s="16">
        <v>0</v>
      </c>
      <c r="L450" s="18">
        <v>1.044</v>
      </c>
      <c r="M450" s="16">
        <v>1.44</v>
      </c>
      <c r="N450" s="16">
        <v>0</v>
      </c>
      <c r="O450" s="16">
        <v>0</v>
      </c>
      <c r="P450" s="16">
        <v>0</v>
      </c>
      <c r="Q450" s="16">
        <f t="shared" si="151"/>
        <v>0.39599999999999991</v>
      </c>
      <c r="R450" s="16">
        <f t="shared" si="152"/>
        <v>-0.39599999999999991</v>
      </c>
      <c r="S450" s="14">
        <f t="shared" si="153"/>
        <v>-0.27499999999999997</v>
      </c>
      <c r="T450" s="22" t="s">
        <v>316</v>
      </c>
      <c r="U450" s="9"/>
      <c r="V450" s="12"/>
      <c r="X450" s="10"/>
    </row>
    <row r="451" spans="1:24" s="3" customFormat="1" ht="31.5" x14ac:dyDescent="0.25">
      <c r="A451" s="43" t="s">
        <v>252</v>
      </c>
      <c r="B451" s="48" t="s">
        <v>375</v>
      </c>
      <c r="C451" s="47" t="s">
        <v>374</v>
      </c>
      <c r="D451" s="16">
        <v>1.44</v>
      </c>
      <c r="E451" s="18">
        <v>0</v>
      </c>
      <c r="F451" s="16">
        <f t="shared" si="149"/>
        <v>1.44</v>
      </c>
      <c r="G451" s="17">
        <v>1.44</v>
      </c>
      <c r="H451" s="16">
        <f t="shared" si="150"/>
        <v>1.044</v>
      </c>
      <c r="I451" s="16">
        <v>0</v>
      </c>
      <c r="J451" s="16">
        <v>0</v>
      </c>
      <c r="K451" s="16">
        <v>0</v>
      </c>
      <c r="L451" s="18">
        <v>1.044</v>
      </c>
      <c r="M451" s="16">
        <v>0</v>
      </c>
      <c r="N451" s="16">
        <v>0</v>
      </c>
      <c r="O451" s="16">
        <v>1.44</v>
      </c>
      <c r="P451" s="16">
        <v>0</v>
      </c>
      <c r="Q451" s="16">
        <f t="shared" si="151"/>
        <v>0.39599999999999991</v>
      </c>
      <c r="R451" s="16">
        <f t="shared" si="152"/>
        <v>1.044</v>
      </c>
      <c r="S451" s="14">
        <v>1</v>
      </c>
      <c r="T451" s="22" t="s">
        <v>2</v>
      </c>
      <c r="U451" s="9"/>
      <c r="V451" s="12"/>
      <c r="X451" s="10"/>
    </row>
    <row r="452" spans="1:24" s="3" customFormat="1" ht="31.5" x14ac:dyDescent="0.25">
      <c r="A452" s="43" t="s">
        <v>252</v>
      </c>
      <c r="B452" s="48" t="s">
        <v>373</v>
      </c>
      <c r="C452" s="47" t="s">
        <v>372</v>
      </c>
      <c r="D452" s="16">
        <v>0.52617600000000009</v>
      </c>
      <c r="E452" s="18">
        <v>0</v>
      </c>
      <c r="F452" s="16">
        <f t="shared" si="149"/>
        <v>0.52617600000000009</v>
      </c>
      <c r="G452" s="17">
        <v>0.52617600000000009</v>
      </c>
      <c r="H452" s="16">
        <f t="shared" si="150"/>
        <v>0.60200155</v>
      </c>
      <c r="I452" s="16">
        <v>0</v>
      </c>
      <c r="J452" s="16">
        <v>0</v>
      </c>
      <c r="K452" s="16">
        <v>0</v>
      </c>
      <c r="L452" s="18">
        <v>0.60200155</v>
      </c>
      <c r="M452" s="16">
        <v>0.52617600000000009</v>
      </c>
      <c r="N452" s="16">
        <v>0</v>
      </c>
      <c r="O452" s="16">
        <v>0</v>
      </c>
      <c r="P452" s="16">
        <v>0</v>
      </c>
      <c r="Q452" s="16">
        <f t="shared" si="151"/>
        <v>-7.5825549999999908E-2</v>
      </c>
      <c r="R452" s="16">
        <f t="shared" si="152"/>
        <v>7.5825549999999908E-2</v>
      </c>
      <c r="S452" s="14">
        <f>R452/(I452+K452+M452)</f>
        <v>0.14410681977133108</v>
      </c>
      <c r="T452" s="22" t="s">
        <v>270</v>
      </c>
      <c r="U452" s="9"/>
      <c r="V452" s="12"/>
      <c r="X452" s="10"/>
    </row>
    <row r="453" spans="1:24" s="3" customFormat="1" ht="47.25" x14ac:dyDescent="0.25">
      <c r="A453" s="43" t="s">
        <v>252</v>
      </c>
      <c r="B453" s="48" t="s">
        <v>371</v>
      </c>
      <c r="C453" s="47" t="s">
        <v>370</v>
      </c>
      <c r="D453" s="16">
        <v>0.19731599999999999</v>
      </c>
      <c r="E453" s="18">
        <v>0</v>
      </c>
      <c r="F453" s="16">
        <f t="shared" si="149"/>
        <v>0.19731599999999999</v>
      </c>
      <c r="G453" s="17">
        <v>0.19731599999999999</v>
      </c>
      <c r="H453" s="16">
        <f t="shared" si="150"/>
        <v>0.19731599999999999</v>
      </c>
      <c r="I453" s="16">
        <v>0</v>
      </c>
      <c r="J453" s="16">
        <v>0</v>
      </c>
      <c r="K453" s="16">
        <v>0</v>
      </c>
      <c r="L453" s="18">
        <v>0</v>
      </c>
      <c r="M453" s="16">
        <v>0.19731599999999999</v>
      </c>
      <c r="N453" s="16">
        <f>197.316/1000</f>
        <v>0.19731599999999999</v>
      </c>
      <c r="O453" s="16">
        <v>0</v>
      </c>
      <c r="P453" s="16">
        <v>0</v>
      </c>
      <c r="Q453" s="16">
        <f t="shared" si="151"/>
        <v>0</v>
      </c>
      <c r="R453" s="16">
        <f t="shared" si="152"/>
        <v>0</v>
      </c>
      <c r="S453" s="14">
        <f>R453/(I453+K453+M453)</f>
        <v>0</v>
      </c>
      <c r="T453" s="61" t="s">
        <v>0</v>
      </c>
      <c r="U453" s="9"/>
      <c r="V453" s="12"/>
      <c r="X453" s="10"/>
    </row>
    <row r="454" spans="1:24" s="3" customFormat="1" ht="31.5" x14ac:dyDescent="0.25">
      <c r="A454" s="43" t="s">
        <v>252</v>
      </c>
      <c r="B454" s="48" t="s">
        <v>369</v>
      </c>
      <c r="C454" s="47" t="s">
        <v>368</v>
      </c>
      <c r="D454" s="16">
        <v>1.62</v>
      </c>
      <c r="E454" s="18">
        <v>0</v>
      </c>
      <c r="F454" s="16">
        <f t="shared" si="149"/>
        <v>1.62</v>
      </c>
      <c r="G454" s="17">
        <v>1.62</v>
      </c>
      <c r="H454" s="16">
        <f t="shared" si="150"/>
        <v>1.8654837500000001</v>
      </c>
      <c r="I454" s="16">
        <v>0</v>
      </c>
      <c r="J454" s="16">
        <v>0</v>
      </c>
      <c r="K454" s="16">
        <v>0</v>
      </c>
      <c r="L454" s="18">
        <v>1.8654837500000001</v>
      </c>
      <c r="M454" s="16">
        <v>1.62</v>
      </c>
      <c r="N454" s="16">
        <v>0</v>
      </c>
      <c r="O454" s="16">
        <v>0</v>
      </c>
      <c r="P454" s="16">
        <v>0</v>
      </c>
      <c r="Q454" s="16">
        <f t="shared" si="151"/>
        <v>-0.24548375</v>
      </c>
      <c r="R454" s="16">
        <f t="shared" si="152"/>
        <v>0.24548375</v>
      </c>
      <c r="S454" s="14">
        <f>R454/(I454+K454+M454)</f>
        <v>0.15153317901234567</v>
      </c>
      <c r="T454" s="22" t="s">
        <v>270</v>
      </c>
      <c r="U454" s="9"/>
      <c r="V454" s="12"/>
      <c r="X454" s="10"/>
    </row>
    <row r="455" spans="1:24" s="3" customFormat="1" ht="31.5" x14ac:dyDescent="0.25">
      <c r="A455" s="43" t="s">
        <v>252</v>
      </c>
      <c r="B455" s="48" t="s">
        <v>367</v>
      </c>
      <c r="C455" s="47" t="s">
        <v>366</v>
      </c>
      <c r="D455" s="16">
        <v>0.48</v>
      </c>
      <c r="E455" s="18">
        <v>0</v>
      </c>
      <c r="F455" s="16">
        <f t="shared" si="149"/>
        <v>0.48</v>
      </c>
      <c r="G455" s="17">
        <v>0.48</v>
      </c>
      <c r="H455" s="16">
        <f t="shared" si="150"/>
        <v>0.41990640000000001</v>
      </c>
      <c r="I455" s="16">
        <v>0</v>
      </c>
      <c r="J455" s="16">
        <v>0</v>
      </c>
      <c r="K455" s="16">
        <v>0</v>
      </c>
      <c r="L455" s="18">
        <v>0</v>
      </c>
      <c r="M455" s="16">
        <v>0</v>
      </c>
      <c r="N455" s="16">
        <f>419.9064/1000</f>
        <v>0.41990640000000001</v>
      </c>
      <c r="O455" s="16">
        <v>0.48</v>
      </c>
      <c r="P455" s="16">
        <v>0</v>
      </c>
      <c r="Q455" s="16">
        <f t="shared" si="151"/>
        <v>6.0093599999999969E-2</v>
      </c>
      <c r="R455" s="16">
        <f t="shared" si="152"/>
        <v>0.41990640000000001</v>
      </c>
      <c r="S455" s="14">
        <v>1</v>
      </c>
      <c r="T455" s="22" t="s">
        <v>2</v>
      </c>
      <c r="U455" s="9"/>
      <c r="V455" s="12"/>
      <c r="X455" s="10"/>
    </row>
    <row r="456" spans="1:24" s="3" customFormat="1" ht="47.25" x14ac:dyDescent="0.25">
      <c r="A456" s="43" t="s">
        <v>252</v>
      </c>
      <c r="B456" s="48" t="s">
        <v>365</v>
      </c>
      <c r="C456" s="47" t="s">
        <v>364</v>
      </c>
      <c r="D456" s="16">
        <v>0.96</v>
      </c>
      <c r="E456" s="18">
        <v>0</v>
      </c>
      <c r="F456" s="16">
        <f t="shared" si="149"/>
        <v>0.96</v>
      </c>
      <c r="G456" s="17">
        <v>0.96</v>
      </c>
      <c r="H456" s="16">
        <f t="shared" si="150"/>
        <v>8.4999599999999995E-2</v>
      </c>
      <c r="I456" s="16">
        <v>0</v>
      </c>
      <c r="J456" s="16">
        <v>0</v>
      </c>
      <c r="K456" s="16">
        <v>0</v>
      </c>
      <c r="L456" s="18">
        <v>0</v>
      </c>
      <c r="M456" s="16">
        <v>0</v>
      </c>
      <c r="N456" s="16">
        <f>84.9996/1000</f>
        <v>8.4999599999999995E-2</v>
      </c>
      <c r="O456" s="16">
        <v>0.96</v>
      </c>
      <c r="P456" s="16">
        <v>0</v>
      </c>
      <c r="Q456" s="16">
        <f t="shared" si="151"/>
        <v>0.87500040000000001</v>
      </c>
      <c r="R456" s="16">
        <f t="shared" si="152"/>
        <v>8.4999599999999995E-2</v>
      </c>
      <c r="S456" s="14">
        <v>1</v>
      </c>
      <c r="T456" s="22" t="s">
        <v>2</v>
      </c>
      <c r="U456" s="9"/>
      <c r="V456" s="12"/>
      <c r="X456" s="10"/>
    </row>
    <row r="457" spans="1:24" s="3" customFormat="1" ht="31.5" x14ac:dyDescent="0.25">
      <c r="A457" s="43" t="s">
        <v>252</v>
      </c>
      <c r="B457" s="48" t="s">
        <v>363</v>
      </c>
      <c r="C457" s="47" t="s">
        <v>362</v>
      </c>
      <c r="D457" s="16">
        <v>2.4</v>
      </c>
      <c r="E457" s="18">
        <v>0</v>
      </c>
      <c r="F457" s="16">
        <f t="shared" si="149"/>
        <v>2.4</v>
      </c>
      <c r="G457" s="17">
        <v>2.4</v>
      </c>
      <c r="H457" s="16">
        <f t="shared" si="150"/>
        <v>0</v>
      </c>
      <c r="I457" s="16">
        <v>0</v>
      </c>
      <c r="J457" s="16">
        <v>0</v>
      </c>
      <c r="K457" s="16">
        <v>0</v>
      </c>
      <c r="L457" s="18">
        <v>0</v>
      </c>
      <c r="M457" s="16">
        <v>0</v>
      </c>
      <c r="N457" s="16">
        <v>0</v>
      </c>
      <c r="O457" s="16">
        <v>2.4</v>
      </c>
      <c r="P457" s="16">
        <v>0</v>
      </c>
      <c r="Q457" s="16">
        <f t="shared" si="151"/>
        <v>2.4</v>
      </c>
      <c r="R457" s="16">
        <f t="shared" si="152"/>
        <v>0</v>
      </c>
      <c r="S457" s="14">
        <v>0</v>
      </c>
      <c r="T457" s="22" t="s">
        <v>2</v>
      </c>
      <c r="U457" s="9"/>
      <c r="V457" s="12"/>
      <c r="X457" s="10"/>
    </row>
    <row r="458" spans="1:24" s="3" customFormat="1" ht="47.25" x14ac:dyDescent="0.25">
      <c r="A458" s="43" t="s">
        <v>252</v>
      </c>
      <c r="B458" s="48" t="s">
        <v>361</v>
      </c>
      <c r="C458" s="47" t="s">
        <v>360</v>
      </c>
      <c r="D458" s="16">
        <v>0.145068</v>
      </c>
      <c r="E458" s="18">
        <v>0</v>
      </c>
      <c r="F458" s="16">
        <f t="shared" si="149"/>
        <v>0.145068</v>
      </c>
      <c r="G458" s="17">
        <v>0.145068</v>
      </c>
      <c r="H458" s="16">
        <f t="shared" si="150"/>
        <v>0</v>
      </c>
      <c r="I458" s="16">
        <v>0</v>
      </c>
      <c r="J458" s="16">
        <v>0</v>
      </c>
      <c r="K458" s="16">
        <v>0</v>
      </c>
      <c r="L458" s="18">
        <v>0</v>
      </c>
      <c r="M458" s="16">
        <v>0</v>
      </c>
      <c r="N458" s="16">
        <v>0</v>
      </c>
      <c r="O458" s="16">
        <v>0.145068</v>
      </c>
      <c r="P458" s="16">
        <v>0</v>
      </c>
      <c r="Q458" s="16">
        <f t="shared" si="151"/>
        <v>0.145068</v>
      </c>
      <c r="R458" s="16">
        <f t="shared" si="152"/>
        <v>0</v>
      </c>
      <c r="S458" s="14">
        <v>0</v>
      </c>
      <c r="T458" s="61" t="s">
        <v>359</v>
      </c>
      <c r="U458" s="9"/>
      <c r="V458" s="12"/>
      <c r="X458" s="10"/>
    </row>
    <row r="459" spans="1:24" s="3" customFormat="1" ht="31.5" x14ac:dyDescent="0.25">
      <c r="A459" s="43" t="s">
        <v>252</v>
      </c>
      <c r="B459" s="48" t="s">
        <v>358</v>
      </c>
      <c r="C459" s="47" t="s">
        <v>357</v>
      </c>
      <c r="D459" s="16">
        <v>0.12</v>
      </c>
      <c r="E459" s="18">
        <v>0</v>
      </c>
      <c r="F459" s="16">
        <f t="shared" si="149"/>
        <v>0.12</v>
      </c>
      <c r="G459" s="17">
        <v>0.12</v>
      </c>
      <c r="H459" s="16">
        <f t="shared" si="150"/>
        <v>7.4106000000000005E-2</v>
      </c>
      <c r="I459" s="16">
        <v>0</v>
      </c>
      <c r="J459" s="16">
        <v>0</v>
      </c>
      <c r="K459" s="16">
        <v>0</v>
      </c>
      <c r="L459" s="18">
        <v>7.4106000000000005E-2</v>
      </c>
      <c r="M459" s="16">
        <v>0</v>
      </c>
      <c r="N459" s="16">
        <v>0</v>
      </c>
      <c r="O459" s="16">
        <v>0.12</v>
      </c>
      <c r="P459" s="16">
        <v>0</v>
      </c>
      <c r="Q459" s="16">
        <f t="shared" si="151"/>
        <v>4.589399999999999E-2</v>
      </c>
      <c r="R459" s="16">
        <f t="shared" si="152"/>
        <v>7.4106000000000005E-2</v>
      </c>
      <c r="S459" s="14">
        <v>1</v>
      </c>
      <c r="T459" s="22" t="s">
        <v>2</v>
      </c>
      <c r="U459" s="9"/>
      <c r="V459" s="12"/>
      <c r="X459" s="10"/>
    </row>
    <row r="460" spans="1:24" s="3" customFormat="1" ht="47.25" x14ac:dyDescent="0.25">
      <c r="A460" s="43" t="s">
        <v>252</v>
      </c>
      <c r="B460" s="48" t="s">
        <v>356</v>
      </c>
      <c r="C460" s="47" t="s">
        <v>355</v>
      </c>
      <c r="D460" s="16">
        <v>0.19430609491525427</v>
      </c>
      <c r="E460" s="18">
        <v>0</v>
      </c>
      <c r="F460" s="16">
        <f t="shared" si="149"/>
        <v>0.19430609491525427</v>
      </c>
      <c r="G460" s="17">
        <v>0.19430609491525427</v>
      </c>
      <c r="H460" s="16">
        <f t="shared" si="150"/>
        <v>0</v>
      </c>
      <c r="I460" s="16">
        <v>0</v>
      </c>
      <c r="J460" s="16">
        <v>0</v>
      </c>
      <c r="K460" s="16">
        <v>0</v>
      </c>
      <c r="L460" s="18">
        <v>0</v>
      </c>
      <c r="M460" s="16">
        <v>0</v>
      </c>
      <c r="N460" s="16">
        <v>0</v>
      </c>
      <c r="O460" s="16">
        <v>0.19430609492000001</v>
      </c>
      <c r="P460" s="16">
        <v>0</v>
      </c>
      <c r="Q460" s="16">
        <f t="shared" si="151"/>
        <v>0.19430609491525427</v>
      </c>
      <c r="R460" s="16">
        <f t="shared" si="152"/>
        <v>0</v>
      </c>
      <c r="S460" s="14">
        <v>0</v>
      </c>
      <c r="T460" s="61" t="s">
        <v>0</v>
      </c>
      <c r="U460" s="9"/>
      <c r="V460" s="12"/>
      <c r="X460" s="10"/>
    </row>
    <row r="461" spans="1:24" s="3" customFormat="1" ht="31.5" x14ac:dyDescent="0.25">
      <c r="A461" s="43" t="s">
        <v>252</v>
      </c>
      <c r="B461" s="48" t="s">
        <v>354</v>
      </c>
      <c r="C461" s="47" t="s">
        <v>353</v>
      </c>
      <c r="D461" s="16">
        <v>0.11838926174496646</v>
      </c>
      <c r="E461" s="18">
        <v>0</v>
      </c>
      <c r="F461" s="16">
        <f t="shared" si="149"/>
        <v>0.11838926174496646</v>
      </c>
      <c r="G461" s="17">
        <v>0.11838926174496646</v>
      </c>
      <c r="H461" s="16">
        <f t="shared" si="150"/>
        <v>0.1176</v>
      </c>
      <c r="I461" s="16">
        <v>0</v>
      </c>
      <c r="J461" s="16">
        <v>0</v>
      </c>
      <c r="K461" s="16">
        <v>0</v>
      </c>
      <c r="L461" s="18">
        <v>0.1176</v>
      </c>
      <c r="M461" s="16">
        <v>0.11838926174</v>
      </c>
      <c r="N461" s="16">
        <v>0</v>
      </c>
      <c r="O461" s="16">
        <v>0</v>
      </c>
      <c r="P461" s="16">
        <v>0</v>
      </c>
      <c r="Q461" s="16">
        <f t="shared" si="151"/>
        <v>7.8926174496646295E-4</v>
      </c>
      <c r="R461" s="16">
        <f t="shared" si="152"/>
        <v>-7.8926174000000515E-4</v>
      </c>
      <c r="S461" s="14">
        <f>R461/(I461+K461+M461)</f>
        <v>-6.6666666249962639E-3</v>
      </c>
      <c r="T461" s="22" t="s">
        <v>0</v>
      </c>
      <c r="U461" s="9"/>
      <c r="V461" s="12"/>
      <c r="X461" s="10"/>
    </row>
    <row r="462" spans="1:24" s="3" customFormat="1" ht="31.5" x14ac:dyDescent="0.25">
      <c r="A462" s="43" t="s">
        <v>252</v>
      </c>
      <c r="B462" s="48" t="s">
        <v>352</v>
      </c>
      <c r="C462" s="47" t="s">
        <v>351</v>
      </c>
      <c r="D462" s="16">
        <v>0.12359999999999999</v>
      </c>
      <c r="E462" s="18">
        <v>0</v>
      </c>
      <c r="F462" s="16">
        <f t="shared" si="149"/>
        <v>0.12359999999999999</v>
      </c>
      <c r="G462" s="17">
        <v>0.12359999999999999</v>
      </c>
      <c r="H462" s="16">
        <f t="shared" si="150"/>
        <v>0</v>
      </c>
      <c r="I462" s="16">
        <v>0</v>
      </c>
      <c r="J462" s="16">
        <v>0</v>
      </c>
      <c r="K462" s="16">
        <v>0</v>
      </c>
      <c r="L462" s="18">
        <v>0</v>
      </c>
      <c r="M462" s="16">
        <v>0.12359999999999999</v>
      </c>
      <c r="N462" s="16">
        <v>0</v>
      </c>
      <c r="O462" s="16">
        <v>0</v>
      </c>
      <c r="P462" s="16">
        <v>0</v>
      </c>
      <c r="Q462" s="16">
        <f t="shared" si="151"/>
        <v>0.12359999999999999</v>
      </c>
      <c r="R462" s="16">
        <f t="shared" si="152"/>
        <v>-0.12359999999999999</v>
      </c>
      <c r="S462" s="14">
        <f>R462/(I462+K462+M462)</f>
        <v>-1</v>
      </c>
      <c r="T462" s="61" t="s">
        <v>260</v>
      </c>
      <c r="U462" s="9"/>
      <c r="V462" s="12"/>
      <c r="X462" s="10"/>
    </row>
    <row r="463" spans="1:24" s="3" customFormat="1" ht="31.5" x14ac:dyDescent="0.25">
      <c r="A463" s="43" t="s">
        <v>252</v>
      </c>
      <c r="B463" s="48" t="s">
        <v>350</v>
      </c>
      <c r="C463" s="47" t="s">
        <v>349</v>
      </c>
      <c r="D463" s="16">
        <v>7.9200000000000007E-2</v>
      </c>
      <c r="E463" s="18">
        <v>0</v>
      </c>
      <c r="F463" s="16">
        <f t="shared" si="149"/>
        <v>7.9200000000000007E-2</v>
      </c>
      <c r="G463" s="17">
        <v>7.9200000000000007E-2</v>
      </c>
      <c r="H463" s="16">
        <f t="shared" si="150"/>
        <v>0</v>
      </c>
      <c r="I463" s="16">
        <v>0</v>
      </c>
      <c r="J463" s="16">
        <v>0</v>
      </c>
      <c r="K463" s="16">
        <v>0</v>
      </c>
      <c r="L463" s="18">
        <v>0</v>
      </c>
      <c r="M463" s="16">
        <v>7.9200000000000007E-2</v>
      </c>
      <c r="N463" s="16">
        <v>0</v>
      </c>
      <c r="O463" s="16">
        <v>0</v>
      </c>
      <c r="P463" s="16">
        <v>0</v>
      </c>
      <c r="Q463" s="16">
        <f t="shared" si="151"/>
        <v>7.9200000000000007E-2</v>
      </c>
      <c r="R463" s="16">
        <f t="shared" si="152"/>
        <v>-7.9200000000000007E-2</v>
      </c>
      <c r="S463" s="14">
        <f>R463/(I463+K463+M463)</f>
        <v>-1</v>
      </c>
      <c r="T463" s="61" t="s">
        <v>260</v>
      </c>
      <c r="U463" s="9"/>
      <c r="V463" s="12"/>
      <c r="X463" s="10"/>
    </row>
    <row r="464" spans="1:24" s="3" customFormat="1" ht="31.5" x14ac:dyDescent="0.25">
      <c r="A464" s="43" t="s">
        <v>252</v>
      </c>
      <c r="B464" s="48" t="s">
        <v>348</v>
      </c>
      <c r="C464" s="47" t="s">
        <v>347</v>
      </c>
      <c r="D464" s="16">
        <v>0.2424</v>
      </c>
      <c r="E464" s="18">
        <v>0</v>
      </c>
      <c r="F464" s="16">
        <f t="shared" si="149"/>
        <v>0.2424</v>
      </c>
      <c r="G464" s="17">
        <v>0.1176</v>
      </c>
      <c r="H464" s="16">
        <f t="shared" si="150"/>
        <v>0.1176</v>
      </c>
      <c r="I464" s="16">
        <v>0</v>
      </c>
      <c r="J464" s="16">
        <v>0</v>
      </c>
      <c r="K464" s="16">
        <v>0</v>
      </c>
      <c r="L464" s="18">
        <v>0</v>
      </c>
      <c r="M464" s="16">
        <v>0</v>
      </c>
      <c r="N464" s="16">
        <f>0.1176</f>
        <v>0.1176</v>
      </c>
      <c r="O464" s="16">
        <v>0.1176</v>
      </c>
      <c r="P464" s="16">
        <v>0</v>
      </c>
      <c r="Q464" s="16">
        <f t="shared" si="151"/>
        <v>0.12480000000000001</v>
      </c>
      <c r="R464" s="16">
        <f t="shared" si="152"/>
        <v>0.1176</v>
      </c>
      <c r="S464" s="14">
        <v>1</v>
      </c>
      <c r="T464" s="61" t="s">
        <v>2</v>
      </c>
      <c r="U464" s="9"/>
      <c r="V464" s="12"/>
      <c r="X464" s="10"/>
    </row>
    <row r="465" spans="1:24" s="3" customFormat="1" ht="31.5" x14ac:dyDescent="0.25">
      <c r="A465" s="43" t="s">
        <v>252</v>
      </c>
      <c r="B465" s="48" t="s">
        <v>346</v>
      </c>
      <c r="C465" s="47" t="s">
        <v>345</v>
      </c>
      <c r="D465" s="16">
        <v>0.2424</v>
      </c>
      <c r="E465" s="18">
        <v>0</v>
      </c>
      <c r="F465" s="16">
        <f t="shared" si="149"/>
        <v>0.2424</v>
      </c>
      <c r="G465" s="17">
        <v>0.1176</v>
      </c>
      <c r="H465" s="16">
        <f t="shared" si="150"/>
        <v>0.1176</v>
      </c>
      <c r="I465" s="16">
        <v>0</v>
      </c>
      <c r="J465" s="16">
        <v>0</v>
      </c>
      <c r="K465" s="16">
        <v>0</v>
      </c>
      <c r="L465" s="18">
        <v>0</v>
      </c>
      <c r="M465" s="16">
        <v>0.1176</v>
      </c>
      <c r="N465" s="16">
        <f>117.6/1000</f>
        <v>0.1176</v>
      </c>
      <c r="O465" s="16">
        <v>0</v>
      </c>
      <c r="P465" s="16">
        <v>0</v>
      </c>
      <c r="Q465" s="16">
        <f t="shared" si="151"/>
        <v>0.12480000000000001</v>
      </c>
      <c r="R465" s="16">
        <f t="shared" si="152"/>
        <v>0</v>
      </c>
      <c r="S465" s="14">
        <f>R465/(I465+K465+M465)</f>
        <v>0</v>
      </c>
      <c r="T465" s="61" t="s">
        <v>0</v>
      </c>
      <c r="U465" s="9"/>
      <c r="V465" s="12"/>
      <c r="X465" s="10"/>
    </row>
    <row r="466" spans="1:24" s="3" customFormat="1" ht="31.5" x14ac:dyDescent="0.25">
      <c r="A466" s="43" t="s">
        <v>252</v>
      </c>
      <c r="B466" s="48" t="s">
        <v>344</v>
      </c>
      <c r="C466" s="47" t="s">
        <v>343</v>
      </c>
      <c r="D466" s="16">
        <v>0.72006530019952852</v>
      </c>
      <c r="E466" s="18">
        <v>0</v>
      </c>
      <c r="F466" s="16">
        <f t="shared" si="149"/>
        <v>0.72006530019952852</v>
      </c>
      <c r="G466" s="17">
        <v>0.35033557046979874</v>
      </c>
      <c r="H466" s="16">
        <f t="shared" si="150"/>
        <v>0.48249959999999997</v>
      </c>
      <c r="I466" s="16">
        <v>0</v>
      </c>
      <c r="J466" s="16">
        <v>0</v>
      </c>
      <c r="K466" s="16">
        <v>0</v>
      </c>
      <c r="L466" s="18">
        <v>0.48249959999999997</v>
      </c>
      <c r="M466" s="16">
        <v>0.35033557046999997</v>
      </c>
      <c r="N466" s="16">
        <v>0</v>
      </c>
      <c r="O466" s="16">
        <v>0</v>
      </c>
      <c r="P466" s="16">
        <v>0</v>
      </c>
      <c r="Q466" s="16">
        <f t="shared" si="151"/>
        <v>0.23756570019952855</v>
      </c>
      <c r="R466" s="16">
        <f t="shared" si="152"/>
        <v>0.13216402953</v>
      </c>
      <c r="S466" s="14">
        <f>R466/(I466+K466+M466)</f>
        <v>0.37724981609116254</v>
      </c>
      <c r="T466" s="61" t="s">
        <v>342</v>
      </c>
      <c r="U466" s="9"/>
      <c r="V466" s="12"/>
      <c r="X466" s="10"/>
    </row>
    <row r="467" spans="1:24" s="3" customFormat="1" ht="31.5" x14ac:dyDescent="0.25">
      <c r="A467" s="43" t="s">
        <v>252</v>
      </c>
      <c r="B467" s="48" t="s">
        <v>341</v>
      </c>
      <c r="C467" s="47" t="s">
        <v>340</v>
      </c>
      <c r="D467" s="16">
        <v>0.58079999999999998</v>
      </c>
      <c r="E467" s="18">
        <v>0</v>
      </c>
      <c r="F467" s="16">
        <f t="shared" si="149"/>
        <v>0.58079999999999998</v>
      </c>
      <c r="G467" s="17">
        <v>0.28320000000000001</v>
      </c>
      <c r="H467" s="16">
        <f t="shared" si="150"/>
        <v>0.28320000000000001</v>
      </c>
      <c r="I467" s="16">
        <v>0</v>
      </c>
      <c r="J467" s="16">
        <v>0</v>
      </c>
      <c r="K467" s="16">
        <v>0</v>
      </c>
      <c r="L467" s="18">
        <v>0</v>
      </c>
      <c r="M467" s="16">
        <v>0</v>
      </c>
      <c r="N467" s="16">
        <f>283.2/1000</f>
        <v>0.28320000000000001</v>
      </c>
      <c r="O467" s="16">
        <v>0.28320000000000001</v>
      </c>
      <c r="P467" s="16">
        <v>0</v>
      </c>
      <c r="Q467" s="16">
        <f t="shared" si="151"/>
        <v>0.29759999999999998</v>
      </c>
      <c r="R467" s="16">
        <f t="shared" si="152"/>
        <v>0.28320000000000001</v>
      </c>
      <c r="S467" s="14">
        <v>1</v>
      </c>
      <c r="T467" s="61" t="s">
        <v>2</v>
      </c>
      <c r="U467" s="9"/>
      <c r="V467" s="12"/>
      <c r="X467" s="10"/>
    </row>
    <row r="468" spans="1:24" s="3" customFormat="1" ht="31.5" x14ac:dyDescent="0.25">
      <c r="A468" s="43" t="s">
        <v>252</v>
      </c>
      <c r="B468" s="48" t="s">
        <v>339</v>
      </c>
      <c r="C468" s="47" t="s">
        <v>338</v>
      </c>
      <c r="D468" s="16">
        <v>0.58079999999999998</v>
      </c>
      <c r="E468" s="18">
        <v>0</v>
      </c>
      <c r="F468" s="16">
        <f t="shared" si="149"/>
        <v>0.58079999999999998</v>
      </c>
      <c r="G468" s="17">
        <v>0.28320000000000001</v>
      </c>
      <c r="H468" s="16">
        <f t="shared" ref="H468:H499" si="154">J468+L468+N468+P468</f>
        <v>0.28320000000000001</v>
      </c>
      <c r="I468" s="16">
        <v>0</v>
      </c>
      <c r="J468" s="16">
        <v>0</v>
      </c>
      <c r="K468" s="16">
        <v>0</v>
      </c>
      <c r="L468" s="18">
        <v>0</v>
      </c>
      <c r="M468" s="16">
        <v>0.28320000000000001</v>
      </c>
      <c r="N468" s="16">
        <f>283.2/1000</f>
        <v>0.28320000000000001</v>
      </c>
      <c r="O468" s="16">
        <v>0</v>
      </c>
      <c r="P468" s="16">
        <v>0</v>
      </c>
      <c r="Q468" s="16">
        <f t="shared" si="151"/>
        <v>0.29759999999999998</v>
      </c>
      <c r="R468" s="16">
        <f t="shared" si="152"/>
        <v>0</v>
      </c>
      <c r="S468" s="14">
        <f>R468/(I468+K468+M468)</f>
        <v>0</v>
      </c>
      <c r="T468" s="61" t="s">
        <v>0</v>
      </c>
      <c r="U468" s="9"/>
      <c r="V468" s="12"/>
      <c r="X468" s="10"/>
    </row>
    <row r="469" spans="1:24" s="3" customFormat="1" ht="31.5" x14ac:dyDescent="0.25">
      <c r="A469" s="43" t="s">
        <v>252</v>
      </c>
      <c r="B469" s="48" t="s">
        <v>337</v>
      </c>
      <c r="C469" s="47" t="s">
        <v>336</v>
      </c>
      <c r="D469" s="16">
        <v>0.17275167785234899</v>
      </c>
      <c r="E469" s="18">
        <v>0</v>
      </c>
      <c r="F469" s="16">
        <f t="shared" si="149"/>
        <v>0.17275167785234899</v>
      </c>
      <c r="G469" s="17">
        <v>0.17275167785234899</v>
      </c>
      <c r="H469" s="16">
        <f t="shared" si="154"/>
        <v>0</v>
      </c>
      <c r="I469" s="16">
        <v>0</v>
      </c>
      <c r="J469" s="16">
        <v>0</v>
      </c>
      <c r="K469" s="16">
        <v>0</v>
      </c>
      <c r="L469" s="18">
        <v>0</v>
      </c>
      <c r="M469" s="16">
        <v>0.17275167784999998</v>
      </c>
      <c r="N469" s="16">
        <v>0</v>
      </c>
      <c r="O469" s="16">
        <v>0</v>
      </c>
      <c r="P469" s="16">
        <v>0</v>
      </c>
      <c r="Q469" s="16">
        <f t="shared" si="151"/>
        <v>0.17275167785234899</v>
      </c>
      <c r="R469" s="16">
        <f t="shared" si="152"/>
        <v>-0.17275167784999998</v>
      </c>
      <c r="S469" s="14">
        <f>R469/(I469+K469+M469)</f>
        <v>-1</v>
      </c>
      <c r="T469" s="61" t="s">
        <v>260</v>
      </c>
      <c r="U469" s="9"/>
      <c r="V469" s="12"/>
      <c r="X469" s="10"/>
    </row>
    <row r="470" spans="1:24" s="3" customFormat="1" ht="37.5" customHeight="1" x14ac:dyDescent="0.25">
      <c r="A470" s="43" t="s">
        <v>252</v>
      </c>
      <c r="B470" s="48" t="s">
        <v>335</v>
      </c>
      <c r="C470" s="47" t="s">
        <v>334</v>
      </c>
      <c r="D470" s="16" t="s">
        <v>0</v>
      </c>
      <c r="E470" s="18" t="s">
        <v>0</v>
      </c>
      <c r="F470" s="16" t="s">
        <v>0</v>
      </c>
      <c r="G470" s="17" t="s">
        <v>0</v>
      </c>
      <c r="H470" s="16">
        <f t="shared" si="154"/>
        <v>0</v>
      </c>
      <c r="I470" s="16" t="s">
        <v>0</v>
      </c>
      <c r="J470" s="16">
        <v>0</v>
      </c>
      <c r="K470" s="16" t="s">
        <v>0</v>
      </c>
      <c r="L470" s="18">
        <v>0</v>
      </c>
      <c r="M470" s="16" t="s">
        <v>0</v>
      </c>
      <c r="N470" s="16">
        <v>0</v>
      </c>
      <c r="O470" s="16" t="s">
        <v>0</v>
      </c>
      <c r="P470" s="16">
        <v>0</v>
      </c>
      <c r="Q470" s="16" t="s">
        <v>0</v>
      </c>
      <c r="R470" s="16" t="s">
        <v>0</v>
      </c>
      <c r="S470" s="14" t="s">
        <v>0</v>
      </c>
      <c r="T470" s="61" t="s">
        <v>333</v>
      </c>
      <c r="U470" s="9"/>
      <c r="V470" s="12"/>
      <c r="X470" s="10"/>
    </row>
    <row r="471" spans="1:24" s="3" customFormat="1" ht="31.5" x14ac:dyDescent="0.25">
      <c r="A471" s="43" t="s">
        <v>252</v>
      </c>
      <c r="B471" s="48" t="s">
        <v>332</v>
      </c>
      <c r="C471" s="47" t="s">
        <v>331</v>
      </c>
      <c r="D471" s="16">
        <v>0.1716</v>
      </c>
      <c r="E471" s="18">
        <v>0</v>
      </c>
      <c r="F471" s="16">
        <f t="shared" ref="F471:F508" si="155">D471-E471</f>
        <v>0.1716</v>
      </c>
      <c r="G471" s="17">
        <v>0.1716</v>
      </c>
      <c r="H471" s="16">
        <f t="shared" si="154"/>
        <v>0</v>
      </c>
      <c r="I471" s="16">
        <v>0</v>
      </c>
      <c r="J471" s="16">
        <v>0</v>
      </c>
      <c r="K471" s="16">
        <v>0</v>
      </c>
      <c r="L471" s="18">
        <v>0</v>
      </c>
      <c r="M471" s="16">
        <v>0</v>
      </c>
      <c r="N471" s="16">
        <v>0</v>
      </c>
      <c r="O471" s="16">
        <v>0.1716</v>
      </c>
      <c r="P471" s="16">
        <v>0</v>
      </c>
      <c r="Q471" s="16">
        <f t="shared" ref="Q471:Q508" si="156">F471-H471</f>
        <v>0.1716</v>
      </c>
      <c r="R471" s="16">
        <f t="shared" ref="R471:R508" si="157">H471-(I471+K471+M471)</f>
        <v>0</v>
      </c>
      <c r="S471" s="14">
        <v>0</v>
      </c>
      <c r="T471" s="61" t="s">
        <v>0</v>
      </c>
      <c r="U471" s="9"/>
      <c r="V471" s="12"/>
      <c r="X471" s="10"/>
    </row>
    <row r="472" spans="1:24" s="3" customFormat="1" ht="31.5" x14ac:dyDescent="0.25">
      <c r="A472" s="43" t="s">
        <v>252</v>
      </c>
      <c r="B472" s="48" t="s">
        <v>330</v>
      </c>
      <c r="C472" s="47" t="s">
        <v>329</v>
      </c>
      <c r="D472" s="16">
        <v>0.1716</v>
      </c>
      <c r="E472" s="18">
        <v>0</v>
      </c>
      <c r="F472" s="16">
        <f t="shared" si="155"/>
        <v>0.1716</v>
      </c>
      <c r="G472" s="17">
        <v>0.1716</v>
      </c>
      <c r="H472" s="16">
        <f t="shared" si="154"/>
        <v>0</v>
      </c>
      <c r="I472" s="16">
        <v>0</v>
      </c>
      <c r="J472" s="16">
        <v>0</v>
      </c>
      <c r="K472" s="16">
        <v>0</v>
      </c>
      <c r="L472" s="18">
        <v>0</v>
      </c>
      <c r="M472" s="16">
        <v>0.1716</v>
      </c>
      <c r="N472" s="16">
        <v>0</v>
      </c>
      <c r="O472" s="16">
        <v>0</v>
      </c>
      <c r="P472" s="16">
        <v>0</v>
      </c>
      <c r="Q472" s="16">
        <f t="shared" si="156"/>
        <v>0.1716</v>
      </c>
      <c r="R472" s="16">
        <f t="shared" si="157"/>
        <v>-0.1716</v>
      </c>
      <c r="S472" s="14">
        <f>R472/(I472+K472+M472)</f>
        <v>-1</v>
      </c>
      <c r="T472" s="61" t="s">
        <v>260</v>
      </c>
      <c r="U472" s="9"/>
      <c r="V472" s="12"/>
      <c r="X472" s="10"/>
    </row>
    <row r="473" spans="1:24" s="3" customFormat="1" ht="47.25" x14ac:dyDescent="0.25">
      <c r="A473" s="43" t="s">
        <v>252</v>
      </c>
      <c r="B473" s="48" t="s">
        <v>328</v>
      </c>
      <c r="C473" s="47" t="s">
        <v>327</v>
      </c>
      <c r="D473" s="16">
        <v>3.1920000000000002</v>
      </c>
      <c r="E473" s="18">
        <v>0</v>
      </c>
      <c r="F473" s="16">
        <f t="shared" si="155"/>
        <v>3.1920000000000002</v>
      </c>
      <c r="G473" s="17">
        <v>3.1920000000000002</v>
      </c>
      <c r="H473" s="16">
        <f t="shared" si="154"/>
        <v>0</v>
      </c>
      <c r="I473" s="16">
        <v>0</v>
      </c>
      <c r="J473" s="16">
        <v>0</v>
      </c>
      <c r="K473" s="16">
        <v>0</v>
      </c>
      <c r="L473" s="18">
        <v>0</v>
      </c>
      <c r="M473" s="16">
        <v>0</v>
      </c>
      <c r="N473" s="16">
        <v>0</v>
      </c>
      <c r="O473" s="16">
        <v>3.1920000000000002</v>
      </c>
      <c r="P473" s="16">
        <v>0</v>
      </c>
      <c r="Q473" s="16">
        <f t="shared" si="156"/>
        <v>3.1920000000000002</v>
      </c>
      <c r="R473" s="16">
        <f t="shared" si="157"/>
        <v>0</v>
      </c>
      <c r="S473" s="14">
        <v>0</v>
      </c>
      <c r="T473" s="61" t="s">
        <v>0</v>
      </c>
      <c r="U473" s="9"/>
      <c r="V473" s="12"/>
      <c r="X473" s="10"/>
    </row>
    <row r="474" spans="1:24" s="3" customFormat="1" ht="31.5" x14ac:dyDescent="0.25">
      <c r="A474" s="43" t="s">
        <v>252</v>
      </c>
      <c r="B474" s="48" t="s">
        <v>326</v>
      </c>
      <c r="C474" s="47" t="s">
        <v>325</v>
      </c>
      <c r="D474" s="16">
        <v>0.16079999999999997</v>
      </c>
      <c r="E474" s="18">
        <v>0</v>
      </c>
      <c r="F474" s="16">
        <f t="shared" si="155"/>
        <v>0.16079999999999997</v>
      </c>
      <c r="G474" s="17">
        <v>0.16079999999999997</v>
      </c>
      <c r="H474" s="16">
        <f t="shared" si="154"/>
        <v>0</v>
      </c>
      <c r="I474" s="16">
        <v>0</v>
      </c>
      <c r="J474" s="16">
        <v>0</v>
      </c>
      <c r="K474" s="16">
        <v>0</v>
      </c>
      <c r="L474" s="18">
        <v>0</v>
      </c>
      <c r="M474" s="16">
        <v>0.1608</v>
      </c>
      <c r="N474" s="16">
        <v>0</v>
      </c>
      <c r="O474" s="16">
        <v>0</v>
      </c>
      <c r="P474" s="16">
        <v>0</v>
      </c>
      <c r="Q474" s="16">
        <f t="shared" si="156"/>
        <v>0.16079999999999997</v>
      </c>
      <c r="R474" s="16">
        <f t="shared" si="157"/>
        <v>-0.1608</v>
      </c>
      <c r="S474" s="14">
        <f t="shared" ref="S474:S505" si="158">R474/(I474+K474+M474)</f>
        <v>-1</v>
      </c>
      <c r="T474" s="61" t="s">
        <v>0</v>
      </c>
      <c r="U474" s="9"/>
      <c r="V474" s="12"/>
      <c r="X474" s="10"/>
    </row>
    <row r="475" spans="1:24" s="3" customFormat="1" ht="31.5" x14ac:dyDescent="0.25">
      <c r="A475" s="43" t="s">
        <v>252</v>
      </c>
      <c r="B475" s="48" t="s">
        <v>324</v>
      </c>
      <c r="C475" s="47" t="s">
        <v>323</v>
      </c>
      <c r="D475" s="16">
        <v>0.13079999999999997</v>
      </c>
      <c r="E475" s="18">
        <v>0</v>
      </c>
      <c r="F475" s="16">
        <f t="shared" si="155"/>
        <v>0.13079999999999997</v>
      </c>
      <c r="G475" s="17">
        <v>0.13079999999999997</v>
      </c>
      <c r="H475" s="16">
        <f t="shared" si="154"/>
        <v>0.11640164</v>
      </c>
      <c r="I475" s="16">
        <v>0</v>
      </c>
      <c r="J475" s="16">
        <v>0</v>
      </c>
      <c r="K475" s="18">
        <v>0</v>
      </c>
      <c r="L475" s="18">
        <v>0</v>
      </c>
      <c r="M475" s="16">
        <v>0.1308</v>
      </c>
      <c r="N475" s="16">
        <f>116.40164/1000</f>
        <v>0.11640164</v>
      </c>
      <c r="O475" s="16">
        <v>0</v>
      </c>
      <c r="P475" s="16">
        <v>0</v>
      </c>
      <c r="Q475" s="16">
        <f t="shared" si="156"/>
        <v>1.4398359999999971E-2</v>
      </c>
      <c r="R475" s="16">
        <f t="shared" si="157"/>
        <v>-1.4398359999999999E-2</v>
      </c>
      <c r="S475" s="14">
        <f t="shared" si="158"/>
        <v>-0.11007920489296635</v>
      </c>
      <c r="T475" s="61" t="s">
        <v>316</v>
      </c>
      <c r="U475" s="9"/>
      <c r="V475" s="12"/>
      <c r="X475" s="10"/>
    </row>
    <row r="476" spans="1:24" s="3" customFormat="1" ht="31.5" x14ac:dyDescent="0.25">
      <c r="A476" s="43" t="s">
        <v>252</v>
      </c>
      <c r="B476" s="48" t="s">
        <v>322</v>
      </c>
      <c r="C476" s="47" t="s">
        <v>321</v>
      </c>
      <c r="D476" s="16">
        <v>5.7599999999999991E-2</v>
      </c>
      <c r="E476" s="18">
        <v>0</v>
      </c>
      <c r="F476" s="16">
        <f t="shared" si="155"/>
        <v>5.7599999999999991E-2</v>
      </c>
      <c r="G476" s="17">
        <v>5.7599999999999991E-2</v>
      </c>
      <c r="H476" s="16">
        <f t="shared" si="154"/>
        <v>0</v>
      </c>
      <c r="I476" s="16">
        <v>0</v>
      </c>
      <c r="J476" s="16">
        <v>0</v>
      </c>
      <c r="K476" s="16">
        <v>0</v>
      </c>
      <c r="L476" s="18">
        <v>0</v>
      </c>
      <c r="M476" s="16">
        <v>5.7599999999999998E-2</v>
      </c>
      <c r="N476" s="16">
        <v>0</v>
      </c>
      <c r="O476" s="16">
        <v>0</v>
      </c>
      <c r="P476" s="16">
        <v>0</v>
      </c>
      <c r="Q476" s="16">
        <f t="shared" si="156"/>
        <v>5.7599999999999991E-2</v>
      </c>
      <c r="R476" s="16">
        <f t="shared" si="157"/>
        <v>-5.7599999999999998E-2</v>
      </c>
      <c r="S476" s="14">
        <f t="shared" si="158"/>
        <v>-1</v>
      </c>
      <c r="T476" s="61" t="s">
        <v>260</v>
      </c>
      <c r="U476" s="9"/>
      <c r="V476" s="12"/>
      <c r="X476" s="10"/>
    </row>
    <row r="477" spans="1:24" s="3" customFormat="1" ht="31.5" x14ac:dyDescent="0.25">
      <c r="A477" s="43" t="s">
        <v>252</v>
      </c>
      <c r="B477" s="48" t="s">
        <v>320</v>
      </c>
      <c r="C477" s="47" t="s">
        <v>319</v>
      </c>
      <c r="D477" s="16">
        <v>0.37680000000000002</v>
      </c>
      <c r="E477" s="18">
        <v>0</v>
      </c>
      <c r="F477" s="16">
        <f t="shared" si="155"/>
        <v>0.37680000000000002</v>
      </c>
      <c r="G477" s="17">
        <v>0.37680000000000002</v>
      </c>
      <c r="H477" s="16">
        <f t="shared" si="154"/>
        <v>0.51695639999999998</v>
      </c>
      <c r="I477" s="16">
        <v>0</v>
      </c>
      <c r="J477" s="16">
        <v>0</v>
      </c>
      <c r="K477" s="16">
        <v>0</v>
      </c>
      <c r="L477" s="18">
        <v>0</v>
      </c>
      <c r="M477" s="16">
        <v>0.37680000000000002</v>
      </c>
      <c r="N477" s="16">
        <f>516.9564/1000</f>
        <v>0.51695639999999998</v>
      </c>
      <c r="O477" s="16">
        <v>0</v>
      </c>
      <c r="P477" s="16">
        <v>0</v>
      </c>
      <c r="Q477" s="16">
        <f t="shared" si="156"/>
        <v>-0.14015639999999996</v>
      </c>
      <c r="R477" s="16">
        <f t="shared" si="157"/>
        <v>0.14015639999999996</v>
      </c>
      <c r="S477" s="14">
        <f t="shared" si="158"/>
        <v>0.37196496815286612</v>
      </c>
      <c r="T477" s="61" t="s">
        <v>270</v>
      </c>
      <c r="U477" s="9"/>
      <c r="V477" s="12"/>
      <c r="X477" s="10"/>
    </row>
    <row r="478" spans="1:24" s="3" customFormat="1" ht="47.25" x14ac:dyDescent="0.25">
      <c r="A478" s="43" t="s">
        <v>252</v>
      </c>
      <c r="B478" s="48" t="s">
        <v>318</v>
      </c>
      <c r="C478" s="47" t="s">
        <v>317</v>
      </c>
      <c r="D478" s="16">
        <v>0.13319999999999999</v>
      </c>
      <c r="E478" s="18">
        <v>0</v>
      </c>
      <c r="F478" s="16">
        <f t="shared" si="155"/>
        <v>0.13319999999999999</v>
      </c>
      <c r="G478" s="17">
        <v>0.13319999999999999</v>
      </c>
      <c r="H478" s="16">
        <f t="shared" si="154"/>
        <v>7.71236E-2</v>
      </c>
      <c r="I478" s="16">
        <v>0</v>
      </c>
      <c r="J478" s="16">
        <v>0</v>
      </c>
      <c r="K478" s="16">
        <v>0</v>
      </c>
      <c r="L478" s="18">
        <v>0</v>
      </c>
      <c r="M478" s="16">
        <v>0.13319999999999999</v>
      </c>
      <c r="N478" s="16">
        <f>77.1236/1000</f>
        <v>7.71236E-2</v>
      </c>
      <c r="O478" s="16">
        <v>0</v>
      </c>
      <c r="P478" s="16">
        <v>0</v>
      </c>
      <c r="Q478" s="16">
        <f t="shared" si="156"/>
        <v>5.6076399999999985E-2</v>
      </c>
      <c r="R478" s="16">
        <f t="shared" si="157"/>
        <v>-5.6076399999999985E-2</v>
      </c>
      <c r="S478" s="14">
        <f t="shared" si="158"/>
        <v>-0.4209939939939939</v>
      </c>
      <c r="T478" s="61" t="s">
        <v>316</v>
      </c>
      <c r="U478" s="9"/>
      <c r="V478" s="12"/>
      <c r="X478" s="10"/>
    </row>
    <row r="479" spans="1:24" s="3" customFormat="1" ht="31.5" x14ac:dyDescent="0.25">
      <c r="A479" s="43" t="s">
        <v>252</v>
      </c>
      <c r="B479" s="48" t="s">
        <v>315</v>
      </c>
      <c r="C479" s="47" t="s">
        <v>314</v>
      </c>
      <c r="D479" s="16">
        <v>6.9599999999999995E-2</v>
      </c>
      <c r="E479" s="18">
        <v>0</v>
      </c>
      <c r="F479" s="16">
        <f t="shared" si="155"/>
        <v>6.9599999999999995E-2</v>
      </c>
      <c r="G479" s="17">
        <v>6.9599999999999995E-2</v>
      </c>
      <c r="H479" s="16">
        <f t="shared" si="154"/>
        <v>0.10557647000000001</v>
      </c>
      <c r="I479" s="16">
        <v>0</v>
      </c>
      <c r="J479" s="16">
        <v>0</v>
      </c>
      <c r="K479" s="16">
        <v>0</v>
      </c>
      <c r="L479" s="18">
        <v>0</v>
      </c>
      <c r="M479" s="16">
        <v>6.9599999999999995E-2</v>
      </c>
      <c r="N479" s="16">
        <f>105.57647/1000</f>
        <v>0.10557647000000001</v>
      </c>
      <c r="O479" s="16">
        <v>0</v>
      </c>
      <c r="P479" s="16">
        <v>0</v>
      </c>
      <c r="Q479" s="16">
        <f t="shared" si="156"/>
        <v>-3.597647000000001E-2</v>
      </c>
      <c r="R479" s="16">
        <f t="shared" si="157"/>
        <v>3.597647000000001E-2</v>
      </c>
      <c r="S479" s="14">
        <f t="shared" si="158"/>
        <v>0.51690330459770129</v>
      </c>
      <c r="T479" s="61" t="s">
        <v>270</v>
      </c>
      <c r="U479" s="9"/>
      <c r="V479" s="12"/>
      <c r="X479" s="10"/>
    </row>
    <row r="480" spans="1:24" s="3" customFormat="1" ht="31.5" x14ac:dyDescent="0.25">
      <c r="A480" s="43" t="s">
        <v>252</v>
      </c>
      <c r="B480" s="48" t="s">
        <v>313</v>
      </c>
      <c r="C480" s="47" t="s">
        <v>312</v>
      </c>
      <c r="D480" s="16">
        <v>0.20519999999999999</v>
      </c>
      <c r="E480" s="18">
        <v>0</v>
      </c>
      <c r="F480" s="16">
        <f t="shared" si="155"/>
        <v>0.20519999999999999</v>
      </c>
      <c r="G480" s="17">
        <v>0.20519999999999999</v>
      </c>
      <c r="H480" s="16">
        <f t="shared" si="154"/>
        <v>0.18546665999999998</v>
      </c>
      <c r="I480" s="16">
        <v>0</v>
      </c>
      <c r="J480" s="16">
        <v>0</v>
      </c>
      <c r="K480" s="16">
        <v>0</v>
      </c>
      <c r="L480" s="18">
        <v>0</v>
      </c>
      <c r="M480" s="16">
        <v>0.20519999999999999</v>
      </c>
      <c r="N480" s="16">
        <f>185.46666/1000</f>
        <v>0.18546665999999998</v>
      </c>
      <c r="O480" s="16">
        <v>0</v>
      </c>
      <c r="P480" s="16">
        <v>0</v>
      </c>
      <c r="Q480" s="16">
        <f t="shared" si="156"/>
        <v>1.9733340000000016E-2</v>
      </c>
      <c r="R480" s="16">
        <f t="shared" si="157"/>
        <v>-1.9733340000000016E-2</v>
      </c>
      <c r="S480" s="14">
        <f t="shared" si="158"/>
        <v>-9.6166374269005928E-2</v>
      </c>
      <c r="T480" s="61" t="s">
        <v>0</v>
      </c>
      <c r="U480" s="9"/>
      <c r="V480" s="12"/>
      <c r="X480" s="10"/>
    </row>
    <row r="481" spans="1:24" s="3" customFormat="1" ht="31.5" x14ac:dyDescent="0.25">
      <c r="A481" s="43" t="s">
        <v>252</v>
      </c>
      <c r="B481" s="48" t="s">
        <v>311</v>
      </c>
      <c r="C481" s="47" t="s">
        <v>310</v>
      </c>
      <c r="D481" s="16">
        <v>8.0399999999999985E-2</v>
      </c>
      <c r="E481" s="18">
        <v>0</v>
      </c>
      <c r="F481" s="16">
        <f t="shared" si="155"/>
        <v>8.0399999999999985E-2</v>
      </c>
      <c r="G481" s="17">
        <v>8.0399999999999985E-2</v>
      </c>
      <c r="H481" s="16">
        <f t="shared" si="154"/>
        <v>0</v>
      </c>
      <c r="I481" s="16">
        <v>0</v>
      </c>
      <c r="J481" s="16">
        <v>0</v>
      </c>
      <c r="K481" s="16">
        <v>0</v>
      </c>
      <c r="L481" s="18">
        <v>0</v>
      </c>
      <c r="M481" s="16">
        <v>8.0399999999999999E-2</v>
      </c>
      <c r="N481" s="16">
        <v>0</v>
      </c>
      <c r="O481" s="16">
        <v>0</v>
      </c>
      <c r="P481" s="16">
        <v>0</v>
      </c>
      <c r="Q481" s="16">
        <f t="shared" si="156"/>
        <v>8.0399999999999985E-2</v>
      </c>
      <c r="R481" s="16">
        <f t="shared" si="157"/>
        <v>-8.0399999999999999E-2</v>
      </c>
      <c r="S481" s="14">
        <f t="shared" si="158"/>
        <v>-1</v>
      </c>
      <c r="T481" s="61" t="s">
        <v>260</v>
      </c>
      <c r="U481" s="9"/>
      <c r="V481" s="12"/>
      <c r="X481" s="10"/>
    </row>
    <row r="482" spans="1:24" s="3" customFormat="1" ht="31.5" x14ac:dyDescent="0.25">
      <c r="A482" s="43" t="s">
        <v>252</v>
      </c>
      <c r="B482" s="48" t="s">
        <v>309</v>
      </c>
      <c r="C482" s="47" t="s">
        <v>308</v>
      </c>
      <c r="D482" s="16">
        <v>0.59160000000000001</v>
      </c>
      <c r="E482" s="18">
        <v>0</v>
      </c>
      <c r="F482" s="16">
        <f t="shared" si="155"/>
        <v>0.59160000000000001</v>
      </c>
      <c r="G482" s="17">
        <v>0.59160000000000001</v>
      </c>
      <c r="H482" s="16">
        <f t="shared" si="154"/>
        <v>0.37837900000000002</v>
      </c>
      <c r="I482" s="16">
        <v>0</v>
      </c>
      <c r="J482" s="16">
        <v>0</v>
      </c>
      <c r="K482" s="16">
        <v>0</v>
      </c>
      <c r="L482" s="18">
        <v>0</v>
      </c>
      <c r="M482" s="16">
        <v>0.59160000000000001</v>
      </c>
      <c r="N482" s="16">
        <f>378.379/1000</f>
        <v>0.37837900000000002</v>
      </c>
      <c r="O482" s="16">
        <v>0</v>
      </c>
      <c r="P482" s="16">
        <v>0</v>
      </c>
      <c r="Q482" s="16">
        <f t="shared" si="156"/>
        <v>0.21322099999999999</v>
      </c>
      <c r="R482" s="16">
        <f t="shared" si="157"/>
        <v>-0.21322099999999999</v>
      </c>
      <c r="S482" s="14">
        <f t="shared" si="158"/>
        <v>-0.36041413116970922</v>
      </c>
      <c r="T482" s="61" t="s">
        <v>275</v>
      </c>
      <c r="U482" s="9"/>
      <c r="V482" s="12"/>
      <c r="X482" s="10"/>
    </row>
    <row r="483" spans="1:24" s="3" customFormat="1" ht="31.5" x14ac:dyDescent="0.25">
      <c r="A483" s="43" t="s">
        <v>252</v>
      </c>
      <c r="B483" s="48" t="s">
        <v>307</v>
      </c>
      <c r="C483" s="47" t="s">
        <v>306</v>
      </c>
      <c r="D483" s="16">
        <v>1.0427999999999999</v>
      </c>
      <c r="E483" s="18">
        <v>0</v>
      </c>
      <c r="F483" s="16">
        <f t="shared" si="155"/>
        <v>1.0427999999999999</v>
      </c>
      <c r="G483" s="17">
        <v>1.0427999999999999</v>
      </c>
      <c r="H483" s="16">
        <f t="shared" si="154"/>
        <v>1.0403712000000001</v>
      </c>
      <c r="I483" s="16">
        <v>0</v>
      </c>
      <c r="J483" s="16">
        <v>0</v>
      </c>
      <c r="K483" s="16">
        <v>0</v>
      </c>
      <c r="L483" s="18">
        <v>1.0403712000000001</v>
      </c>
      <c r="M483" s="16">
        <v>1.0427999999999999</v>
      </c>
      <c r="N483" s="16">
        <v>0</v>
      </c>
      <c r="O483" s="16">
        <v>0</v>
      </c>
      <c r="P483" s="16">
        <v>0</v>
      </c>
      <c r="Q483" s="16">
        <f t="shared" si="156"/>
        <v>2.4287999999998977E-3</v>
      </c>
      <c r="R483" s="16">
        <f t="shared" si="157"/>
        <v>-2.4287999999998977E-3</v>
      </c>
      <c r="S483" s="14">
        <f t="shared" si="158"/>
        <v>-2.3291139240505347E-3</v>
      </c>
      <c r="T483" s="61" t="s">
        <v>0</v>
      </c>
      <c r="U483" s="9"/>
      <c r="V483" s="12"/>
      <c r="X483" s="10"/>
    </row>
    <row r="484" spans="1:24" s="3" customFormat="1" ht="31.5" x14ac:dyDescent="0.25">
      <c r="A484" s="43" t="s">
        <v>252</v>
      </c>
      <c r="B484" s="48" t="s">
        <v>305</v>
      </c>
      <c r="C484" s="47" t="s">
        <v>304</v>
      </c>
      <c r="D484" s="16">
        <v>0.16440000000000002</v>
      </c>
      <c r="E484" s="18">
        <v>0</v>
      </c>
      <c r="F484" s="16">
        <f t="shared" si="155"/>
        <v>0.16440000000000002</v>
      </c>
      <c r="G484" s="17">
        <v>0.16440000000000002</v>
      </c>
      <c r="H484" s="16">
        <f t="shared" si="154"/>
        <v>0.154422</v>
      </c>
      <c r="I484" s="16">
        <v>0</v>
      </c>
      <c r="J484" s="16">
        <v>0</v>
      </c>
      <c r="K484" s="16">
        <v>0</v>
      </c>
      <c r="L484" s="18">
        <v>0.154422</v>
      </c>
      <c r="M484" s="16">
        <v>0.16440000000000002</v>
      </c>
      <c r="N484" s="16">
        <v>0</v>
      </c>
      <c r="O484" s="16">
        <v>0</v>
      </c>
      <c r="P484" s="16">
        <v>0</v>
      </c>
      <c r="Q484" s="16">
        <f t="shared" si="156"/>
        <v>9.9780000000000146E-3</v>
      </c>
      <c r="R484" s="16">
        <f t="shared" si="157"/>
        <v>-9.9780000000000146E-3</v>
      </c>
      <c r="S484" s="14">
        <f t="shared" si="158"/>
        <v>-6.0693430656934388E-2</v>
      </c>
      <c r="T484" s="61" t="s">
        <v>0</v>
      </c>
      <c r="U484" s="9"/>
      <c r="V484" s="12"/>
      <c r="X484" s="10"/>
    </row>
    <row r="485" spans="1:24" s="3" customFormat="1" ht="31.5" x14ac:dyDescent="0.25">
      <c r="A485" s="43" t="s">
        <v>252</v>
      </c>
      <c r="B485" s="48" t="s">
        <v>303</v>
      </c>
      <c r="C485" s="47" t="s">
        <v>302</v>
      </c>
      <c r="D485" s="16">
        <v>0.20519999999999999</v>
      </c>
      <c r="E485" s="18">
        <v>0</v>
      </c>
      <c r="F485" s="16">
        <f t="shared" si="155"/>
        <v>0.20519999999999999</v>
      </c>
      <c r="G485" s="17">
        <v>0.20519999999999999</v>
      </c>
      <c r="H485" s="16">
        <f t="shared" si="154"/>
        <v>0</v>
      </c>
      <c r="I485" s="16">
        <v>0</v>
      </c>
      <c r="J485" s="16">
        <v>0</v>
      </c>
      <c r="K485" s="16">
        <v>0</v>
      </c>
      <c r="L485" s="18">
        <v>0</v>
      </c>
      <c r="M485" s="16">
        <v>0.20519999999999999</v>
      </c>
      <c r="N485" s="16">
        <v>0</v>
      </c>
      <c r="O485" s="16">
        <v>0</v>
      </c>
      <c r="P485" s="16">
        <v>0</v>
      </c>
      <c r="Q485" s="16">
        <f t="shared" si="156"/>
        <v>0.20519999999999999</v>
      </c>
      <c r="R485" s="16">
        <f t="shared" si="157"/>
        <v>-0.20519999999999999</v>
      </c>
      <c r="S485" s="14">
        <f t="shared" si="158"/>
        <v>-1</v>
      </c>
      <c r="T485" s="61" t="s">
        <v>260</v>
      </c>
      <c r="U485" s="9"/>
      <c r="V485" s="12"/>
      <c r="X485" s="10"/>
    </row>
    <row r="486" spans="1:24" s="3" customFormat="1" ht="31.5" x14ac:dyDescent="0.25">
      <c r="A486" s="43" t="s">
        <v>252</v>
      </c>
      <c r="B486" s="48" t="s">
        <v>301</v>
      </c>
      <c r="C486" s="47" t="s">
        <v>300</v>
      </c>
      <c r="D486" s="16">
        <v>7.92</v>
      </c>
      <c r="E486" s="18">
        <v>0</v>
      </c>
      <c r="F486" s="16">
        <f t="shared" si="155"/>
        <v>7.92</v>
      </c>
      <c r="G486" s="17">
        <v>7.92</v>
      </c>
      <c r="H486" s="16">
        <f t="shared" si="154"/>
        <v>0</v>
      </c>
      <c r="I486" s="16">
        <v>0</v>
      </c>
      <c r="J486" s="16">
        <v>0</v>
      </c>
      <c r="K486" s="16">
        <v>0</v>
      </c>
      <c r="L486" s="18">
        <v>0</v>
      </c>
      <c r="M486" s="16">
        <v>7.92</v>
      </c>
      <c r="N486" s="16">
        <v>0</v>
      </c>
      <c r="O486" s="16">
        <v>0</v>
      </c>
      <c r="P486" s="16">
        <v>0</v>
      </c>
      <c r="Q486" s="16">
        <f t="shared" si="156"/>
        <v>7.92</v>
      </c>
      <c r="R486" s="16">
        <f t="shared" si="157"/>
        <v>-7.92</v>
      </c>
      <c r="S486" s="14">
        <f t="shared" si="158"/>
        <v>-1</v>
      </c>
      <c r="T486" s="61" t="s">
        <v>260</v>
      </c>
      <c r="U486" s="9"/>
      <c r="V486" s="12"/>
      <c r="X486" s="10"/>
    </row>
    <row r="487" spans="1:24" s="3" customFormat="1" ht="31.5" x14ac:dyDescent="0.25">
      <c r="A487" s="43" t="s">
        <v>252</v>
      </c>
      <c r="B487" s="48" t="s">
        <v>299</v>
      </c>
      <c r="C487" s="47" t="s">
        <v>298</v>
      </c>
      <c r="D487" s="16">
        <v>1.8480000000000001</v>
      </c>
      <c r="E487" s="18">
        <v>0</v>
      </c>
      <c r="F487" s="16">
        <f t="shared" si="155"/>
        <v>1.8480000000000001</v>
      </c>
      <c r="G487" s="17">
        <v>1.8480000000000001</v>
      </c>
      <c r="H487" s="16">
        <f t="shared" si="154"/>
        <v>0</v>
      </c>
      <c r="I487" s="16">
        <v>0</v>
      </c>
      <c r="J487" s="16">
        <v>0</v>
      </c>
      <c r="K487" s="16">
        <v>0</v>
      </c>
      <c r="L487" s="18">
        <v>0</v>
      </c>
      <c r="M487" s="16">
        <v>1.8480000000000001</v>
      </c>
      <c r="N487" s="16">
        <v>0</v>
      </c>
      <c r="O487" s="16">
        <v>0</v>
      </c>
      <c r="P487" s="16">
        <v>0</v>
      </c>
      <c r="Q487" s="16">
        <f t="shared" si="156"/>
        <v>1.8480000000000001</v>
      </c>
      <c r="R487" s="16">
        <f t="shared" si="157"/>
        <v>-1.8480000000000001</v>
      </c>
      <c r="S487" s="14">
        <f t="shared" si="158"/>
        <v>-1</v>
      </c>
      <c r="T487" s="61" t="s">
        <v>0</v>
      </c>
      <c r="U487" s="9"/>
      <c r="V487" s="12"/>
      <c r="X487" s="10"/>
    </row>
    <row r="488" spans="1:24" s="3" customFormat="1" ht="31.5" x14ac:dyDescent="0.25">
      <c r="A488" s="43" t="s">
        <v>252</v>
      </c>
      <c r="B488" s="48" t="s">
        <v>297</v>
      </c>
      <c r="C488" s="47" t="s">
        <v>296</v>
      </c>
      <c r="D488" s="16">
        <v>3.7800000000000002</v>
      </c>
      <c r="E488" s="18">
        <v>0</v>
      </c>
      <c r="F488" s="16">
        <f t="shared" si="155"/>
        <v>3.7800000000000002</v>
      </c>
      <c r="G488" s="17">
        <v>1.26</v>
      </c>
      <c r="H488" s="16">
        <f t="shared" si="154"/>
        <v>1.26</v>
      </c>
      <c r="I488" s="16">
        <v>0</v>
      </c>
      <c r="J488" s="16">
        <v>0</v>
      </c>
      <c r="K488" s="16">
        <v>0</v>
      </c>
      <c r="L488" s="18">
        <v>0</v>
      </c>
      <c r="M488" s="16">
        <v>1.26</v>
      </c>
      <c r="N488" s="16">
        <v>1.26</v>
      </c>
      <c r="O488" s="16">
        <v>0</v>
      </c>
      <c r="P488" s="16">
        <v>0</v>
      </c>
      <c r="Q488" s="16">
        <f t="shared" si="156"/>
        <v>2.5200000000000005</v>
      </c>
      <c r="R488" s="16">
        <f t="shared" si="157"/>
        <v>0</v>
      </c>
      <c r="S488" s="14">
        <f t="shared" si="158"/>
        <v>0</v>
      </c>
      <c r="T488" s="61" t="s">
        <v>0</v>
      </c>
      <c r="U488" s="9"/>
      <c r="V488" s="12"/>
      <c r="X488" s="10"/>
    </row>
    <row r="489" spans="1:24" s="3" customFormat="1" x14ac:dyDescent="0.25">
      <c r="A489" s="43" t="s">
        <v>252</v>
      </c>
      <c r="B489" s="48" t="s">
        <v>295</v>
      </c>
      <c r="C489" s="47" t="s">
        <v>294</v>
      </c>
      <c r="D489" s="16">
        <v>11.76</v>
      </c>
      <c r="E489" s="18">
        <v>0</v>
      </c>
      <c r="F489" s="16">
        <f t="shared" si="155"/>
        <v>11.76</v>
      </c>
      <c r="G489" s="17">
        <v>11.76</v>
      </c>
      <c r="H489" s="16">
        <f t="shared" si="154"/>
        <v>0</v>
      </c>
      <c r="I489" s="16">
        <v>0</v>
      </c>
      <c r="J489" s="16">
        <v>0</v>
      </c>
      <c r="K489" s="16">
        <v>0</v>
      </c>
      <c r="L489" s="18">
        <v>0</v>
      </c>
      <c r="M489" s="16">
        <v>11.76</v>
      </c>
      <c r="N489" s="16">
        <v>0</v>
      </c>
      <c r="O489" s="16">
        <v>0</v>
      </c>
      <c r="P489" s="16">
        <v>0</v>
      </c>
      <c r="Q489" s="16">
        <f t="shared" si="156"/>
        <v>11.76</v>
      </c>
      <c r="R489" s="16">
        <f t="shared" si="157"/>
        <v>-11.76</v>
      </c>
      <c r="S489" s="14">
        <f t="shared" si="158"/>
        <v>-1</v>
      </c>
      <c r="T489" s="61" t="s">
        <v>260</v>
      </c>
      <c r="U489" s="9"/>
      <c r="V489" s="12"/>
      <c r="X489" s="10"/>
    </row>
    <row r="490" spans="1:24" s="3" customFormat="1" ht="31.5" x14ac:dyDescent="0.25">
      <c r="A490" s="43" t="s">
        <v>252</v>
      </c>
      <c r="B490" s="48" t="s">
        <v>293</v>
      </c>
      <c r="C490" s="47" t="s">
        <v>292</v>
      </c>
      <c r="D490" s="16">
        <v>2.4</v>
      </c>
      <c r="E490" s="18">
        <v>0</v>
      </c>
      <c r="F490" s="16">
        <f t="shared" si="155"/>
        <v>2.4</v>
      </c>
      <c r="G490" s="17">
        <v>2.4</v>
      </c>
      <c r="H490" s="16">
        <f t="shared" si="154"/>
        <v>0</v>
      </c>
      <c r="I490" s="16">
        <v>0</v>
      </c>
      <c r="J490" s="16">
        <v>0</v>
      </c>
      <c r="K490" s="16">
        <v>0</v>
      </c>
      <c r="L490" s="18">
        <v>0</v>
      </c>
      <c r="M490" s="16">
        <v>2.4</v>
      </c>
      <c r="N490" s="16">
        <v>0</v>
      </c>
      <c r="O490" s="16">
        <v>0</v>
      </c>
      <c r="P490" s="16">
        <v>0</v>
      </c>
      <c r="Q490" s="16">
        <f t="shared" si="156"/>
        <v>2.4</v>
      </c>
      <c r="R490" s="16">
        <f t="shared" si="157"/>
        <v>-2.4</v>
      </c>
      <c r="S490" s="14">
        <f t="shared" si="158"/>
        <v>-1</v>
      </c>
      <c r="T490" s="61" t="s">
        <v>260</v>
      </c>
      <c r="U490" s="9"/>
      <c r="V490" s="12"/>
      <c r="X490" s="10"/>
    </row>
    <row r="491" spans="1:24" s="3" customFormat="1" ht="31.5" x14ac:dyDescent="0.25">
      <c r="A491" s="43" t="s">
        <v>252</v>
      </c>
      <c r="B491" s="48" t="s">
        <v>291</v>
      </c>
      <c r="C491" s="47" t="s">
        <v>290</v>
      </c>
      <c r="D491" s="16">
        <v>14.496</v>
      </c>
      <c r="E491" s="18">
        <v>0</v>
      </c>
      <c r="F491" s="16">
        <f t="shared" si="155"/>
        <v>14.496</v>
      </c>
      <c r="G491" s="17">
        <v>5.4960000000000004</v>
      </c>
      <c r="H491" s="16">
        <f t="shared" si="154"/>
        <v>5.73</v>
      </c>
      <c r="I491" s="16">
        <v>0</v>
      </c>
      <c r="J491" s="16">
        <v>0</v>
      </c>
      <c r="K491" s="16">
        <v>0</v>
      </c>
      <c r="L491" s="18">
        <v>0</v>
      </c>
      <c r="M491" s="16">
        <v>5.4960000000000004</v>
      </c>
      <c r="N491" s="16">
        <v>5.73</v>
      </c>
      <c r="O491" s="16">
        <v>0</v>
      </c>
      <c r="P491" s="16">
        <v>0</v>
      </c>
      <c r="Q491" s="16">
        <f t="shared" si="156"/>
        <v>8.766</v>
      </c>
      <c r="R491" s="16">
        <f t="shared" si="157"/>
        <v>0.23399999999999999</v>
      </c>
      <c r="S491" s="14">
        <f t="shared" si="158"/>
        <v>4.2576419213973794E-2</v>
      </c>
      <c r="T491" s="61" t="s">
        <v>0</v>
      </c>
      <c r="U491" s="9"/>
      <c r="V491" s="12"/>
      <c r="X491" s="10"/>
    </row>
    <row r="492" spans="1:24" s="3" customFormat="1" ht="31.5" x14ac:dyDescent="0.25">
      <c r="A492" s="43" t="s">
        <v>252</v>
      </c>
      <c r="B492" s="48" t="s">
        <v>289</v>
      </c>
      <c r="C492" s="47" t="s">
        <v>288</v>
      </c>
      <c r="D492" s="16">
        <v>6.5759999999999996</v>
      </c>
      <c r="E492" s="18">
        <v>0</v>
      </c>
      <c r="F492" s="16">
        <f t="shared" si="155"/>
        <v>6.5759999999999996</v>
      </c>
      <c r="G492" s="17">
        <v>6.5759999999999996</v>
      </c>
      <c r="H492" s="16">
        <f t="shared" si="154"/>
        <v>6.516</v>
      </c>
      <c r="I492" s="16">
        <v>0</v>
      </c>
      <c r="J492" s="16">
        <v>0</v>
      </c>
      <c r="K492" s="16">
        <v>0</v>
      </c>
      <c r="L492" s="18">
        <v>0</v>
      </c>
      <c r="M492" s="16">
        <v>6.5759999999999996</v>
      </c>
      <c r="N492" s="16">
        <v>6.516</v>
      </c>
      <c r="O492" s="16">
        <v>0</v>
      </c>
      <c r="P492" s="16">
        <v>0</v>
      </c>
      <c r="Q492" s="16">
        <f t="shared" si="156"/>
        <v>5.9999999999999609E-2</v>
      </c>
      <c r="R492" s="16">
        <f t="shared" si="157"/>
        <v>-5.9999999999999609E-2</v>
      </c>
      <c r="S492" s="14">
        <f t="shared" si="158"/>
        <v>-9.1240875912408162E-3</v>
      </c>
      <c r="T492" s="61" t="s">
        <v>0</v>
      </c>
      <c r="U492" s="9"/>
      <c r="V492" s="12"/>
      <c r="X492" s="10"/>
    </row>
    <row r="493" spans="1:24" s="3" customFormat="1" ht="31.5" x14ac:dyDescent="0.25">
      <c r="A493" s="43" t="s">
        <v>252</v>
      </c>
      <c r="B493" s="48" t="s">
        <v>287</v>
      </c>
      <c r="C493" s="47" t="s">
        <v>286</v>
      </c>
      <c r="D493" s="16">
        <v>0.75600000000000001</v>
      </c>
      <c r="E493" s="18">
        <v>0</v>
      </c>
      <c r="F493" s="16">
        <f t="shared" si="155"/>
        <v>0.75600000000000001</v>
      </c>
      <c r="G493" s="17">
        <v>0.36</v>
      </c>
      <c r="H493" s="16">
        <f t="shared" si="154"/>
        <v>0.14399999999999999</v>
      </c>
      <c r="I493" s="16">
        <v>0</v>
      </c>
      <c r="J493" s="16">
        <v>0</v>
      </c>
      <c r="K493" s="16">
        <v>0</v>
      </c>
      <c r="L493" s="18">
        <v>0.14399999999999999</v>
      </c>
      <c r="M493" s="16">
        <v>0.36</v>
      </c>
      <c r="N493" s="16">
        <v>0</v>
      </c>
      <c r="O493" s="16">
        <v>0</v>
      </c>
      <c r="P493" s="16">
        <v>0</v>
      </c>
      <c r="Q493" s="16">
        <f t="shared" si="156"/>
        <v>0.61199999999999999</v>
      </c>
      <c r="R493" s="16">
        <f t="shared" si="157"/>
        <v>-0.216</v>
      </c>
      <c r="S493" s="14">
        <f t="shared" si="158"/>
        <v>-0.6</v>
      </c>
      <c r="T493" s="61" t="s">
        <v>275</v>
      </c>
      <c r="U493" s="9"/>
      <c r="V493" s="12"/>
      <c r="X493" s="10"/>
    </row>
    <row r="494" spans="1:24" s="3" customFormat="1" ht="31.5" x14ac:dyDescent="0.25">
      <c r="A494" s="43" t="s">
        <v>252</v>
      </c>
      <c r="B494" s="48" t="s">
        <v>285</v>
      </c>
      <c r="C494" s="47" t="s">
        <v>284</v>
      </c>
      <c r="D494" s="16">
        <v>0.24</v>
      </c>
      <c r="E494" s="18">
        <v>0</v>
      </c>
      <c r="F494" s="16">
        <f t="shared" si="155"/>
        <v>0.24</v>
      </c>
      <c r="G494" s="17">
        <v>0.24</v>
      </c>
      <c r="H494" s="16">
        <f t="shared" si="154"/>
        <v>0.18786</v>
      </c>
      <c r="I494" s="16">
        <v>0</v>
      </c>
      <c r="J494" s="16">
        <v>0</v>
      </c>
      <c r="K494" s="16">
        <v>0</v>
      </c>
      <c r="L494" s="18">
        <v>0.18786</v>
      </c>
      <c r="M494" s="16">
        <v>0.24</v>
      </c>
      <c r="N494" s="16">
        <v>0</v>
      </c>
      <c r="O494" s="16">
        <v>0</v>
      </c>
      <c r="P494" s="16">
        <v>0</v>
      </c>
      <c r="Q494" s="16">
        <f t="shared" si="156"/>
        <v>5.2139999999999992E-2</v>
      </c>
      <c r="R494" s="16">
        <f t="shared" si="157"/>
        <v>-5.2139999999999992E-2</v>
      </c>
      <c r="S494" s="14">
        <f t="shared" si="158"/>
        <v>-0.21724999999999997</v>
      </c>
      <c r="T494" s="61" t="s">
        <v>263</v>
      </c>
      <c r="U494" s="9"/>
      <c r="V494" s="12"/>
      <c r="X494" s="10"/>
    </row>
    <row r="495" spans="1:24" s="3" customFormat="1" ht="31.5" x14ac:dyDescent="0.25">
      <c r="A495" s="43" t="s">
        <v>252</v>
      </c>
      <c r="B495" s="48" t="s">
        <v>283</v>
      </c>
      <c r="C495" s="47" t="s">
        <v>282</v>
      </c>
      <c r="D495" s="16">
        <v>0.25800000000000001</v>
      </c>
      <c r="E495" s="18">
        <v>0</v>
      </c>
      <c r="F495" s="16">
        <f t="shared" si="155"/>
        <v>0.25800000000000001</v>
      </c>
      <c r="G495" s="17">
        <v>0.12</v>
      </c>
      <c r="H495" s="16">
        <f t="shared" si="154"/>
        <v>0.14399999999999999</v>
      </c>
      <c r="I495" s="16">
        <v>0</v>
      </c>
      <c r="J495" s="16">
        <v>0</v>
      </c>
      <c r="K495" s="16">
        <v>0</v>
      </c>
      <c r="L495" s="18">
        <v>0.14399999999999999</v>
      </c>
      <c r="M495" s="16">
        <v>0.12</v>
      </c>
      <c r="N495" s="16">
        <v>0</v>
      </c>
      <c r="O495" s="16">
        <v>0</v>
      </c>
      <c r="P495" s="16">
        <v>0</v>
      </c>
      <c r="Q495" s="16">
        <f t="shared" si="156"/>
        <v>0.11400000000000002</v>
      </c>
      <c r="R495" s="16">
        <f t="shared" si="157"/>
        <v>2.3999999999999994E-2</v>
      </c>
      <c r="S495" s="14">
        <f t="shared" si="158"/>
        <v>0.19999999999999996</v>
      </c>
      <c r="T495" s="61" t="s">
        <v>270</v>
      </c>
      <c r="U495" s="9"/>
      <c r="V495" s="12"/>
      <c r="X495" s="10"/>
    </row>
    <row r="496" spans="1:24" s="3" customFormat="1" ht="31.5" x14ac:dyDescent="0.25">
      <c r="A496" s="43" t="s">
        <v>252</v>
      </c>
      <c r="B496" s="48" t="s">
        <v>281</v>
      </c>
      <c r="C496" s="47" t="s">
        <v>280</v>
      </c>
      <c r="D496" s="16">
        <v>0.34799999999999998</v>
      </c>
      <c r="E496" s="18">
        <v>0</v>
      </c>
      <c r="F496" s="16">
        <f t="shared" si="155"/>
        <v>0.34799999999999998</v>
      </c>
      <c r="G496" s="17">
        <v>0.34799999999999998</v>
      </c>
      <c r="H496" s="16">
        <f t="shared" si="154"/>
        <v>0</v>
      </c>
      <c r="I496" s="16">
        <v>0</v>
      </c>
      <c r="J496" s="16">
        <v>0</v>
      </c>
      <c r="K496" s="16">
        <v>0</v>
      </c>
      <c r="L496" s="18">
        <v>0</v>
      </c>
      <c r="M496" s="16">
        <v>0.34799999999999998</v>
      </c>
      <c r="N496" s="16">
        <v>0</v>
      </c>
      <c r="O496" s="16">
        <v>0</v>
      </c>
      <c r="P496" s="16">
        <v>0</v>
      </c>
      <c r="Q496" s="16">
        <f t="shared" si="156"/>
        <v>0.34799999999999998</v>
      </c>
      <c r="R496" s="16">
        <f t="shared" si="157"/>
        <v>-0.34799999999999998</v>
      </c>
      <c r="S496" s="14">
        <f t="shared" si="158"/>
        <v>-1</v>
      </c>
      <c r="T496" s="61" t="s">
        <v>260</v>
      </c>
      <c r="U496" s="9"/>
      <c r="V496" s="12"/>
      <c r="X496" s="10"/>
    </row>
    <row r="497" spans="1:24" s="3" customFormat="1" ht="31.5" x14ac:dyDescent="0.25">
      <c r="A497" s="43" t="s">
        <v>252</v>
      </c>
      <c r="B497" s="48" t="s">
        <v>279</v>
      </c>
      <c r="C497" s="47" t="s">
        <v>278</v>
      </c>
      <c r="D497" s="16">
        <v>0.1032</v>
      </c>
      <c r="E497" s="18">
        <v>0</v>
      </c>
      <c r="F497" s="16">
        <f t="shared" si="155"/>
        <v>0.1032</v>
      </c>
      <c r="G497" s="17">
        <v>0.1032</v>
      </c>
      <c r="H497" s="16">
        <f t="shared" si="154"/>
        <v>0.108</v>
      </c>
      <c r="I497" s="16">
        <v>0</v>
      </c>
      <c r="J497" s="16">
        <v>0</v>
      </c>
      <c r="K497" s="16">
        <v>0</v>
      </c>
      <c r="L497" s="18">
        <v>0.108</v>
      </c>
      <c r="M497" s="16">
        <v>0.1032</v>
      </c>
      <c r="N497" s="16">
        <v>0</v>
      </c>
      <c r="O497" s="16">
        <v>0</v>
      </c>
      <c r="P497" s="16">
        <v>0</v>
      </c>
      <c r="Q497" s="16">
        <f t="shared" si="156"/>
        <v>-4.7999999999999987E-3</v>
      </c>
      <c r="R497" s="16">
        <f t="shared" si="157"/>
        <v>4.7999999999999987E-3</v>
      </c>
      <c r="S497" s="14">
        <f t="shared" si="158"/>
        <v>4.651162790697673E-2</v>
      </c>
      <c r="T497" s="61" t="s">
        <v>0</v>
      </c>
      <c r="U497" s="9"/>
      <c r="V497" s="12"/>
      <c r="X497" s="10"/>
    </row>
    <row r="498" spans="1:24" s="3" customFormat="1" ht="31.5" x14ac:dyDescent="0.25">
      <c r="A498" s="43" t="s">
        <v>252</v>
      </c>
      <c r="B498" s="48" t="s">
        <v>277</v>
      </c>
      <c r="C498" s="47" t="s">
        <v>276</v>
      </c>
      <c r="D498" s="16">
        <v>0.36</v>
      </c>
      <c r="E498" s="18">
        <v>0</v>
      </c>
      <c r="F498" s="16">
        <f t="shared" si="155"/>
        <v>0.36</v>
      </c>
      <c r="G498" s="17">
        <v>0.36</v>
      </c>
      <c r="H498" s="16">
        <f t="shared" si="154"/>
        <v>5.2953E-2</v>
      </c>
      <c r="I498" s="16">
        <v>0</v>
      </c>
      <c r="J498" s="16">
        <v>5.2953E-2</v>
      </c>
      <c r="K498" s="16">
        <v>0</v>
      </c>
      <c r="L498" s="18">
        <v>0</v>
      </c>
      <c r="M498" s="16">
        <v>0.36</v>
      </c>
      <c r="N498" s="16">
        <v>0</v>
      </c>
      <c r="O498" s="16">
        <v>0</v>
      </c>
      <c r="P498" s="16">
        <v>0</v>
      </c>
      <c r="Q498" s="16">
        <f t="shared" si="156"/>
        <v>0.30704699999999996</v>
      </c>
      <c r="R498" s="16">
        <f t="shared" si="157"/>
        <v>-0.30704699999999996</v>
      </c>
      <c r="S498" s="14">
        <f t="shared" si="158"/>
        <v>-0.85290833333333327</v>
      </c>
      <c r="T498" s="19" t="s">
        <v>275</v>
      </c>
      <c r="U498" s="9"/>
      <c r="V498" s="12"/>
      <c r="X498" s="10"/>
    </row>
    <row r="499" spans="1:24" s="3" customFormat="1" ht="31.5" x14ac:dyDescent="0.25">
      <c r="A499" s="43" t="s">
        <v>252</v>
      </c>
      <c r="B499" s="48" t="s">
        <v>274</v>
      </c>
      <c r="C499" s="47" t="s">
        <v>273</v>
      </c>
      <c r="D499" s="16">
        <v>0.15719999999999998</v>
      </c>
      <c r="E499" s="18">
        <v>0</v>
      </c>
      <c r="F499" s="16">
        <f t="shared" si="155"/>
        <v>0.15719999999999998</v>
      </c>
      <c r="G499" s="17">
        <v>0.15719999999999998</v>
      </c>
      <c r="H499" s="16">
        <f t="shared" si="154"/>
        <v>0</v>
      </c>
      <c r="I499" s="16">
        <v>0</v>
      </c>
      <c r="J499" s="16">
        <v>0</v>
      </c>
      <c r="K499" s="16">
        <v>0</v>
      </c>
      <c r="L499" s="18">
        <v>0</v>
      </c>
      <c r="M499" s="16">
        <v>0.15719999999999998</v>
      </c>
      <c r="N499" s="16">
        <v>0</v>
      </c>
      <c r="O499" s="16">
        <v>0</v>
      </c>
      <c r="P499" s="16">
        <v>0</v>
      </c>
      <c r="Q499" s="16">
        <f t="shared" si="156"/>
        <v>0.15719999999999998</v>
      </c>
      <c r="R499" s="16">
        <f t="shared" si="157"/>
        <v>-0.15719999999999998</v>
      </c>
      <c r="S499" s="14">
        <f t="shared" si="158"/>
        <v>-1</v>
      </c>
      <c r="T499" s="22" t="s">
        <v>260</v>
      </c>
      <c r="U499" s="9"/>
      <c r="V499" s="12"/>
      <c r="X499" s="10"/>
    </row>
    <row r="500" spans="1:24" s="3" customFormat="1" ht="31.5" x14ac:dyDescent="0.25">
      <c r="A500" s="43" t="s">
        <v>252</v>
      </c>
      <c r="B500" s="48" t="s">
        <v>272</v>
      </c>
      <c r="C500" s="47" t="s">
        <v>271</v>
      </c>
      <c r="D500" s="16">
        <v>0.38400000000000001</v>
      </c>
      <c r="E500" s="18">
        <v>0</v>
      </c>
      <c r="F500" s="16">
        <f t="shared" si="155"/>
        <v>0.38400000000000001</v>
      </c>
      <c r="G500" s="17">
        <v>0.38400000000000001</v>
      </c>
      <c r="H500" s="16">
        <f t="shared" ref="H500:H508" si="159">J500+L500+N500+P500</f>
        <v>0.34367999999999999</v>
      </c>
      <c r="I500" s="16">
        <v>0</v>
      </c>
      <c r="J500" s="16">
        <v>0</v>
      </c>
      <c r="K500" s="16">
        <v>0</v>
      </c>
      <c r="L500" s="18">
        <v>0.34367999999999999</v>
      </c>
      <c r="M500" s="16">
        <v>0.38400000000000001</v>
      </c>
      <c r="N500" s="16">
        <v>0</v>
      </c>
      <c r="O500" s="16">
        <v>0</v>
      </c>
      <c r="P500" s="16">
        <v>0</v>
      </c>
      <c r="Q500" s="16">
        <f t="shared" si="156"/>
        <v>4.0320000000000022E-2</v>
      </c>
      <c r="R500" s="16">
        <f t="shared" si="157"/>
        <v>-4.0320000000000022E-2</v>
      </c>
      <c r="S500" s="14">
        <f t="shared" si="158"/>
        <v>-0.10500000000000005</v>
      </c>
      <c r="T500" s="61" t="s">
        <v>270</v>
      </c>
      <c r="U500" s="9"/>
      <c r="V500" s="12"/>
      <c r="X500" s="10"/>
    </row>
    <row r="501" spans="1:24" s="3" customFormat="1" ht="31.5" x14ac:dyDescent="0.25">
      <c r="A501" s="43" t="s">
        <v>252</v>
      </c>
      <c r="B501" s="48" t="s">
        <v>269</v>
      </c>
      <c r="C501" s="47" t="s">
        <v>268</v>
      </c>
      <c r="D501" s="16">
        <v>1.08</v>
      </c>
      <c r="E501" s="18">
        <v>0</v>
      </c>
      <c r="F501" s="16">
        <f t="shared" si="155"/>
        <v>1.08</v>
      </c>
      <c r="G501" s="17">
        <v>1.08</v>
      </c>
      <c r="H501" s="16">
        <f t="shared" si="159"/>
        <v>0.64200000000000002</v>
      </c>
      <c r="I501" s="16">
        <v>0</v>
      </c>
      <c r="J501" s="16">
        <v>0</v>
      </c>
      <c r="K501" s="16">
        <v>0</v>
      </c>
      <c r="L501" s="18">
        <v>0</v>
      </c>
      <c r="M501" s="16">
        <v>1.08</v>
      </c>
      <c r="N501" s="16">
        <f>0.642</f>
        <v>0.64200000000000002</v>
      </c>
      <c r="O501" s="16">
        <v>0</v>
      </c>
      <c r="P501" s="16">
        <v>0</v>
      </c>
      <c r="Q501" s="16">
        <f t="shared" si="156"/>
        <v>0.43800000000000006</v>
      </c>
      <c r="R501" s="16">
        <f t="shared" si="157"/>
        <v>-0.43800000000000006</v>
      </c>
      <c r="S501" s="14">
        <f t="shared" si="158"/>
        <v>-0.40555555555555556</v>
      </c>
      <c r="T501" s="65" t="s">
        <v>263</v>
      </c>
      <c r="U501" s="9"/>
      <c r="V501" s="12"/>
      <c r="X501" s="10"/>
    </row>
    <row r="502" spans="1:24" s="3" customFormat="1" ht="31.5" x14ac:dyDescent="0.25">
      <c r="A502" s="43" t="s">
        <v>252</v>
      </c>
      <c r="B502" s="48" t="s">
        <v>267</v>
      </c>
      <c r="C502" s="47" t="s">
        <v>266</v>
      </c>
      <c r="D502" s="16">
        <v>0.43346760000000001</v>
      </c>
      <c r="E502" s="18">
        <v>0</v>
      </c>
      <c r="F502" s="16">
        <f t="shared" si="155"/>
        <v>0.43346760000000001</v>
      </c>
      <c r="G502" s="17">
        <v>0.26400000000000001</v>
      </c>
      <c r="H502" s="16">
        <f t="shared" si="159"/>
        <v>0.22883702</v>
      </c>
      <c r="I502" s="16">
        <v>0</v>
      </c>
      <c r="J502" s="16">
        <v>0</v>
      </c>
      <c r="K502" s="16">
        <v>0</v>
      </c>
      <c r="L502" s="18">
        <v>0</v>
      </c>
      <c r="M502" s="16">
        <v>0.26400000000000001</v>
      </c>
      <c r="N502" s="16">
        <f>228.83702/1000</f>
        <v>0.22883702</v>
      </c>
      <c r="O502" s="16">
        <v>0</v>
      </c>
      <c r="P502" s="16">
        <v>0</v>
      </c>
      <c r="Q502" s="16">
        <f t="shared" si="156"/>
        <v>0.20463058000000001</v>
      </c>
      <c r="R502" s="16">
        <f t="shared" si="157"/>
        <v>-3.516298000000001E-2</v>
      </c>
      <c r="S502" s="14">
        <f t="shared" si="158"/>
        <v>-0.13319310606060608</v>
      </c>
      <c r="T502" s="61" t="s">
        <v>263</v>
      </c>
      <c r="U502" s="9"/>
      <c r="V502" s="12"/>
      <c r="X502" s="10"/>
    </row>
    <row r="503" spans="1:24" s="3" customFormat="1" ht="31.5" x14ac:dyDescent="0.25">
      <c r="A503" s="43" t="s">
        <v>252</v>
      </c>
      <c r="B503" s="48" t="s">
        <v>265</v>
      </c>
      <c r="C503" s="47" t="s">
        <v>264</v>
      </c>
      <c r="D503" s="16">
        <v>0.192</v>
      </c>
      <c r="E503" s="18">
        <v>0</v>
      </c>
      <c r="F503" s="16">
        <f t="shared" si="155"/>
        <v>0.192</v>
      </c>
      <c r="G503" s="17">
        <v>0.192</v>
      </c>
      <c r="H503" s="16">
        <f t="shared" si="159"/>
        <v>0.12720766</v>
      </c>
      <c r="I503" s="16">
        <v>0</v>
      </c>
      <c r="J503" s="16">
        <v>0</v>
      </c>
      <c r="K503" s="16">
        <v>0</v>
      </c>
      <c r="L503" s="18">
        <v>0</v>
      </c>
      <c r="M503" s="16">
        <v>0.192</v>
      </c>
      <c r="N503" s="16">
        <f>127.20766/1000</f>
        <v>0.12720766</v>
      </c>
      <c r="O503" s="16">
        <v>0</v>
      </c>
      <c r="P503" s="16">
        <v>0</v>
      </c>
      <c r="Q503" s="16">
        <f t="shared" si="156"/>
        <v>6.4792340000000004E-2</v>
      </c>
      <c r="R503" s="16">
        <f t="shared" si="157"/>
        <v>-6.4792340000000004E-2</v>
      </c>
      <c r="S503" s="14">
        <f t="shared" si="158"/>
        <v>-0.33746010416666666</v>
      </c>
      <c r="T503" s="61" t="s">
        <v>263</v>
      </c>
      <c r="U503" s="9"/>
      <c r="V503" s="12"/>
      <c r="X503" s="10"/>
    </row>
    <row r="504" spans="1:24" s="3" customFormat="1" ht="31.5" x14ac:dyDescent="0.25">
      <c r="A504" s="43" t="s">
        <v>252</v>
      </c>
      <c r="B504" s="48" t="s">
        <v>262</v>
      </c>
      <c r="C504" s="47" t="s">
        <v>261</v>
      </c>
      <c r="D504" s="16">
        <v>8.4000000000000005E-2</v>
      </c>
      <c r="E504" s="18">
        <v>0</v>
      </c>
      <c r="F504" s="16">
        <f t="shared" si="155"/>
        <v>8.4000000000000005E-2</v>
      </c>
      <c r="G504" s="17">
        <v>8.4000000000000005E-2</v>
      </c>
      <c r="H504" s="16">
        <f t="shared" si="159"/>
        <v>0</v>
      </c>
      <c r="I504" s="16">
        <v>0</v>
      </c>
      <c r="J504" s="16">
        <v>0</v>
      </c>
      <c r="K504" s="16">
        <v>0</v>
      </c>
      <c r="L504" s="18">
        <v>0</v>
      </c>
      <c r="M504" s="16">
        <v>8.4000000000000005E-2</v>
      </c>
      <c r="N504" s="16">
        <v>0</v>
      </c>
      <c r="O504" s="16">
        <v>0</v>
      </c>
      <c r="P504" s="16">
        <v>0</v>
      </c>
      <c r="Q504" s="16">
        <f t="shared" si="156"/>
        <v>8.4000000000000005E-2</v>
      </c>
      <c r="R504" s="16">
        <f t="shared" si="157"/>
        <v>-8.4000000000000005E-2</v>
      </c>
      <c r="S504" s="14">
        <f t="shared" si="158"/>
        <v>-1</v>
      </c>
      <c r="T504" s="61" t="s">
        <v>260</v>
      </c>
      <c r="U504" s="9"/>
      <c r="V504" s="12"/>
      <c r="X504" s="10"/>
    </row>
    <row r="505" spans="1:24" s="3" customFormat="1" ht="31.5" x14ac:dyDescent="0.25">
      <c r="A505" s="43" t="s">
        <v>252</v>
      </c>
      <c r="B505" s="48" t="s">
        <v>259</v>
      </c>
      <c r="C505" s="47" t="s">
        <v>258</v>
      </c>
      <c r="D505" s="16">
        <v>6.6000000000000003E-2</v>
      </c>
      <c r="E505" s="18">
        <v>0</v>
      </c>
      <c r="F505" s="16">
        <f t="shared" si="155"/>
        <v>6.6000000000000003E-2</v>
      </c>
      <c r="G505" s="17">
        <v>6.6000000000000003E-2</v>
      </c>
      <c r="H505" s="16">
        <f t="shared" si="159"/>
        <v>6.5985290000000002E-2</v>
      </c>
      <c r="I505" s="16">
        <v>0</v>
      </c>
      <c r="J505" s="16">
        <v>0</v>
      </c>
      <c r="K505" s="16">
        <v>0</v>
      </c>
      <c r="L505" s="18">
        <v>0</v>
      </c>
      <c r="M505" s="16">
        <v>6.6000000000000003E-2</v>
      </c>
      <c r="N505" s="16">
        <f>65.98529/1000</f>
        <v>6.5985290000000002E-2</v>
      </c>
      <c r="O505" s="16">
        <v>0</v>
      </c>
      <c r="P505" s="16">
        <v>0</v>
      </c>
      <c r="Q505" s="16">
        <f t="shared" si="156"/>
        <v>1.4710000000001111E-5</v>
      </c>
      <c r="R505" s="16">
        <f t="shared" si="157"/>
        <v>-1.4710000000001111E-5</v>
      </c>
      <c r="S505" s="14">
        <f t="shared" si="158"/>
        <v>-2.2287878787880471E-4</v>
      </c>
      <c r="T505" s="61" t="s">
        <v>0</v>
      </c>
      <c r="U505" s="9"/>
      <c r="V505" s="12"/>
      <c r="X505" s="10"/>
    </row>
    <row r="506" spans="1:24" s="3" customFormat="1" ht="45" customHeight="1" x14ac:dyDescent="0.25">
      <c r="A506" s="43" t="s">
        <v>252</v>
      </c>
      <c r="B506" s="48" t="s">
        <v>257</v>
      </c>
      <c r="C506" s="47" t="s">
        <v>256</v>
      </c>
      <c r="D506" s="16">
        <v>9.6359999999999992</v>
      </c>
      <c r="E506" s="18">
        <v>0</v>
      </c>
      <c r="F506" s="16">
        <f t="shared" si="155"/>
        <v>9.6359999999999992</v>
      </c>
      <c r="G506" s="17">
        <v>9.6359999999999992</v>
      </c>
      <c r="H506" s="16">
        <f t="shared" si="159"/>
        <v>0</v>
      </c>
      <c r="I506" s="16">
        <v>0</v>
      </c>
      <c r="J506" s="16">
        <v>0</v>
      </c>
      <c r="K506" s="16">
        <v>0</v>
      </c>
      <c r="L506" s="16">
        <v>0</v>
      </c>
      <c r="M506" s="16">
        <v>0</v>
      </c>
      <c r="N506" s="16">
        <v>0</v>
      </c>
      <c r="O506" s="16">
        <v>9.6359999999999992</v>
      </c>
      <c r="P506" s="16">
        <v>0</v>
      </c>
      <c r="Q506" s="16">
        <f t="shared" si="156"/>
        <v>9.6359999999999992</v>
      </c>
      <c r="R506" s="16">
        <f t="shared" si="157"/>
        <v>0</v>
      </c>
      <c r="S506" s="14">
        <v>0</v>
      </c>
      <c r="T506" s="61" t="s">
        <v>0</v>
      </c>
      <c r="U506" s="9"/>
      <c r="V506" s="12"/>
      <c r="X506" s="10"/>
    </row>
    <row r="507" spans="1:24" s="3" customFormat="1" ht="78.75" x14ac:dyDescent="0.25">
      <c r="A507" s="43" t="s">
        <v>252</v>
      </c>
      <c r="B507" s="48" t="s">
        <v>255</v>
      </c>
      <c r="C507" s="47" t="s">
        <v>254</v>
      </c>
      <c r="D507" s="16">
        <v>156</v>
      </c>
      <c r="E507" s="18">
        <v>0</v>
      </c>
      <c r="F507" s="16">
        <f t="shared" si="155"/>
        <v>156</v>
      </c>
      <c r="G507" s="17">
        <v>84</v>
      </c>
      <c r="H507" s="16">
        <f t="shared" si="159"/>
        <v>3.99</v>
      </c>
      <c r="I507" s="16">
        <v>0</v>
      </c>
      <c r="J507" s="16">
        <v>0</v>
      </c>
      <c r="K507" s="16">
        <v>0</v>
      </c>
      <c r="L507" s="18">
        <v>0.45</v>
      </c>
      <c r="M507" s="16">
        <v>0</v>
      </c>
      <c r="N507" s="16">
        <v>3.54</v>
      </c>
      <c r="O507" s="16">
        <v>84</v>
      </c>
      <c r="P507" s="16">
        <v>0</v>
      </c>
      <c r="Q507" s="16">
        <f t="shared" si="156"/>
        <v>152.01</v>
      </c>
      <c r="R507" s="16">
        <f t="shared" si="157"/>
        <v>3.99</v>
      </c>
      <c r="S507" s="14">
        <v>1</v>
      </c>
      <c r="T507" s="61" t="s">
        <v>253</v>
      </c>
      <c r="U507" s="9"/>
      <c r="V507" s="12"/>
      <c r="X507" s="10"/>
    </row>
    <row r="508" spans="1:24" s="3" customFormat="1" ht="47.25" x14ac:dyDescent="0.25">
      <c r="A508" s="43" t="s">
        <v>252</v>
      </c>
      <c r="B508" s="48" t="s">
        <v>251</v>
      </c>
      <c r="C508" s="47" t="s">
        <v>250</v>
      </c>
      <c r="D508" s="16">
        <v>14.9268</v>
      </c>
      <c r="E508" s="18">
        <v>2.4919823999999999</v>
      </c>
      <c r="F508" s="16">
        <f t="shared" si="155"/>
        <v>12.434817600000001</v>
      </c>
      <c r="G508" s="17">
        <v>9.3539999999999992</v>
      </c>
      <c r="H508" s="16">
        <f t="shared" si="159"/>
        <v>0</v>
      </c>
      <c r="I508" s="16">
        <v>0</v>
      </c>
      <c r="J508" s="16">
        <v>0</v>
      </c>
      <c r="K508" s="16">
        <v>0</v>
      </c>
      <c r="L508" s="16">
        <v>0</v>
      </c>
      <c r="M508" s="16">
        <v>0</v>
      </c>
      <c r="N508" s="16">
        <v>0</v>
      </c>
      <c r="O508" s="16">
        <v>9.3539999999999992</v>
      </c>
      <c r="P508" s="16">
        <v>0</v>
      </c>
      <c r="Q508" s="16">
        <f t="shared" si="156"/>
        <v>12.434817600000001</v>
      </c>
      <c r="R508" s="16">
        <f t="shared" si="157"/>
        <v>0</v>
      </c>
      <c r="S508" s="14">
        <v>0</v>
      </c>
      <c r="T508" s="22" t="s">
        <v>0</v>
      </c>
      <c r="U508" s="9"/>
      <c r="V508" s="12"/>
      <c r="X508" s="10"/>
    </row>
    <row r="509" spans="1:24" s="3" customFormat="1" x14ac:dyDescent="0.25">
      <c r="A509" s="35" t="s">
        <v>249</v>
      </c>
      <c r="B509" s="37" t="s">
        <v>248</v>
      </c>
      <c r="C509" s="33" t="s">
        <v>11</v>
      </c>
      <c r="D509" s="28">
        <f t="shared" ref="D509:R509" si="160">SUM(D510,D527,D545,D565,D572,D578,D579)</f>
        <v>5382.7502955414002</v>
      </c>
      <c r="E509" s="28">
        <f t="shared" si="160"/>
        <v>649.62535805000016</v>
      </c>
      <c r="F509" s="28">
        <f t="shared" si="160"/>
        <v>4733.1249374914005</v>
      </c>
      <c r="G509" s="28">
        <f t="shared" si="160"/>
        <v>607.57682794520008</v>
      </c>
      <c r="H509" s="76">
        <f t="shared" si="160"/>
        <v>339.30147845000005</v>
      </c>
      <c r="I509" s="28">
        <f t="shared" si="160"/>
        <v>95.664447906400056</v>
      </c>
      <c r="J509" s="28">
        <f t="shared" si="160"/>
        <v>72.768211170000015</v>
      </c>
      <c r="K509" s="28">
        <f t="shared" si="160"/>
        <v>159.88079290519997</v>
      </c>
      <c r="L509" s="28">
        <f t="shared" si="160"/>
        <v>139.71977024</v>
      </c>
      <c r="M509" s="28">
        <f t="shared" si="160"/>
        <v>150.73747283839998</v>
      </c>
      <c r="N509" s="28">
        <f t="shared" si="160"/>
        <v>126.81349704000002</v>
      </c>
      <c r="O509" s="28">
        <f t="shared" si="160"/>
        <v>201.29411429520002</v>
      </c>
      <c r="P509" s="28">
        <f t="shared" si="160"/>
        <v>0</v>
      </c>
      <c r="Q509" s="28">
        <f t="shared" si="160"/>
        <v>4411.8834112714003</v>
      </c>
      <c r="R509" s="28">
        <f t="shared" si="160"/>
        <v>-85.041187430000022</v>
      </c>
      <c r="S509" s="27">
        <f>R509/(I509+K509+M509)</f>
        <v>-0.20931529836945112</v>
      </c>
      <c r="T509" s="60" t="s">
        <v>0</v>
      </c>
      <c r="U509" s="9"/>
      <c r="V509" s="12"/>
      <c r="X509" s="10"/>
    </row>
    <row r="510" spans="1:24" s="3" customFormat="1" ht="31.5" x14ac:dyDescent="0.25">
      <c r="A510" s="35" t="s">
        <v>247</v>
      </c>
      <c r="B510" s="37" t="s">
        <v>97</v>
      </c>
      <c r="C510" s="33" t="s">
        <v>11</v>
      </c>
      <c r="D510" s="28">
        <f t="shared" ref="D510:R510" si="161">D511+D514+D517+D526</f>
        <v>422.27726311999999</v>
      </c>
      <c r="E510" s="28">
        <f t="shared" si="161"/>
        <v>198.44715789000003</v>
      </c>
      <c r="F510" s="28">
        <f t="shared" si="161"/>
        <v>223.83010522999996</v>
      </c>
      <c r="G510" s="28">
        <f t="shared" si="161"/>
        <v>69.75081969600005</v>
      </c>
      <c r="H510" s="76">
        <f t="shared" si="161"/>
        <v>90.326472749999994</v>
      </c>
      <c r="I510" s="28">
        <f t="shared" si="161"/>
        <v>69.75081969600005</v>
      </c>
      <c r="J510" s="28">
        <f t="shared" si="161"/>
        <v>21.870735530000001</v>
      </c>
      <c r="K510" s="28">
        <f t="shared" si="161"/>
        <v>0</v>
      </c>
      <c r="L510" s="28">
        <f t="shared" si="161"/>
        <v>48.950124539999997</v>
      </c>
      <c r="M510" s="28">
        <f t="shared" si="161"/>
        <v>0</v>
      </c>
      <c r="N510" s="28">
        <f t="shared" si="161"/>
        <v>19.505612679999999</v>
      </c>
      <c r="O510" s="28">
        <f t="shared" si="161"/>
        <v>0</v>
      </c>
      <c r="P510" s="28">
        <f t="shared" si="161"/>
        <v>0</v>
      </c>
      <c r="Q510" s="28">
        <f t="shared" si="161"/>
        <v>133.50363247999999</v>
      </c>
      <c r="R510" s="28">
        <f t="shared" si="161"/>
        <v>20.57565305399995</v>
      </c>
      <c r="S510" s="27">
        <f>R510/(I510+K510+M510)</f>
        <v>0.29498797496110124</v>
      </c>
      <c r="T510" s="60" t="s">
        <v>0</v>
      </c>
      <c r="U510" s="9"/>
      <c r="V510" s="12"/>
      <c r="X510" s="10"/>
    </row>
    <row r="511" spans="1:24" s="3" customFormat="1" ht="63" x14ac:dyDescent="0.25">
      <c r="A511" s="35" t="s">
        <v>246</v>
      </c>
      <c r="B511" s="34" t="s">
        <v>95</v>
      </c>
      <c r="C511" s="57" t="s">
        <v>11</v>
      </c>
      <c r="D511" s="28">
        <f t="shared" ref="D511:R511" si="162">D512+D513</f>
        <v>0</v>
      </c>
      <c r="E511" s="28">
        <f t="shared" si="162"/>
        <v>0</v>
      </c>
      <c r="F511" s="28">
        <f t="shared" si="162"/>
        <v>0</v>
      </c>
      <c r="G511" s="28">
        <f t="shared" si="162"/>
        <v>0</v>
      </c>
      <c r="H511" s="28">
        <f t="shared" si="162"/>
        <v>0</v>
      </c>
      <c r="I511" s="28">
        <f t="shared" si="162"/>
        <v>0</v>
      </c>
      <c r="J511" s="28">
        <f t="shared" si="162"/>
        <v>0</v>
      </c>
      <c r="K511" s="28">
        <f t="shared" si="162"/>
        <v>0</v>
      </c>
      <c r="L511" s="28">
        <f t="shared" si="162"/>
        <v>0</v>
      </c>
      <c r="M511" s="28">
        <f t="shared" si="162"/>
        <v>0</v>
      </c>
      <c r="N511" s="28">
        <f t="shared" si="162"/>
        <v>0</v>
      </c>
      <c r="O511" s="28">
        <f t="shared" si="162"/>
        <v>0</v>
      </c>
      <c r="P511" s="28">
        <f t="shared" si="162"/>
        <v>0</v>
      </c>
      <c r="Q511" s="28">
        <f t="shared" si="162"/>
        <v>0</v>
      </c>
      <c r="R511" s="28">
        <f t="shared" si="162"/>
        <v>0</v>
      </c>
      <c r="S511" s="27">
        <v>0</v>
      </c>
      <c r="T511" s="26" t="s">
        <v>0</v>
      </c>
      <c r="U511" s="9"/>
      <c r="V511" s="12"/>
      <c r="X511" s="10"/>
    </row>
    <row r="512" spans="1:24" s="3" customFormat="1" ht="40.5" customHeight="1" x14ac:dyDescent="0.25">
      <c r="A512" s="38" t="s">
        <v>245</v>
      </c>
      <c r="B512" s="37" t="s">
        <v>244</v>
      </c>
      <c r="C512" s="57" t="s">
        <v>11</v>
      </c>
      <c r="D512" s="28">
        <v>0</v>
      </c>
      <c r="E512" s="28">
        <v>0</v>
      </c>
      <c r="F512" s="28">
        <v>0</v>
      </c>
      <c r="G512" s="28">
        <v>0</v>
      </c>
      <c r="H512" s="28">
        <v>0</v>
      </c>
      <c r="I512" s="28">
        <v>0</v>
      </c>
      <c r="J512" s="28">
        <v>0</v>
      </c>
      <c r="K512" s="28">
        <v>0</v>
      </c>
      <c r="L512" s="28">
        <v>0</v>
      </c>
      <c r="M512" s="28">
        <v>0</v>
      </c>
      <c r="N512" s="28">
        <v>0</v>
      </c>
      <c r="O512" s="28">
        <v>0</v>
      </c>
      <c r="P512" s="28">
        <v>0</v>
      </c>
      <c r="Q512" s="28">
        <v>0</v>
      </c>
      <c r="R512" s="28">
        <v>0</v>
      </c>
      <c r="S512" s="27">
        <v>0</v>
      </c>
      <c r="T512" s="26" t="s">
        <v>0</v>
      </c>
      <c r="U512" s="9"/>
      <c r="V512" s="12"/>
      <c r="X512" s="10"/>
    </row>
    <row r="513" spans="1:24" s="3" customFormat="1" x14ac:dyDescent="0.25">
      <c r="A513" s="59" t="s">
        <v>243</v>
      </c>
      <c r="B513" s="37" t="s">
        <v>242</v>
      </c>
      <c r="C513" s="57" t="s">
        <v>11</v>
      </c>
      <c r="D513" s="28">
        <v>0</v>
      </c>
      <c r="E513" s="28">
        <v>0</v>
      </c>
      <c r="F513" s="28">
        <v>0</v>
      </c>
      <c r="G513" s="28">
        <v>0</v>
      </c>
      <c r="H513" s="76">
        <v>0</v>
      </c>
      <c r="I513" s="28">
        <v>0</v>
      </c>
      <c r="J513" s="28">
        <v>0</v>
      </c>
      <c r="K513" s="28">
        <v>0</v>
      </c>
      <c r="L513" s="28">
        <v>0</v>
      </c>
      <c r="M513" s="28">
        <v>0</v>
      </c>
      <c r="N513" s="28">
        <v>0</v>
      </c>
      <c r="O513" s="28">
        <v>0</v>
      </c>
      <c r="P513" s="28">
        <v>0</v>
      </c>
      <c r="Q513" s="28">
        <v>0</v>
      </c>
      <c r="R513" s="28">
        <v>0</v>
      </c>
      <c r="S513" s="27">
        <v>0</v>
      </c>
      <c r="T513" s="26" t="s">
        <v>0</v>
      </c>
      <c r="U513" s="9"/>
      <c r="V513" s="12"/>
      <c r="X513" s="10"/>
    </row>
    <row r="514" spans="1:24" s="3" customFormat="1" ht="47.25" x14ac:dyDescent="0.25">
      <c r="A514" s="59" t="s">
        <v>241</v>
      </c>
      <c r="B514" s="37" t="s">
        <v>91</v>
      </c>
      <c r="C514" s="57" t="s">
        <v>11</v>
      </c>
      <c r="D514" s="28">
        <v>0</v>
      </c>
      <c r="E514" s="28">
        <f t="shared" ref="E514:R514" si="163">E515</f>
        <v>0</v>
      </c>
      <c r="F514" s="28">
        <f t="shared" si="163"/>
        <v>0</v>
      </c>
      <c r="G514" s="28">
        <f t="shared" si="163"/>
        <v>0</v>
      </c>
      <c r="H514" s="76">
        <f t="shared" si="163"/>
        <v>0</v>
      </c>
      <c r="I514" s="28">
        <f t="shared" si="163"/>
        <v>0</v>
      </c>
      <c r="J514" s="28">
        <f t="shared" si="163"/>
        <v>0</v>
      </c>
      <c r="K514" s="28">
        <f t="shared" si="163"/>
        <v>0</v>
      </c>
      <c r="L514" s="28">
        <f t="shared" si="163"/>
        <v>0</v>
      </c>
      <c r="M514" s="28">
        <f t="shared" si="163"/>
        <v>0</v>
      </c>
      <c r="N514" s="28">
        <f t="shared" si="163"/>
        <v>0</v>
      </c>
      <c r="O514" s="28">
        <f t="shared" si="163"/>
        <v>0</v>
      </c>
      <c r="P514" s="28">
        <f t="shared" si="163"/>
        <v>0</v>
      </c>
      <c r="Q514" s="28">
        <f t="shared" si="163"/>
        <v>0</v>
      </c>
      <c r="R514" s="28">
        <f t="shared" si="163"/>
        <v>0</v>
      </c>
      <c r="S514" s="27">
        <v>0</v>
      </c>
      <c r="T514" s="26" t="s">
        <v>0</v>
      </c>
      <c r="U514" s="9"/>
      <c r="V514" s="12"/>
      <c r="X514" s="10"/>
    </row>
    <row r="515" spans="1:24" s="3" customFormat="1" ht="31.5" x14ac:dyDescent="0.25">
      <c r="A515" s="35" t="s">
        <v>240</v>
      </c>
      <c r="B515" s="37" t="s">
        <v>89</v>
      </c>
      <c r="C515" s="57" t="s">
        <v>11</v>
      </c>
      <c r="D515" s="28">
        <v>0</v>
      </c>
      <c r="E515" s="28">
        <v>0</v>
      </c>
      <c r="F515" s="28">
        <v>0</v>
      </c>
      <c r="G515" s="28">
        <v>0</v>
      </c>
      <c r="H515" s="76">
        <v>0</v>
      </c>
      <c r="I515" s="28">
        <v>0</v>
      </c>
      <c r="J515" s="28">
        <v>0</v>
      </c>
      <c r="K515" s="28">
        <v>0</v>
      </c>
      <c r="L515" s="28">
        <v>0</v>
      </c>
      <c r="M515" s="28">
        <v>0</v>
      </c>
      <c r="N515" s="28">
        <v>0</v>
      </c>
      <c r="O515" s="28">
        <v>0</v>
      </c>
      <c r="P515" s="28">
        <v>0</v>
      </c>
      <c r="Q515" s="28">
        <v>0</v>
      </c>
      <c r="R515" s="28">
        <v>0</v>
      </c>
      <c r="S515" s="27">
        <v>0</v>
      </c>
      <c r="T515" s="26" t="s">
        <v>0</v>
      </c>
      <c r="U515" s="9"/>
      <c r="V515" s="12"/>
      <c r="X515" s="10"/>
    </row>
    <row r="516" spans="1:24" s="3" customFormat="1" ht="31.5" x14ac:dyDescent="0.25">
      <c r="A516" s="35" t="s">
        <v>239</v>
      </c>
      <c r="B516" s="37" t="s">
        <v>89</v>
      </c>
      <c r="C516" s="57" t="s">
        <v>11</v>
      </c>
      <c r="D516" s="28">
        <v>0</v>
      </c>
      <c r="E516" s="28">
        <v>0</v>
      </c>
      <c r="F516" s="28">
        <v>0</v>
      </c>
      <c r="G516" s="28">
        <v>0</v>
      </c>
      <c r="H516" s="76">
        <v>0</v>
      </c>
      <c r="I516" s="28">
        <v>0</v>
      </c>
      <c r="J516" s="28">
        <v>0</v>
      </c>
      <c r="K516" s="28">
        <v>0</v>
      </c>
      <c r="L516" s="28">
        <v>0</v>
      </c>
      <c r="M516" s="28">
        <v>0</v>
      </c>
      <c r="N516" s="28">
        <v>0</v>
      </c>
      <c r="O516" s="28">
        <v>0</v>
      </c>
      <c r="P516" s="28">
        <v>0</v>
      </c>
      <c r="Q516" s="28">
        <v>0</v>
      </c>
      <c r="R516" s="28">
        <v>0</v>
      </c>
      <c r="S516" s="27">
        <v>0</v>
      </c>
      <c r="T516" s="26" t="s">
        <v>0</v>
      </c>
      <c r="U516" s="9"/>
      <c r="V516" s="12"/>
      <c r="X516" s="10"/>
    </row>
    <row r="517" spans="1:24" s="3" customFormat="1" ht="47.25" x14ac:dyDescent="0.25">
      <c r="A517" s="35" t="s">
        <v>238</v>
      </c>
      <c r="B517" s="37" t="s">
        <v>85</v>
      </c>
      <c r="C517" s="57" t="s">
        <v>11</v>
      </c>
      <c r="D517" s="28">
        <f t="shared" ref="D517:R517" si="164">SUM(D518:D522)</f>
        <v>422.27726311999999</v>
      </c>
      <c r="E517" s="28">
        <f t="shared" si="164"/>
        <v>198.44715789000003</v>
      </c>
      <c r="F517" s="28">
        <f t="shared" si="164"/>
        <v>223.83010522999996</v>
      </c>
      <c r="G517" s="28">
        <f t="shared" si="164"/>
        <v>69.75081969600005</v>
      </c>
      <c r="H517" s="76">
        <f t="shared" si="164"/>
        <v>90.326472749999994</v>
      </c>
      <c r="I517" s="28">
        <f t="shared" si="164"/>
        <v>69.75081969600005</v>
      </c>
      <c r="J517" s="28">
        <f t="shared" si="164"/>
        <v>21.870735530000001</v>
      </c>
      <c r="K517" s="28">
        <f t="shared" si="164"/>
        <v>0</v>
      </c>
      <c r="L517" s="28">
        <f t="shared" si="164"/>
        <v>48.950124539999997</v>
      </c>
      <c r="M517" s="28">
        <f t="shared" si="164"/>
        <v>0</v>
      </c>
      <c r="N517" s="28">
        <f t="shared" si="164"/>
        <v>19.505612679999999</v>
      </c>
      <c r="O517" s="28">
        <f t="shared" si="164"/>
        <v>0</v>
      </c>
      <c r="P517" s="28">
        <f t="shared" si="164"/>
        <v>0</v>
      </c>
      <c r="Q517" s="28">
        <f t="shared" si="164"/>
        <v>133.50363247999999</v>
      </c>
      <c r="R517" s="28">
        <f t="shared" si="164"/>
        <v>20.57565305399995</v>
      </c>
      <c r="S517" s="27">
        <f>R517/(I517+K517+M517)</f>
        <v>0.29498797496110124</v>
      </c>
      <c r="T517" s="26" t="s">
        <v>0</v>
      </c>
      <c r="U517" s="9"/>
      <c r="V517" s="12"/>
      <c r="X517" s="10"/>
    </row>
    <row r="518" spans="1:24" s="3" customFormat="1" ht="63" x14ac:dyDescent="0.25">
      <c r="A518" s="35" t="s">
        <v>237</v>
      </c>
      <c r="B518" s="37" t="s">
        <v>83</v>
      </c>
      <c r="C518" s="57" t="s">
        <v>11</v>
      </c>
      <c r="D518" s="28">
        <v>0</v>
      </c>
      <c r="E518" s="28">
        <v>0</v>
      </c>
      <c r="F518" s="28">
        <v>0</v>
      </c>
      <c r="G518" s="28">
        <v>0</v>
      </c>
      <c r="H518" s="76">
        <v>0</v>
      </c>
      <c r="I518" s="28">
        <v>0</v>
      </c>
      <c r="J518" s="28">
        <v>0</v>
      </c>
      <c r="K518" s="28">
        <v>0</v>
      </c>
      <c r="L518" s="28">
        <v>0</v>
      </c>
      <c r="M518" s="28">
        <v>0</v>
      </c>
      <c r="N518" s="28">
        <v>0</v>
      </c>
      <c r="O518" s="28">
        <v>0</v>
      </c>
      <c r="P518" s="28">
        <v>0</v>
      </c>
      <c r="Q518" s="28">
        <v>0</v>
      </c>
      <c r="R518" s="28">
        <v>0</v>
      </c>
      <c r="S518" s="27">
        <v>0</v>
      </c>
      <c r="T518" s="26" t="s">
        <v>0</v>
      </c>
      <c r="U518" s="9"/>
      <c r="V518" s="12"/>
      <c r="X518" s="10"/>
    </row>
    <row r="519" spans="1:24" s="3" customFormat="1" ht="63" x14ac:dyDescent="0.25">
      <c r="A519" s="35" t="s">
        <v>236</v>
      </c>
      <c r="B519" s="37" t="s">
        <v>81</v>
      </c>
      <c r="C519" s="57" t="s">
        <v>11</v>
      </c>
      <c r="D519" s="28">
        <v>0</v>
      </c>
      <c r="E519" s="28">
        <v>0</v>
      </c>
      <c r="F519" s="28">
        <v>0</v>
      </c>
      <c r="G519" s="28">
        <v>0</v>
      </c>
      <c r="H519" s="76">
        <v>0</v>
      </c>
      <c r="I519" s="28">
        <v>0</v>
      </c>
      <c r="J519" s="28">
        <v>0</v>
      </c>
      <c r="K519" s="28">
        <v>0</v>
      </c>
      <c r="L519" s="28">
        <v>0</v>
      </c>
      <c r="M519" s="28">
        <v>0</v>
      </c>
      <c r="N519" s="28">
        <v>0</v>
      </c>
      <c r="O519" s="28">
        <v>0</v>
      </c>
      <c r="P519" s="28">
        <v>0</v>
      </c>
      <c r="Q519" s="28">
        <v>0</v>
      </c>
      <c r="R519" s="28">
        <v>0</v>
      </c>
      <c r="S519" s="27">
        <v>0</v>
      </c>
      <c r="T519" s="26" t="s">
        <v>0</v>
      </c>
      <c r="U519" s="9"/>
      <c r="V519" s="12"/>
      <c r="X519" s="10"/>
    </row>
    <row r="520" spans="1:24" s="3" customFormat="1" ht="63" x14ac:dyDescent="0.25">
      <c r="A520" s="35" t="s">
        <v>235</v>
      </c>
      <c r="B520" s="37" t="s">
        <v>79</v>
      </c>
      <c r="C520" s="57" t="s">
        <v>11</v>
      </c>
      <c r="D520" s="28">
        <v>0</v>
      </c>
      <c r="E520" s="28">
        <v>0</v>
      </c>
      <c r="F520" s="28">
        <v>0</v>
      </c>
      <c r="G520" s="28">
        <v>0</v>
      </c>
      <c r="H520" s="76">
        <v>0</v>
      </c>
      <c r="I520" s="28">
        <v>0</v>
      </c>
      <c r="J520" s="28">
        <v>0</v>
      </c>
      <c r="K520" s="28">
        <v>0</v>
      </c>
      <c r="L520" s="28">
        <v>0</v>
      </c>
      <c r="M520" s="28">
        <v>0</v>
      </c>
      <c r="N520" s="28">
        <v>0</v>
      </c>
      <c r="O520" s="28">
        <v>0</v>
      </c>
      <c r="P520" s="28">
        <v>0</v>
      </c>
      <c r="Q520" s="28">
        <v>0</v>
      </c>
      <c r="R520" s="28">
        <v>0</v>
      </c>
      <c r="S520" s="27">
        <v>0</v>
      </c>
      <c r="T520" s="58" t="s">
        <v>0</v>
      </c>
      <c r="U520" s="9"/>
      <c r="V520" s="12"/>
      <c r="X520" s="10"/>
    </row>
    <row r="521" spans="1:24" s="3" customFormat="1" ht="78.75" x14ac:dyDescent="0.25">
      <c r="A521" s="35" t="s">
        <v>234</v>
      </c>
      <c r="B521" s="37" t="s">
        <v>77</v>
      </c>
      <c r="C521" s="57" t="s">
        <v>11</v>
      </c>
      <c r="D521" s="28">
        <v>0</v>
      </c>
      <c r="E521" s="28">
        <v>0</v>
      </c>
      <c r="F521" s="28">
        <v>0</v>
      </c>
      <c r="G521" s="28">
        <v>0</v>
      </c>
      <c r="H521" s="28">
        <v>0</v>
      </c>
      <c r="I521" s="28">
        <v>0</v>
      </c>
      <c r="J521" s="28">
        <v>0</v>
      </c>
      <c r="K521" s="28">
        <v>0</v>
      </c>
      <c r="L521" s="28">
        <v>0</v>
      </c>
      <c r="M521" s="28">
        <v>0</v>
      </c>
      <c r="N521" s="28">
        <v>0</v>
      </c>
      <c r="O521" s="28">
        <v>0</v>
      </c>
      <c r="P521" s="28">
        <v>0</v>
      </c>
      <c r="Q521" s="28">
        <v>0</v>
      </c>
      <c r="R521" s="28">
        <v>0</v>
      </c>
      <c r="S521" s="27">
        <v>0</v>
      </c>
      <c r="T521" s="26" t="s">
        <v>0</v>
      </c>
      <c r="U521" s="9"/>
      <c r="V521" s="12"/>
      <c r="X521" s="10"/>
    </row>
    <row r="522" spans="1:24" s="3" customFormat="1" ht="78.75" x14ac:dyDescent="0.25">
      <c r="A522" s="35" t="s">
        <v>229</v>
      </c>
      <c r="B522" s="37" t="s">
        <v>76</v>
      </c>
      <c r="C522" s="57" t="s">
        <v>11</v>
      </c>
      <c r="D522" s="28">
        <f t="shared" ref="D522:R522" si="165">SUM(D523:D525)</f>
        <v>422.27726311999999</v>
      </c>
      <c r="E522" s="28">
        <f t="shared" si="165"/>
        <v>198.44715789000003</v>
      </c>
      <c r="F522" s="28">
        <f t="shared" si="165"/>
        <v>223.83010522999996</v>
      </c>
      <c r="G522" s="28">
        <f t="shared" si="165"/>
        <v>69.75081969600005</v>
      </c>
      <c r="H522" s="76">
        <f t="shared" si="165"/>
        <v>90.326472749999994</v>
      </c>
      <c r="I522" s="28">
        <f t="shared" si="165"/>
        <v>69.75081969600005</v>
      </c>
      <c r="J522" s="28">
        <f t="shared" si="165"/>
        <v>21.870735530000001</v>
      </c>
      <c r="K522" s="28">
        <f t="shared" si="165"/>
        <v>0</v>
      </c>
      <c r="L522" s="28">
        <f t="shared" si="165"/>
        <v>48.950124539999997</v>
      </c>
      <c r="M522" s="28">
        <f t="shared" si="165"/>
        <v>0</v>
      </c>
      <c r="N522" s="28">
        <f t="shared" si="165"/>
        <v>19.505612679999999</v>
      </c>
      <c r="O522" s="28">
        <f t="shared" si="165"/>
        <v>0</v>
      </c>
      <c r="P522" s="28">
        <f t="shared" si="165"/>
        <v>0</v>
      </c>
      <c r="Q522" s="28">
        <f t="shared" si="165"/>
        <v>133.50363247999999</v>
      </c>
      <c r="R522" s="28">
        <f t="shared" si="165"/>
        <v>20.57565305399995</v>
      </c>
      <c r="S522" s="27">
        <f>R522/(I522+K522+M522)</f>
        <v>0.29498797496110124</v>
      </c>
      <c r="T522" s="26" t="s">
        <v>0</v>
      </c>
      <c r="U522" s="9"/>
      <c r="V522" s="12"/>
      <c r="X522" s="10"/>
    </row>
    <row r="523" spans="1:24" s="3" customFormat="1" ht="47.25" x14ac:dyDescent="0.25">
      <c r="A523" s="43" t="s">
        <v>229</v>
      </c>
      <c r="B523" s="48" t="s">
        <v>233</v>
      </c>
      <c r="C523" s="47" t="s">
        <v>232</v>
      </c>
      <c r="D523" s="16">
        <v>154.13483580799999</v>
      </c>
      <c r="E523" s="18">
        <v>35.474284930000003</v>
      </c>
      <c r="F523" s="16">
        <f>D523-E523</f>
        <v>118.66055087799998</v>
      </c>
      <c r="G523" s="17">
        <v>25.605874384000025</v>
      </c>
      <c r="H523" s="16">
        <f>J523+L523+N523+P523</f>
        <v>22.80697103</v>
      </c>
      <c r="I523" s="16">
        <v>25.605874384000025</v>
      </c>
      <c r="J523" s="16">
        <v>6.5650235099999996</v>
      </c>
      <c r="K523" s="16">
        <v>0</v>
      </c>
      <c r="L523" s="16">
        <v>5.7655218899999996</v>
      </c>
      <c r="M523" s="16">
        <v>0</v>
      </c>
      <c r="N523" s="16">
        <f>10476.42563/1000</f>
        <v>10.47642563</v>
      </c>
      <c r="O523" s="16">
        <v>0</v>
      </c>
      <c r="P523" s="16">
        <v>0</v>
      </c>
      <c r="Q523" s="16">
        <f>F523-H523</f>
        <v>95.853579847999981</v>
      </c>
      <c r="R523" s="16">
        <f>H523-(I523+K523+M523)</f>
        <v>-2.798903354000025</v>
      </c>
      <c r="S523" s="14">
        <f>R523/(I523+K523+M523)</f>
        <v>-0.10930707977498068</v>
      </c>
      <c r="T523" s="61" t="s">
        <v>226</v>
      </c>
      <c r="U523" s="9"/>
      <c r="V523" s="12"/>
      <c r="X523" s="10"/>
    </row>
    <row r="524" spans="1:24" s="3" customFormat="1" ht="47.25" x14ac:dyDescent="0.25">
      <c r="A524" s="43" t="s">
        <v>229</v>
      </c>
      <c r="B524" s="48" t="s">
        <v>231</v>
      </c>
      <c r="C524" s="47" t="s">
        <v>230</v>
      </c>
      <c r="D524" s="16">
        <v>144.22784696799999</v>
      </c>
      <c r="E524" s="18">
        <v>62.413783790000004</v>
      </c>
      <c r="F524" s="16">
        <f>D524-E524</f>
        <v>81.814063177999998</v>
      </c>
      <c r="G524" s="17">
        <v>23.98009802800005</v>
      </c>
      <c r="H524" s="16">
        <f>J524+L524+N524+P524</f>
        <v>52.245428740000001</v>
      </c>
      <c r="I524" s="16">
        <v>23.98009802800005</v>
      </c>
      <c r="J524" s="16">
        <v>15.275046740000001</v>
      </c>
      <c r="K524" s="16">
        <v>0</v>
      </c>
      <c r="L524" s="16">
        <v>27.941196399999999</v>
      </c>
      <c r="M524" s="16">
        <v>0</v>
      </c>
      <c r="N524" s="16">
        <f>9029.1856/1000</f>
        <v>9.0291855999999999</v>
      </c>
      <c r="O524" s="16">
        <v>0</v>
      </c>
      <c r="P524" s="16">
        <v>0</v>
      </c>
      <c r="Q524" s="16">
        <f>F524-H524</f>
        <v>29.568634437999997</v>
      </c>
      <c r="R524" s="16">
        <f>H524-(I524+K524+M524)</f>
        <v>28.265330711999951</v>
      </c>
      <c r="S524" s="14">
        <f>R524/(I524+K524+M524)</f>
        <v>1.1786995482252118</v>
      </c>
      <c r="T524" s="61" t="s">
        <v>226</v>
      </c>
      <c r="U524" s="9"/>
      <c r="V524" s="12"/>
      <c r="X524" s="10"/>
    </row>
    <row r="525" spans="1:24" s="3" customFormat="1" ht="78.75" x14ac:dyDescent="0.25">
      <c r="A525" s="43" t="s">
        <v>229</v>
      </c>
      <c r="B525" s="48" t="s">
        <v>228</v>
      </c>
      <c r="C525" s="52" t="s">
        <v>227</v>
      </c>
      <c r="D525" s="40">
        <v>123.914580344</v>
      </c>
      <c r="E525" s="18">
        <v>100.55908917000001</v>
      </c>
      <c r="F525" s="16">
        <f>D525-E525</f>
        <v>23.355491173999994</v>
      </c>
      <c r="G525" s="17">
        <v>20.164847283999976</v>
      </c>
      <c r="H525" s="16">
        <f>J525+L525+N525+P525</f>
        <v>15.274072979999998</v>
      </c>
      <c r="I525" s="16">
        <v>20.164847283999976</v>
      </c>
      <c r="J525" s="16">
        <v>3.066528E-2</v>
      </c>
      <c r="K525" s="16">
        <v>0</v>
      </c>
      <c r="L525" s="16">
        <v>15.24340625</v>
      </c>
      <c r="M525" s="16">
        <v>0</v>
      </c>
      <c r="N525" s="16">
        <f>0.00145/1000</f>
        <v>1.4499999999999999E-6</v>
      </c>
      <c r="O525" s="16">
        <v>0</v>
      </c>
      <c r="P525" s="16">
        <v>0</v>
      </c>
      <c r="Q525" s="16">
        <f>F525-H525</f>
        <v>8.0814181939999958</v>
      </c>
      <c r="R525" s="16">
        <f>H525-(I525+K525+M525)</f>
        <v>-4.8907743039999776</v>
      </c>
      <c r="S525" s="14">
        <f>R525/(I525+K525+M525)</f>
        <v>-0.24253961535729643</v>
      </c>
      <c r="T525" s="61" t="s">
        <v>226</v>
      </c>
      <c r="U525" s="9"/>
      <c r="V525" s="12"/>
      <c r="X525" s="10"/>
    </row>
    <row r="526" spans="1:24" s="3" customFormat="1" ht="31.5" x14ac:dyDescent="0.25">
      <c r="A526" s="35" t="s">
        <v>225</v>
      </c>
      <c r="B526" s="37" t="s">
        <v>71</v>
      </c>
      <c r="C526" s="57" t="s">
        <v>11</v>
      </c>
      <c r="D526" s="28">
        <v>0</v>
      </c>
      <c r="E526" s="28">
        <v>0</v>
      </c>
      <c r="F526" s="28">
        <v>0</v>
      </c>
      <c r="G526" s="28">
        <v>0</v>
      </c>
      <c r="H526" s="76">
        <v>0</v>
      </c>
      <c r="I526" s="28">
        <v>0</v>
      </c>
      <c r="J526" s="28">
        <v>0</v>
      </c>
      <c r="K526" s="28">
        <v>0</v>
      </c>
      <c r="L526" s="28">
        <v>0</v>
      </c>
      <c r="M526" s="28">
        <v>0</v>
      </c>
      <c r="N526" s="28">
        <v>0</v>
      </c>
      <c r="O526" s="28">
        <v>0</v>
      </c>
      <c r="P526" s="28">
        <v>0</v>
      </c>
      <c r="Q526" s="28">
        <v>0</v>
      </c>
      <c r="R526" s="28">
        <v>0</v>
      </c>
      <c r="S526" s="27">
        <v>0</v>
      </c>
      <c r="T526" s="26" t="s">
        <v>0</v>
      </c>
      <c r="U526" s="9"/>
      <c r="V526" s="12"/>
      <c r="X526" s="10"/>
    </row>
    <row r="527" spans="1:24" s="3" customFormat="1" ht="47.25" x14ac:dyDescent="0.25">
      <c r="A527" s="35" t="s">
        <v>224</v>
      </c>
      <c r="B527" s="37" t="s">
        <v>69</v>
      </c>
      <c r="C527" s="57" t="s">
        <v>11</v>
      </c>
      <c r="D527" s="28">
        <f t="shared" ref="D527:R527" si="166">D528+D536+D538+D540</f>
        <v>1630.5176925432002</v>
      </c>
      <c r="E527" s="28">
        <f t="shared" si="166"/>
        <v>269.2977434</v>
      </c>
      <c r="F527" s="28">
        <f t="shared" si="166"/>
        <v>1361.2199491432</v>
      </c>
      <c r="G527" s="28">
        <f t="shared" si="166"/>
        <v>286.70724564720001</v>
      </c>
      <c r="H527" s="76">
        <f t="shared" si="166"/>
        <v>151.69030109000002</v>
      </c>
      <c r="I527" s="28">
        <f t="shared" si="166"/>
        <v>24.626695820400002</v>
      </c>
      <c r="J527" s="28">
        <f t="shared" si="166"/>
        <v>38.261505459999995</v>
      </c>
      <c r="K527" s="28">
        <f t="shared" si="166"/>
        <v>118.92209313519999</v>
      </c>
      <c r="L527" s="28">
        <f t="shared" si="166"/>
        <v>35.080457799999998</v>
      </c>
      <c r="M527" s="28">
        <f t="shared" si="166"/>
        <v>82.942426690399998</v>
      </c>
      <c r="N527" s="28">
        <f t="shared" si="166"/>
        <v>78.34833783000002</v>
      </c>
      <c r="O527" s="28">
        <f t="shared" si="166"/>
        <v>60.216030001200004</v>
      </c>
      <c r="P527" s="28">
        <f t="shared" si="166"/>
        <v>0</v>
      </c>
      <c r="Q527" s="28">
        <f t="shared" si="166"/>
        <v>1222.8049004431998</v>
      </c>
      <c r="R527" s="28">
        <f t="shared" si="166"/>
        <v>-88.076166945999972</v>
      </c>
      <c r="S527" s="27">
        <f>R527/(I527+K527+M527)</f>
        <v>-0.38887233085304629</v>
      </c>
      <c r="T527" s="26" t="s">
        <v>0</v>
      </c>
      <c r="U527" s="9"/>
      <c r="V527" s="12"/>
      <c r="X527" s="10"/>
    </row>
    <row r="528" spans="1:24" s="3" customFormat="1" ht="31.5" x14ac:dyDescent="0.25">
      <c r="A528" s="35" t="s">
        <v>210</v>
      </c>
      <c r="B528" s="37" t="s">
        <v>67</v>
      </c>
      <c r="C528" s="57" t="s">
        <v>11</v>
      </c>
      <c r="D528" s="28">
        <f t="shared" ref="D528:R528" si="167">SUM(D529:D535)</f>
        <v>392.76443918000007</v>
      </c>
      <c r="E528" s="28">
        <f t="shared" si="167"/>
        <v>226.08605118</v>
      </c>
      <c r="F528" s="28">
        <f t="shared" si="167"/>
        <v>166.67838800000001</v>
      </c>
      <c r="G528" s="28">
        <f t="shared" si="167"/>
        <v>142.14158800000001</v>
      </c>
      <c r="H528" s="76">
        <f t="shared" si="167"/>
        <v>129.74699022000001</v>
      </c>
      <c r="I528" s="28">
        <f t="shared" si="167"/>
        <v>9.1121719603999995</v>
      </c>
      <c r="J528" s="28">
        <f t="shared" si="167"/>
        <v>23.419871049999998</v>
      </c>
      <c r="K528" s="28">
        <f t="shared" si="167"/>
        <v>87.25185060119999</v>
      </c>
      <c r="L528" s="28">
        <f t="shared" si="167"/>
        <v>30.098766079999997</v>
      </c>
      <c r="M528" s="28">
        <f t="shared" si="167"/>
        <v>39.863165438400003</v>
      </c>
      <c r="N528" s="28">
        <f t="shared" si="167"/>
        <v>76.228353090000013</v>
      </c>
      <c r="O528" s="28">
        <f t="shared" si="167"/>
        <v>5.9143999999999997</v>
      </c>
      <c r="P528" s="28">
        <f t="shared" si="167"/>
        <v>0</v>
      </c>
      <c r="Q528" s="28">
        <f t="shared" si="167"/>
        <v>50.20665017000001</v>
      </c>
      <c r="R528" s="28">
        <f t="shared" si="167"/>
        <v>-19.755450169999968</v>
      </c>
      <c r="S528" s="27">
        <f>R528/(I528+K528+M528)</f>
        <v>-0.14501840976119953</v>
      </c>
      <c r="T528" s="26" t="s">
        <v>0</v>
      </c>
      <c r="U528" s="9"/>
      <c r="V528" s="12"/>
      <c r="X528" s="10"/>
    </row>
    <row r="529" spans="1:24" s="3" customFormat="1" ht="38.25" customHeight="1" x14ac:dyDescent="0.25">
      <c r="A529" s="43" t="s">
        <v>210</v>
      </c>
      <c r="B529" s="48" t="s">
        <v>223</v>
      </c>
      <c r="C529" s="52" t="s">
        <v>222</v>
      </c>
      <c r="D529" s="16" t="s">
        <v>0</v>
      </c>
      <c r="E529" s="18" t="s">
        <v>0</v>
      </c>
      <c r="F529" s="16" t="s">
        <v>0</v>
      </c>
      <c r="G529" s="16" t="s">
        <v>0</v>
      </c>
      <c r="H529" s="16">
        <f t="shared" ref="H529:H535" si="168">J529+L529+N529+P529</f>
        <v>7.7965001999999997</v>
      </c>
      <c r="I529" s="16" t="s">
        <v>0</v>
      </c>
      <c r="J529" s="16">
        <v>7.7965001999999997</v>
      </c>
      <c r="K529" s="16" t="s">
        <v>0</v>
      </c>
      <c r="L529" s="16">
        <v>0</v>
      </c>
      <c r="M529" s="16" t="s">
        <v>0</v>
      </c>
      <c r="N529" s="16">
        <v>0</v>
      </c>
      <c r="O529" s="16" t="s">
        <v>0</v>
      </c>
      <c r="P529" s="16">
        <v>0</v>
      </c>
      <c r="Q529" s="16" t="s">
        <v>0</v>
      </c>
      <c r="R529" s="16" t="s">
        <v>0</v>
      </c>
      <c r="S529" s="15" t="s">
        <v>0</v>
      </c>
      <c r="T529" s="61" t="s">
        <v>195</v>
      </c>
      <c r="U529" s="9"/>
      <c r="V529" s="12"/>
      <c r="X529" s="10"/>
    </row>
    <row r="530" spans="1:24" s="3" customFormat="1" ht="45.75" customHeight="1" x14ac:dyDescent="0.25">
      <c r="A530" s="43" t="s">
        <v>210</v>
      </c>
      <c r="B530" s="48" t="s">
        <v>221</v>
      </c>
      <c r="C530" s="52" t="s">
        <v>220</v>
      </c>
      <c r="D530" s="16">
        <v>317.25184891000004</v>
      </c>
      <c r="E530" s="18">
        <v>202.27666091</v>
      </c>
      <c r="F530" s="16">
        <f>D530-E530</f>
        <v>114.97518800000003</v>
      </c>
      <c r="G530" s="17">
        <v>111.93518800000001</v>
      </c>
      <c r="H530" s="16">
        <f t="shared" si="168"/>
        <v>104.34212494000002</v>
      </c>
      <c r="I530" s="16">
        <v>8.4939110899999992</v>
      </c>
      <c r="J530" s="16">
        <v>10.025777010000001</v>
      </c>
      <c r="K530" s="16">
        <v>79.997067989999991</v>
      </c>
      <c r="L530" s="16">
        <v>20.183927909999998</v>
      </c>
      <c r="M530" s="16">
        <v>23.444208920000001</v>
      </c>
      <c r="N530" s="16">
        <v>74.132420020000012</v>
      </c>
      <c r="O530" s="16">
        <v>0</v>
      </c>
      <c r="P530" s="16">
        <v>0</v>
      </c>
      <c r="Q530" s="16">
        <f>F530-H530</f>
        <v>10.633063060000012</v>
      </c>
      <c r="R530" s="16">
        <f>H530-(I530+K530+M530)</f>
        <v>-7.5930630599999631</v>
      </c>
      <c r="S530" s="14">
        <f>R530/(I530+K530+M530)</f>
        <v>-6.7834460241402952E-2</v>
      </c>
      <c r="T530" s="22" t="s">
        <v>0</v>
      </c>
      <c r="U530" s="9"/>
      <c r="V530" s="12"/>
      <c r="X530" s="10"/>
    </row>
    <row r="531" spans="1:24" s="3" customFormat="1" ht="63" x14ac:dyDescent="0.25">
      <c r="A531" s="56" t="s">
        <v>210</v>
      </c>
      <c r="B531" s="53" t="s">
        <v>219</v>
      </c>
      <c r="C531" s="52" t="s">
        <v>218</v>
      </c>
      <c r="D531" s="16">
        <v>50.655790269999997</v>
      </c>
      <c r="E531" s="18">
        <v>23.809390269999998</v>
      </c>
      <c r="F531" s="16">
        <f>D531-E531</f>
        <v>26.846399999999999</v>
      </c>
      <c r="G531" s="17">
        <v>26.846399999999999</v>
      </c>
      <c r="H531" s="16">
        <f t="shared" si="168"/>
        <v>10.449612889999999</v>
      </c>
      <c r="I531" s="16">
        <v>0.6182608704</v>
      </c>
      <c r="J531" s="16">
        <v>0.11884164999999999</v>
      </c>
      <c r="K531" s="16">
        <v>7.2547826112000005</v>
      </c>
      <c r="L531" s="16">
        <v>9.3375181699999992</v>
      </c>
      <c r="M531" s="16">
        <v>14.7389565184</v>
      </c>
      <c r="N531" s="16">
        <f>993.25307/1000</f>
        <v>0.99325306999999996</v>
      </c>
      <c r="O531" s="16">
        <v>4.2343999999999999</v>
      </c>
      <c r="P531" s="16">
        <v>0</v>
      </c>
      <c r="Q531" s="16">
        <f>F531-H531</f>
        <v>16.396787109999998</v>
      </c>
      <c r="R531" s="16">
        <f>H531-(I531+K531+M531)</f>
        <v>-12.162387110000003</v>
      </c>
      <c r="S531" s="14">
        <f>R531/(I531+K531+M531)</f>
        <v>-0.53787312533168241</v>
      </c>
      <c r="T531" s="13" t="s">
        <v>217</v>
      </c>
      <c r="U531" s="9"/>
      <c r="V531" s="12"/>
      <c r="X531" s="10"/>
    </row>
    <row r="532" spans="1:24" s="3" customFormat="1" ht="23.25" customHeight="1" x14ac:dyDescent="0.25">
      <c r="A532" s="56" t="s">
        <v>210</v>
      </c>
      <c r="B532" s="53" t="s">
        <v>216</v>
      </c>
      <c r="C532" s="52" t="s">
        <v>215</v>
      </c>
      <c r="D532" s="16">
        <v>24.8568</v>
      </c>
      <c r="E532" s="18">
        <v>0</v>
      </c>
      <c r="F532" s="16">
        <f>D532-E532</f>
        <v>24.8568</v>
      </c>
      <c r="G532" s="17">
        <v>3.36</v>
      </c>
      <c r="H532" s="16">
        <f t="shared" si="168"/>
        <v>1.6800000000000002</v>
      </c>
      <c r="I532" s="16">
        <v>0</v>
      </c>
      <c r="J532" s="16">
        <v>0</v>
      </c>
      <c r="K532" s="16">
        <v>0</v>
      </c>
      <c r="L532" s="16">
        <v>0.57732000000000006</v>
      </c>
      <c r="M532" s="16">
        <v>1.68</v>
      </c>
      <c r="N532" s="16">
        <f>1102.68/1000</f>
        <v>1.1026800000000001</v>
      </c>
      <c r="O532" s="16">
        <v>1.68</v>
      </c>
      <c r="P532" s="16">
        <v>0</v>
      </c>
      <c r="Q532" s="16">
        <f>F532-H532</f>
        <v>23.1768</v>
      </c>
      <c r="R532" s="16">
        <f>H532-(I532+K532+M532)</f>
        <v>0</v>
      </c>
      <c r="S532" s="14">
        <f>R532/(I532+K532+M532)</f>
        <v>0</v>
      </c>
      <c r="T532" s="13" t="s">
        <v>0</v>
      </c>
      <c r="U532" s="9"/>
      <c r="V532" s="12"/>
      <c r="X532" s="10"/>
    </row>
    <row r="533" spans="1:24" s="3" customFormat="1" ht="31.5" x14ac:dyDescent="0.25">
      <c r="A533" s="43" t="s">
        <v>210</v>
      </c>
      <c r="B533" s="48" t="s">
        <v>214</v>
      </c>
      <c r="C533" s="52" t="s">
        <v>213</v>
      </c>
      <c r="D533" s="16" t="s">
        <v>0</v>
      </c>
      <c r="E533" s="18" t="s">
        <v>0</v>
      </c>
      <c r="F533" s="16" t="s">
        <v>0</v>
      </c>
      <c r="G533" s="16" t="s">
        <v>0</v>
      </c>
      <c r="H533" s="16">
        <f t="shared" si="168"/>
        <v>1.34652408</v>
      </c>
      <c r="I533" s="16" t="s">
        <v>0</v>
      </c>
      <c r="J533" s="16">
        <v>1.34652408</v>
      </c>
      <c r="K533" s="16" t="s">
        <v>0</v>
      </c>
      <c r="L533" s="16">
        <v>0</v>
      </c>
      <c r="M533" s="16" t="s">
        <v>0</v>
      </c>
      <c r="N533" s="16">
        <v>0</v>
      </c>
      <c r="O533" s="16" t="s">
        <v>0</v>
      </c>
      <c r="P533" s="16">
        <v>0</v>
      </c>
      <c r="Q533" s="16" t="s">
        <v>0</v>
      </c>
      <c r="R533" s="16" t="s">
        <v>0</v>
      </c>
      <c r="S533" s="32" t="s">
        <v>0</v>
      </c>
      <c r="T533" s="61" t="s">
        <v>195</v>
      </c>
      <c r="U533" s="9"/>
      <c r="V533" s="12"/>
      <c r="X533" s="10"/>
    </row>
    <row r="534" spans="1:24" s="3" customFormat="1" ht="31.5" x14ac:dyDescent="0.25">
      <c r="A534" s="43" t="s">
        <v>210</v>
      </c>
      <c r="B534" s="48" t="s">
        <v>212</v>
      </c>
      <c r="C534" s="52" t="s">
        <v>211</v>
      </c>
      <c r="D534" s="16" t="s">
        <v>0</v>
      </c>
      <c r="E534" s="18" t="s">
        <v>0</v>
      </c>
      <c r="F534" s="16" t="s">
        <v>0</v>
      </c>
      <c r="G534" s="16" t="s">
        <v>0</v>
      </c>
      <c r="H534" s="16">
        <f t="shared" si="168"/>
        <v>0.3972</v>
      </c>
      <c r="I534" s="16" t="s">
        <v>0</v>
      </c>
      <c r="J534" s="16">
        <v>0.3972</v>
      </c>
      <c r="K534" s="16" t="s">
        <v>0</v>
      </c>
      <c r="L534" s="16">
        <v>0</v>
      </c>
      <c r="M534" s="16" t="s">
        <v>0</v>
      </c>
      <c r="N534" s="16">
        <v>0</v>
      </c>
      <c r="O534" s="16" t="s">
        <v>0</v>
      </c>
      <c r="P534" s="16">
        <v>0</v>
      </c>
      <c r="Q534" s="16" t="s">
        <v>0</v>
      </c>
      <c r="R534" s="16" t="s">
        <v>0</v>
      </c>
      <c r="S534" s="32" t="s">
        <v>0</v>
      </c>
      <c r="T534" s="61" t="s">
        <v>195</v>
      </c>
      <c r="U534" s="9"/>
      <c r="V534" s="12"/>
      <c r="X534" s="10"/>
    </row>
    <row r="535" spans="1:24" s="3" customFormat="1" ht="31.5" x14ac:dyDescent="0.25">
      <c r="A535" s="43" t="s">
        <v>210</v>
      </c>
      <c r="B535" s="48" t="s">
        <v>209</v>
      </c>
      <c r="C535" s="52" t="s">
        <v>208</v>
      </c>
      <c r="D535" s="16" t="s">
        <v>0</v>
      </c>
      <c r="E535" s="18" t="s">
        <v>0</v>
      </c>
      <c r="F535" s="16" t="s">
        <v>0</v>
      </c>
      <c r="G535" s="16" t="s">
        <v>0</v>
      </c>
      <c r="H535" s="16">
        <f t="shared" si="168"/>
        <v>3.73502811</v>
      </c>
      <c r="I535" s="16" t="s">
        <v>0</v>
      </c>
      <c r="J535" s="16">
        <v>3.73502811</v>
      </c>
      <c r="K535" s="16" t="s">
        <v>0</v>
      </c>
      <c r="L535" s="16">
        <v>0</v>
      </c>
      <c r="M535" s="16" t="s">
        <v>0</v>
      </c>
      <c r="N535" s="16">
        <v>0</v>
      </c>
      <c r="O535" s="16" t="s">
        <v>0</v>
      </c>
      <c r="P535" s="16">
        <v>0</v>
      </c>
      <c r="Q535" s="16" t="s">
        <v>0</v>
      </c>
      <c r="R535" s="16" t="s">
        <v>0</v>
      </c>
      <c r="S535" s="32" t="s">
        <v>0</v>
      </c>
      <c r="T535" s="61" t="s">
        <v>195</v>
      </c>
      <c r="U535" s="9"/>
      <c r="V535" s="12"/>
      <c r="X535" s="10"/>
    </row>
    <row r="536" spans="1:24" s="3" customFormat="1" ht="50.25" customHeight="1" x14ac:dyDescent="0.25">
      <c r="A536" s="35" t="s">
        <v>207</v>
      </c>
      <c r="B536" s="55" t="s">
        <v>66</v>
      </c>
      <c r="C536" s="55" t="s">
        <v>11</v>
      </c>
      <c r="D536" s="36">
        <f t="shared" ref="D536:R536" si="169">SUM(D537)</f>
        <v>21.976200000000002</v>
      </c>
      <c r="E536" s="36">
        <f t="shared" si="169"/>
        <v>0</v>
      </c>
      <c r="F536" s="36">
        <f t="shared" si="169"/>
        <v>21.976200000000002</v>
      </c>
      <c r="G536" s="36">
        <f t="shared" si="169"/>
        <v>21.976200000000002</v>
      </c>
      <c r="H536" s="36">
        <f t="shared" si="169"/>
        <v>7.5851165199999988</v>
      </c>
      <c r="I536" s="36">
        <f t="shared" si="169"/>
        <v>0.24</v>
      </c>
      <c r="J536" s="36">
        <f t="shared" si="169"/>
        <v>2.8503719599999999</v>
      </c>
      <c r="K536" s="36">
        <f t="shared" si="169"/>
        <v>4.6821581439999997</v>
      </c>
      <c r="L536" s="36">
        <f t="shared" si="169"/>
        <v>4.5631014099999989</v>
      </c>
      <c r="M536" s="36">
        <f t="shared" si="169"/>
        <v>8.4812859219999996</v>
      </c>
      <c r="N536" s="36">
        <f t="shared" si="169"/>
        <v>0.17164314999999999</v>
      </c>
      <c r="O536" s="36">
        <f t="shared" si="169"/>
        <v>8.5727559339999999</v>
      </c>
      <c r="P536" s="36">
        <f t="shared" si="169"/>
        <v>0</v>
      </c>
      <c r="Q536" s="36">
        <f t="shared" si="169"/>
        <v>14.391083480000002</v>
      </c>
      <c r="R536" s="36">
        <f t="shared" si="169"/>
        <v>-5.8183275459999999</v>
      </c>
      <c r="S536" s="27">
        <f t="shared" ref="S536:S548" si="170">R536/(I536+K536+M536)</f>
        <v>-0.43409197795357146</v>
      </c>
      <c r="T536" s="54" t="s">
        <v>0</v>
      </c>
      <c r="U536" s="9"/>
      <c r="V536" s="12"/>
      <c r="X536" s="10"/>
    </row>
    <row r="537" spans="1:24" s="3" customFormat="1" ht="50.25" customHeight="1" x14ac:dyDescent="0.25">
      <c r="A537" s="43" t="s">
        <v>207</v>
      </c>
      <c r="B537" s="53" t="s">
        <v>206</v>
      </c>
      <c r="C537" s="52" t="s">
        <v>205</v>
      </c>
      <c r="D537" s="51">
        <v>21.976200000000002</v>
      </c>
      <c r="E537" s="51">
        <v>0</v>
      </c>
      <c r="F537" s="16">
        <f>D537-E537</f>
        <v>21.976200000000002</v>
      </c>
      <c r="G537" s="17">
        <v>21.976200000000002</v>
      </c>
      <c r="H537" s="16">
        <f>J537+L537+N537+P537</f>
        <v>7.5851165199999988</v>
      </c>
      <c r="I537" s="16">
        <v>0.24</v>
      </c>
      <c r="J537" s="16">
        <v>2.8503719599999999</v>
      </c>
      <c r="K537" s="16">
        <v>4.6821581439999997</v>
      </c>
      <c r="L537" s="16">
        <v>4.5631014099999989</v>
      </c>
      <c r="M537" s="16">
        <v>8.4812859219999996</v>
      </c>
      <c r="N537" s="16">
        <f>171.64315/1000</f>
        <v>0.17164314999999999</v>
      </c>
      <c r="O537" s="16">
        <v>8.5727559339999999</v>
      </c>
      <c r="P537" s="16">
        <v>0</v>
      </c>
      <c r="Q537" s="16">
        <f>F537-H537</f>
        <v>14.391083480000002</v>
      </c>
      <c r="R537" s="16">
        <f>H537-(I537+K537+M537)</f>
        <v>-5.8183275459999999</v>
      </c>
      <c r="S537" s="14">
        <f t="shared" si="170"/>
        <v>-0.43409197795357146</v>
      </c>
      <c r="T537" s="22" t="s">
        <v>204</v>
      </c>
      <c r="U537" s="9"/>
      <c r="V537" s="12"/>
      <c r="X537" s="10"/>
    </row>
    <row r="538" spans="1:24" s="3" customFormat="1" x14ac:dyDescent="0.25">
      <c r="A538" s="35" t="s">
        <v>203</v>
      </c>
      <c r="B538" s="37" t="s">
        <v>60</v>
      </c>
      <c r="C538" s="33" t="s">
        <v>11</v>
      </c>
      <c r="D538" s="28">
        <f t="shared" ref="D538:R538" si="171">SUM(D539)</f>
        <v>106.07639999999999</v>
      </c>
      <c r="E538" s="28">
        <f t="shared" si="171"/>
        <v>0</v>
      </c>
      <c r="F538" s="28">
        <f t="shared" si="171"/>
        <v>106.07639999999999</v>
      </c>
      <c r="G538" s="28">
        <f t="shared" si="171"/>
        <v>3.6</v>
      </c>
      <c r="H538" s="28">
        <f t="shared" si="171"/>
        <v>1.8</v>
      </c>
      <c r="I538" s="28">
        <f t="shared" si="171"/>
        <v>0</v>
      </c>
      <c r="J538" s="28">
        <f t="shared" si="171"/>
        <v>0</v>
      </c>
      <c r="K538" s="28">
        <f t="shared" si="171"/>
        <v>0</v>
      </c>
      <c r="L538" s="28">
        <f t="shared" si="171"/>
        <v>0.17319599999999999</v>
      </c>
      <c r="M538" s="28">
        <f t="shared" si="171"/>
        <v>1.2</v>
      </c>
      <c r="N538" s="28">
        <f t="shared" si="171"/>
        <v>1.6268040000000001</v>
      </c>
      <c r="O538" s="28">
        <f t="shared" si="171"/>
        <v>2.4</v>
      </c>
      <c r="P538" s="28">
        <f t="shared" si="171"/>
        <v>0</v>
      </c>
      <c r="Q538" s="28">
        <f t="shared" si="171"/>
        <v>104.2764</v>
      </c>
      <c r="R538" s="28">
        <f t="shared" si="171"/>
        <v>0.60000000000000009</v>
      </c>
      <c r="S538" s="27">
        <f t="shared" si="170"/>
        <v>0.50000000000000011</v>
      </c>
      <c r="T538" s="26" t="s">
        <v>0</v>
      </c>
      <c r="U538" s="9"/>
      <c r="V538" s="12"/>
      <c r="X538" s="10"/>
    </row>
    <row r="539" spans="1:24" s="3" customFormat="1" ht="40.5" customHeight="1" x14ac:dyDescent="0.25">
      <c r="A539" s="43" t="s">
        <v>203</v>
      </c>
      <c r="B539" s="50" t="s">
        <v>202</v>
      </c>
      <c r="C539" s="49" t="s">
        <v>201</v>
      </c>
      <c r="D539" s="16">
        <v>106.07639999999999</v>
      </c>
      <c r="E539" s="16">
        <v>0</v>
      </c>
      <c r="F539" s="16">
        <f>D539-E539</f>
        <v>106.07639999999999</v>
      </c>
      <c r="G539" s="16">
        <v>3.6</v>
      </c>
      <c r="H539" s="18">
        <f>J539+L539+N539+P539</f>
        <v>1.8</v>
      </c>
      <c r="I539" s="18">
        <v>0</v>
      </c>
      <c r="J539" s="16">
        <v>0</v>
      </c>
      <c r="K539" s="18">
        <v>0</v>
      </c>
      <c r="L539" s="16">
        <v>0.17319599999999999</v>
      </c>
      <c r="M539" s="18">
        <v>1.2</v>
      </c>
      <c r="N539" s="16">
        <f>1626.804/1000</f>
        <v>1.6268040000000001</v>
      </c>
      <c r="O539" s="18">
        <v>2.4</v>
      </c>
      <c r="P539" s="16">
        <v>0</v>
      </c>
      <c r="Q539" s="16">
        <f>F539-H539</f>
        <v>104.2764</v>
      </c>
      <c r="R539" s="16">
        <f>H539-(I539+K539+M539)</f>
        <v>0.60000000000000009</v>
      </c>
      <c r="S539" s="14">
        <f t="shared" si="170"/>
        <v>0.50000000000000011</v>
      </c>
      <c r="T539" s="67" t="s">
        <v>174</v>
      </c>
      <c r="U539" s="9"/>
      <c r="V539" s="12"/>
      <c r="X539" s="10"/>
    </row>
    <row r="540" spans="1:24" s="3" customFormat="1" ht="31.5" x14ac:dyDescent="0.25">
      <c r="A540" s="35" t="s">
        <v>191</v>
      </c>
      <c r="B540" s="37" t="s">
        <v>59</v>
      </c>
      <c r="C540" s="33" t="s">
        <v>11</v>
      </c>
      <c r="D540" s="28">
        <f t="shared" ref="D540:R540" si="172">SUM(D541:D544)</f>
        <v>1109.7006533632</v>
      </c>
      <c r="E540" s="28">
        <f t="shared" si="172"/>
        <v>43.211692220000003</v>
      </c>
      <c r="F540" s="28">
        <f t="shared" si="172"/>
        <v>1066.4889611432</v>
      </c>
      <c r="G540" s="28">
        <f t="shared" si="172"/>
        <v>118.98945764719997</v>
      </c>
      <c r="H540" s="28">
        <f t="shared" si="172"/>
        <v>12.558194350000001</v>
      </c>
      <c r="I540" s="28">
        <f t="shared" si="172"/>
        <v>15.27452386</v>
      </c>
      <c r="J540" s="28">
        <f t="shared" si="172"/>
        <v>11.991262450000001</v>
      </c>
      <c r="K540" s="28">
        <f t="shared" si="172"/>
        <v>26.988084389999997</v>
      </c>
      <c r="L540" s="28">
        <f t="shared" si="172"/>
        <v>0.24539431000000003</v>
      </c>
      <c r="M540" s="28">
        <f t="shared" si="172"/>
        <v>33.397975330000001</v>
      </c>
      <c r="N540" s="28">
        <f t="shared" si="172"/>
        <v>0.32153759000000004</v>
      </c>
      <c r="O540" s="28">
        <f t="shared" si="172"/>
        <v>43.328874067200005</v>
      </c>
      <c r="P540" s="28">
        <f t="shared" si="172"/>
        <v>0</v>
      </c>
      <c r="Q540" s="28">
        <f t="shared" si="172"/>
        <v>1053.9307667931998</v>
      </c>
      <c r="R540" s="28">
        <f t="shared" si="172"/>
        <v>-63.10238923</v>
      </c>
      <c r="S540" s="27">
        <f t="shared" si="170"/>
        <v>-0.83401933006871998</v>
      </c>
      <c r="T540" s="26" t="s">
        <v>0</v>
      </c>
      <c r="U540" s="9"/>
      <c r="V540" s="12"/>
      <c r="X540" s="10"/>
    </row>
    <row r="541" spans="1:24" s="3" customFormat="1" ht="47.25" x14ac:dyDescent="0.25">
      <c r="A541" s="43" t="s">
        <v>191</v>
      </c>
      <c r="B541" s="50" t="s">
        <v>200</v>
      </c>
      <c r="C541" s="49" t="s">
        <v>199</v>
      </c>
      <c r="D541" s="16">
        <v>115.1016</v>
      </c>
      <c r="E541" s="16">
        <v>0</v>
      </c>
      <c r="F541" s="16">
        <f>D541-E541</f>
        <v>115.1016</v>
      </c>
      <c r="G541" s="17">
        <v>6</v>
      </c>
      <c r="H541" s="16">
        <f>J541+L541+N541+P541</f>
        <v>0</v>
      </c>
      <c r="I541" s="16">
        <v>0</v>
      </c>
      <c r="J541" s="16">
        <v>0</v>
      </c>
      <c r="K541" s="16">
        <v>0</v>
      </c>
      <c r="L541" s="16">
        <v>0</v>
      </c>
      <c r="M541" s="16">
        <v>2</v>
      </c>
      <c r="N541" s="16">
        <v>0</v>
      </c>
      <c r="O541" s="16">
        <v>4</v>
      </c>
      <c r="P541" s="16">
        <v>0</v>
      </c>
      <c r="Q541" s="16">
        <f>F541-H541</f>
        <v>115.1016</v>
      </c>
      <c r="R541" s="16">
        <f>H541-(I541+K541+M541)</f>
        <v>-2</v>
      </c>
      <c r="S541" s="14">
        <f t="shared" si="170"/>
        <v>-1</v>
      </c>
      <c r="T541" s="22" t="s">
        <v>198</v>
      </c>
      <c r="U541" s="9"/>
      <c r="V541" s="12"/>
      <c r="X541" s="10"/>
    </row>
    <row r="542" spans="1:24" s="3" customFormat="1" ht="31.5" x14ac:dyDescent="0.25">
      <c r="A542" s="43" t="s">
        <v>191</v>
      </c>
      <c r="B542" s="48" t="s">
        <v>197</v>
      </c>
      <c r="C542" s="47" t="s">
        <v>196</v>
      </c>
      <c r="D542" s="16">
        <v>33.184579999999997</v>
      </c>
      <c r="E542" s="18">
        <v>22.529598110000002</v>
      </c>
      <c r="F542" s="16">
        <f>D542-E542</f>
        <v>10.654981889999995</v>
      </c>
      <c r="G542" s="17">
        <v>2.5987999999999993</v>
      </c>
      <c r="H542" s="16">
        <f>J542+L542+N542+P542</f>
        <v>11.218247030000001</v>
      </c>
      <c r="I542" s="16">
        <v>2.5988000000000002</v>
      </c>
      <c r="J542" s="16">
        <v>11.218247030000001</v>
      </c>
      <c r="K542" s="16">
        <v>0</v>
      </c>
      <c r="L542" s="16">
        <v>0</v>
      </c>
      <c r="M542" s="16">
        <v>0</v>
      </c>
      <c r="N542" s="16">
        <v>0</v>
      </c>
      <c r="O542" s="16">
        <v>0</v>
      </c>
      <c r="P542" s="16">
        <v>0</v>
      </c>
      <c r="Q542" s="16">
        <f>F542-H542</f>
        <v>-0.56326514000000572</v>
      </c>
      <c r="R542" s="16">
        <f>H542-(I542+K542+M542)</f>
        <v>8.6194470299999999</v>
      </c>
      <c r="S542" s="14">
        <f t="shared" si="170"/>
        <v>3.3167027204863779</v>
      </c>
      <c r="T542" s="61" t="s">
        <v>195</v>
      </c>
      <c r="U542" s="9"/>
      <c r="V542" s="12"/>
      <c r="X542" s="10"/>
    </row>
    <row r="543" spans="1:24" s="3" customFormat="1" ht="28.5" customHeight="1" x14ac:dyDescent="0.25">
      <c r="A543" s="43" t="s">
        <v>191</v>
      </c>
      <c r="B543" s="48" t="s">
        <v>194</v>
      </c>
      <c r="C543" s="47" t="s">
        <v>193</v>
      </c>
      <c r="D543" s="16">
        <v>844.72881571599999</v>
      </c>
      <c r="E543" s="18">
        <v>0</v>
      </c>
      <c r="F543" s="16">
        <f>D543-E543</f>
        <v>844.72881571599999</v>
      </c>
      <c r="G543" s="17">
        <v>32.4</v>
      </c>
      <c r="H543" s="16">
        <f>J543+L543+N543+P543</f>
        <v>0</v>
      </c>
      <c r="I543" s="16">
        <v>0</v>
      </c>
      <c r="J543" s="16">
        <v>0</v>
      </c>
      <c r="K543" s="16">
        <v>6.1711999999999998</v>
      </c>
      <c r="L543" s="16">
        <v>0</v>
      </c>
      <c r="M543" s="16">
        <v>12.343200000000001</v>
      </c>
      <c r="N543" s="16">
        <v>0</v>
      </c>
      <c r="O543" s="16">
        <v>13.8856</v>
      </c>
      <c r="P543" s="16">
        <v>0</v>
      </c>
      <c r="Q543" s="16">
        <f>F543-H543</f>
        <v>844.72881571599999</v>
      </c>
      <c r="R543" s="16">
        <f>H543-(I543+K543+M543)</f>
        <v>-18.514400000000002</v>
      </c>
      <c r="S543" s="14">
        <f t="shared" si="170"/>
        <v>-1</v>
      </c>
      <c r="T543" s="61" t="s">
        <v>192</v>
      </c>
      <c r="U543" s="9"/>
      <c r="V543" s="12"/>
      <c r="X543" s="10"/>
    </row>
    <row r="544" spans="1:24" s="3" customFormat="1" ht="63" x14ac:dyDescent="0.25">
      <c r="A544" s="43" t="s">
        <v>191</v>
      </c>
      <c r="B544" s="48" t="s">
        <v>190</v>
      </c>
      <c r="C544" s="47" t="s">
        <v>189</v>
      </c>
      <c r="D544" s="16">
        <v>116.68565764719997</v>
      </c>
      <c r="E544" s="18">
        <v>20.682094110000001</v>
      </c>
      <c r="F544" s="16">
        <f>D544-E544</f>
        <v>96.003563537199966</v>
      </c>
      <c r="G544" s="17">
        <v>77.990657647199981</v>
      </c>
      <c r="H544" s="16">
        <f>J544+L544+N544+P544</f>
        <v>1.3399473200000003</v>
      </c>
      <c r="I544" s="16">
        <v>12.67572386</v>
      </c>
      <c r="J544" s="16">
        <v>0.77301542000000001</v>
      </c>
      <c r="K544" s="16">
        <v>20.816884389999998</v>
      </c>
      <c r="L544" s="16">
        <v>0.24539431000000003</v>
      </c>
      <c r="M544" s="16">
        <v>19.054775330000002</v>
      </c>
      <c r="N544" s="16">
        <f>321.53759/1000</f>
        <v>0.32153759000000004</v>
      </c>
      <c r="O544" s="16">
        <v>25.443274067200001</v>
      </c>
      <c r="P544" s="16">
        <v>0</v>
      </c>
      <c r="Q544" s="16">
        <f>F544-H544</f>
        <v>94.663616217199973</v>
      </c>
      <c r="R544" s="16">
        <f>H544-(I544+K544+M544)</f>
        <v>-51.207436260000001</v>
      </c>
      <c r="S544" s="14">
        <f t="shared" si="170"/>
        <v>-0.97450020859820707</v>
      </c>
      <c r="T544" s="61" t="s">
        <v>188</v>
      </c>
      <c r="U544" s="9"/>
      <c r="V544" s="12"/>
      <c r="X544" s="10"/>
    </row>
    <row r="545" spans="1:24" s="3" customFormat="1" ht="31.5" x14ac:dyDescent="0.25">
      <c r="A545" s="35" t="s">
        <v>187</v>
      </c>
      <c r="B545" s="37" t="s">
        <v>53</v>
      </c>
      <c r="C545" s="33" t="s">
        <v>11</v>
      </c>
      <c r="D545" s="28">
        <f t="shared" ref="D545:R545" si="173">D546+D549+D550+D551</f>
        <v>560.12358103019994</v>
      </c>
      <c r="E545" s="28">
        <f t="shared" si="173"/>
        <v>92.883737909999994</v>
      </c>
      <c r="F545" s="28">
        <f t="shared" si="173"/>
        <v>467.23984312019996</v>
      </c>
      <c r="G545" s="28">
        <f t="shared" si="173"/>
        <v>170.85532260399998</v>
      </c>
      <c r="H545" s="28">
        <f t="shared" si="173"/>
        <v>48.070308920000002</v>
      </c>
      <c r="I545" s="28">
        <f t="shared" si="173"/>
        <v>1.28693239</v>
      </c>
      <c r="J545" s="28">
        <f t="shared" si="173"/>
        <v>10.837934130000002</v>
      </c>
      <c r="K545" s="28">
        <f t="shared" si="173"/>
        <v>28.930266321999998</v>
      </c>
      <c r="L545" s="28">
        <f t="shared" si="173"/>
        <v>8.6491002599999991</v>
      </c>
      <c r="M545" s="28">
        <f t="shared" si="173"/>
        <v>66.791479596000002</v>
      </c>
      <c r="N545" s="28">
        <f t="shared" si="173"/>
        <v>28.583274530000001</v>
      </c>
      <c r="O545" s="28">
        <f t="shared" si="173"/>
        <v>73.846644296000008</v>
      </c>
      <c r="P545" s="28">
        <f t="shared" si="173"/>
        <v>0</v>
      </c>
      <c r="Q545" s="28">
        <f t="shared" si="173"/>
        <v>419.16953420019996</v>
      </c>
      <c r="R545" s="28">
        <f t="shared" si="173"/>
        <v>-48.938369388000005</v>
      </c>
      <c r="S545" s="27">
        <f t="shared" si="170"/>
        <v>-0.50447413820670739</v>
      </c>
      <c r="T545" s="26" t="s">
        <v>0</v>
      </c>
      <c r="U545" s="9"/>
      <c r="V545" s="12"/>
      <c r="X545" s="10"/>
    </row>
    <row r="546" spans="1:24" s="3" customFormat="1" ht="31.5" x14ac:dyDescent="0.25">
      <c r="A546" s="35" t="s">
        <v>183</v>
      </c>
      <c r="B546" s="37" t="s">
        <v>51</v>
      </c>
      <c r="C546" s="33" t="s">
        <v>11</v>
      </c>
      <c r="D546" s="28">
        <f t="shared" ref="D546:R546" si="174">SUM(D547:D548)</f>
        <v>103.75443477399999</v>
      </c>
      <c r="E546" s="28">
        <f t="shared" si="174"/>
        <v>2.7006158600000001</v>
      </c>
      <c r="F546" s="28">
        <f t="shared" si="174"/>
        <v>101.05381891399999</v>
      </c>
      <c r="G546" s="28">
        <f t="shared" si="174"/>
        <v>26.591294187999999</v>
      </c>
      <c r="H546" s="28">
        <f t="shared" si="174"/>
        <v>2.7159444499999998</v>
      </c>
      <c r="I546" s="28">
        <f t="shared" si="174"/>
        <v>0</v>
      </c>
      <c r="J546" s="28">
        <f t="shared" si="174"/>
        <v>0</v>
      </c>
      <c r="K546" s="28">
        <f t="shared" si="174"/>
        <v>16.892862791999999</v>
      </c>
      <c r="L546" s="28">
        <f t="shared" si="174"/>
        <v>2.3816799999999998</v>
      </c>
      <c r="M546" s="28">
        <f t="shared" si="174"/>
        <v>8.7384313959999993</v>
      </c>
      <c r="N546" s="28">
        <f t="shared" si="174"/>
        <v>0.33426444999999999</v>
      </c>
      <c r="O546" s="28">
        <f t="shared" si="174"/>
        <v>0.96</v>
      </c>
      <c r="P546" s="28">
        <f t="shared" si="174"/>
        <v>0</v>
      </c>
      <c r="Q546" s="28">
        <f t="shared" si="174"/>
        <v>98.337874463999995</v>
      </c>
      <c r="R546" s="28">
        <f t="shared" si="174"/>
        <v>-22.915349738000003</v>
      </c>
      <c r="S546" s="27">
        <f t="shared" si="170"/>
        <v>-0.89403795102661887</v>
      </c>
      <c r="T546" s="26" t="s">
        <v>0</v>
      </c>
      <c r="U546" s="9"/>
      <c r="V546" s="12"/>
      <c r="X546" s="10"/>
    </row>
    <row r="547" spans="1:24" s="3" customFormat="1" ht="47.25" x14ac:dyDescent="0.25">
      <c r="A547" s="43" t="s">
        <v>183</v>
      </c>
      <c r="B547" s="50" t="s">
        <v>186</v>
      </c>
      <c r="C547" s="49" t="s">
        <v>185</v>
      </c>
      <c r="D547" s="16">
        <v>27.253799999999998</v>
      </c>
      <c r="E547" s="16">
        <v>0</v>
      </c>
      <c r="F547" s="16">
        <f>D547-E547</f>
        <v>27.253799999999998</v>
      </c>
      <c r="G547" s="17">
        <v>2.4</v>
      </c>
      <c r="H547" s="16">
        <f>J547+L547+N547+P547</f>
        <v>0</v>
      </c>
      <c r="I547" s="16">
        <v>0</v>
      </c>
      <c r="J547" s="16">
        <v>0</v>
      </c>
      <c r="K547" s="16">
        <v>0.48</v>
      </c>
      <c r="L547" s="16">
        <v>0</v>
      </c>
      <c r="M547" s="16">
        <v>0.96</v>
      </c>
      <c r="N547" s="16">
        <v>0</v>
      </c>
      <c r="O547" s="16">
        <v>0.96</v>
      </c>
      <c r="P547" s="16">
        <v>0</v>
      </c>
      <c r="Q547" s="16">
        <f>F547-H547</f>
        <v>27.253799999999998</v>
      </c>
      <c r="R547" s="16">
        <f>H547-(I547+K547+M547)</f>
        <v>-1.44</v>
      </c>
      <c r="S547" s="14">
        <f t="shared" si="170"/>
        <v>-1</v>
      </c>
      <c r="T547" s="22" t="s">
        <v>184</v>
      </c>
      <c r="U547" s="9"/>
      <c r="V547" s="12"/>
      <c r="X547" s="10"/>
    </row>
    <row r="548" spans="1:24" s="3" customFormat="1" ht="47.25" x14ac:dyDescent="0.25">
      <c r="A548" s="43" t="s">
        <v>183</v>
      </c>
      <c r="B548" s="50" t="s">
        <v>182</v>
      </c>
      <c r="C548" s="49" t="s">
        <v>181</v>
      </c>
      <c r="D548" s="16">
        <v>76.500634773999991</v>
      </c>
      <c r="E548" s="16">
        <v>2.7006158600000001</v>
      </c>
      <c r="F548" s="16">
        <f>D548-E548</f>
        <v>73.800018913999992</v>
      </c>
      <c r="G548" s="17">
        <v>24.191294188000001</v>
      </c>
      <c r="H548" s="16">
        <f>J548+L548+N548+P548</f>
        <v>2.7159444499999998</v>
      </c>
      <c r="I548" s="16">
        <v>0</v>
      </c>
      <c r="J548" s="16">
        <v>0</v>
      </c>
      <c r="K548" s="16">
        <v>16.412862791999999</v>
      </c>
      <c r="L548" s="16">
        <v>2.3816799999999998</v>
      </c>
      <c r="M548" s="16">
        <v>7.7784313960000002</v>
      </c>
      <c r="N548" s="16">
        <f>334.26445/1000</f>
        <v>0.33426444999999999</v>
      </c>
      <c r="O548" s="16">
        <v>0</v>
      </c>
      <c r="P548" s="16">
        <v>0</v>
      </c>
      <c r="Q548" s="16">
        <f>F548-H548</f>
        <v>71.084074463999997</v>
      </c>
      <c r="R548" s="16">
        <f>H548-(I548+K548+M548)</f>
        <v>-21.475349738000002</v>
      </c>
      <c r="S548" s="14">
        <f t="shared" si="170"/>
        <v>-0.8877305021842431</v>
      </c>
      <c r="T548" s="22" t="s">
        <v>156</v>
      </c>
      <c r="U548" s="9"/>
      <c r="V548" s="12"/>
      <c r="X548" s="10"/>
    </row>
    <row r="549" spans="1:24" s="3" customFormat="1" ht="31.5" x14ac:dyDescent="0.25">
      <c r="A549" s="35" t="s">
        <v>180</v>
      </c>
      <c r="B549" s="37" t="s">
        <v>49</v>
      </c>
      <c r="C549" s="33" t="s">
        <v>11</v>
      </c>
      <c r="D549" s="28">
        <v>0</v>
      </c>
      <c r="E549" s="28">
        <v>0</v>
      </c>
      <c r="F549" s="28">
        <v>0</v>
      </c>
      <c r="G549" s="28">
        <v>0</v>
      </c>
      <c r="H549" s="28">
        <v>0</v>
      </c>
      <c r="I549" s="28">
        <v>0</v>
      </c>
      <c r="J549" s="28">
        <v>0</v>
      </c>
      <c r="K549" s="28">
        <v>0</v>
      </c>
      <c r="L549" s="28">
        <v>0</v>
      </c>
      <c r="M549" s="28">
        <v>0</v>
      </c>
      <c r="N549" s="28">
        <v>0</v>
      </c>
      <c r="O549" s="28">
        <v>0</v>
      </c>
      <c r="P549" s="28">
        <v>0</v>
      </c>
      <c r="Q549" s="28">
        <v>0</v>
      </c>
      <c r="R549" s="28">
        <v>0</v>
      </c>
      <c r="S549" s="27">
        <v>0</v>
      </c>
      <c r="T549" s="26" t="s">
        <v>0</v>
      </c>
      <c r="U549" s="9"/>
      <c r="V549" s="12"/>
      <c r="X549" s="10"/>
    </row>
    <row r="550" spans="1:24" s="3" customFormat="1" ht="31.5" x14ac:dyDescent="0.25">
      <c r="A550" s="35" t="s">
        <v>179</v>
      </c>
      <c r="B550" s="37" t="s">
        <v>47</v>
      </c>
      <c r="C550" s="33" t="s">
        <v>11</v>
      </c>
      <c r="D550" s="28">
        <v>0</v>
      </c>
      <c r="E550" s="28">
        <v>0</v>
      </c>
      <c r="F550" s="28">
        <v>0</v>
      </c>
      <c r="G550" s="28">
        <v>0</v>
      </c>
      <c r="H550" s="28">
        <v>0</v>
      </c>
      <c r="I550" s="28">
        <v>0</v>
      </c>
      <c r="J550" s="28">
        <v>0</v>
      </c>
      <c r="K550" s="28">
        <v>0</v>
      </c>
      <c r="L550" s="28">
        <v>0</v>
      </c>
      <c r="M550" s="28">
        <v>0</v>
      </c>
      <c r="N550" s="28">
        <v>0</v>
      </c>
      <c r="O550" s="28">
        <v>0</v>
      </c>
      <c r="P550" s="28">
        <v>0</v>
      </c>
      <c r="Q550" s="28">
        <v>0</v>
      </c>
      <c r="R550" s="28">
        <v>0</v>
      </c>
      <c r="S550" s="27">
        <v>0</v>
      </c>
      <c r="T550" s="26" t="s">
        <v>0</v>
      </c>
      <c r="U550" s="9"/>
      <c r="V550" s="12"/>
      <c r="X550" s="10"/>
    </row>
    <row r="551" spans="1:24" s="3" customFormat="1" ht="31.5" x14ac:dyDescent="0.25">
      <c r="A551" s="35" t="s">
        <v>149</v>
      </c>
      <c r="B551" s="37" t="s">
        <v>46</v>
      </c>
      <c r="C551" s="33" t="s">
        <v>11</v>
      </c>
      <c r="D551" s="28">
        <f t="shared" ref="D551:R551" si="175">SUM(D552:D564)</f>
        <v>456.3691462562</v>
      </c>
      <c r="E551" s="28">
        <f t="shared" si="175"/>
        <v>90.183122049999994</v>
      </c>
      <c r="F551" s="28">
        <f t="shared" si="175"/>
        <v>366.18602420619999</v>
      </c>
      <c r="G551" s="28">
        <f t="shared" si="175"/>
        <v>144.26402841599997</v>
      </c>
      <c r="H551" s="28">
        <f t="shared" si="175"/>
        <v>45.35436447</v>
      </c>
      <c r="I551" s="28">
        <f t="shared" si="175"/>
        <v>1.28693239</v>
      </c>
      <c r="J551" s="28">
        <f t="shared" si="175"/>
        <v>10.837934130000002</v>
      </c>
      <c r="K551" s="28">
        <f t="shared" si="175"/>
        <v>12.037403529999999</v>
      </c>
      <c r="L551" s="28">
        <f t="shared" si="175"/>
        <v>6.2674202599999997</v>
      </c>
      <c r="M551" s="28">
        <f t="shared" si="175"/>
        <v>58.053048199999999</v>
      </c>
      <c r="N551" s="28">
        <f t="shared" si="175"/>
        <v>28.249010080000001</v>
      </c>
      <c r="O551" s="28">
        <f t="shared" si="175"/>
        <v>72.886644296000014</v>
      </c>
      <c r="P551" s="28">
        <f t="shared" si="175"/>
        <v>0</v>
      </c>
      <c r="Q551" s="28">
        <f t="shared" si="175"/>
        <v>320.83165973619998</v>
      </c>
      <c r="R551" s="28">
        <f t="shared" si="175"/>
        <v>-26.023019650000002</v>
      </c>
      <c r="S551" s="27">
        <f t="shared" ref="S551:S559" si="176">R551/(I551+K551+M551)</f>
        <v>-0.36458354380499536</v>
      </c>
      <c r="T551" s="26" t="s">
        <v>0</v>
      </c>
      <c r="U551" s="9"/>
      <c r="V551" s="12"/>
      <c r="X551" s="10"/>
    </row>
    <row r="552" spans="1:24" s="3" customFormat="1" ht="31.5" x14ac:dyDescent="0.25">
      <c r="A552" s="43" t="s">
        <v>149</v>
      </c>
      <c r="B552" s="48" t="s">
        <v>178</v>
      </c>
      <c r="C552" s="47" t="s">
        <v>177</v>
      </c>
      <c r="D552" s="16">
        <v>64.950399030200003</v>
      </c>
      <c r="E552" s="18">
        <v>18.60195397</v>
      </c>
      <c r="F552" s="16">
        <f t="shared" ref="F552:F559" si="177">D552-E552</f>
        <v>46.348445060200007</v>
      </c>
      <c r="G552" s="17">
        <v>18.228416869999997</v>
      </c>
      <c r="H552" s="16">
        <f t="shared" ref="H552:H564" si="178">J552+L552+N552+P552</f>
        <v>11.715203629999998</v>
      </c>
      <c r="I552" s="16">
        <v>0</v>
      </c>
      <c r="J552" s="16">
        <v>0.23477741999999999</v>
      </c>
      <c r="K552" s="16">
        <v>2.3935999999999997</v>
      </c>
      <c r="L552" s="16">
        <v>1.5867771999999998</v>
      </c>
      <c r="M552" s="16">
        <v>6.9568168699999999</v>
      </c>
      <c r="N552" s="16">
        <f>9893.64901/1000</f>
        <v>9.893649009999999</v>
      </c>
      <c r="O552" s="16">
        <v>8.8780000000000001</v>
      </c>
      <c r="P552" s="16">
        <v>0</v>
      </c>
      <c r="Q552" s="16">
        <f t="shared" ref="Q552:Q559" si="179">F552-H552</f>
        <v>34.633241430200009</v>
      </c>
      <c r="R552" s="16">
        <f t="shared" ref="R552:R559" si="180">H552-(I552+K552+M552)</f>
        <v>2.3647867599999977</v>
      </c>
      <c r="S552" s="14">
        <f t="shared" si="176"/>
        <v>0.25290709418391927</v>
      </c>
      <c r="T552" s="31" t="s">
        <v>174</v>
      </c>
      <c r="U552" s="9"/>
      <c r="V552" s="12"/>
      <c r="X552" s="10"/>
    </row>
    <row r="553" spans="1:24" s="3" customFormat="1" ht="31.5" x14ac:dyDescent="0.25">
      <c r="A553" s="43" t="s">
        <v>149</v>
      </c>
      <c r="B553" s="48" t="s">
        <v>176</v>
      </c>
      <c r="C553" s="47" t="s">
        <v>175</v>
      </c>
      <c r="D553" s="16">
        <v>157.24565999999999</v>
      </c>
      <c r="E553" s="18">
        <v>28.437636769999997</v>
      </c>
      <c r="F553" s="16">
        <f t="shared" si="177"/>
        <v>128.80802323</v>
      </c>
      <c r="G553" s="17">
        <v>10.573460369999998</v>
      </c>
      <c r="H553" s="16">
        <f t="shared" si="178"/>
        <v>6.6225077500000005</v>
      </c>
      <c r="I553" s="16">
        <v>0.42366037000000001</v>
      </c>
      <c r="J553" s="16">
        <v>1.8972853599999999</v>
      </c>
      <c r="K553" s="16">
        <v>1.4623586</v>
      </c>
      <c r="L553" s="16">
        <v>5.000000000000001E-2</v>
      </c>
      <c r="M553" s="16">
        <v>2.8331200000000001</v>
      </c>
      <c r="N553" s="16">
        <f>4675.22239/1000</f>
        <v>4.6752223900000001</v>
      </c>
      <c r="O553" s="16">
        <v>5.8543213999999999</v>
      </c>
      <c r="P553" s="16">
        <v>0</v>
      </c>
      <c r="Q553" s="16">
        <f t="shared" si="179"/>
        <v>122.18551548000001</v>
      </c>
      <c r="R553" s="16">
        <f t="shared" si="180"/>
        <v>1.903368780000001</v>
      </c>
      <c r="S553" s="14">
        <f t="shared" si="176"/>
        <v>0.4033296735060975</v>
      </c>
      <c r="T553" s="31" t="s">
        <v>174</v>
      </c>
      <c r="U553" s="9"/>
      <c r="V553" s="12"/>
      <c r="X553" s="10"/>
    </row>
    <row r="554" spans="1:24" s="3" customFormat="1" ht="31.5" x14ac:dyDescent="0.25">
      <c r="A554" s="43" t="s">
        <v>149</v>
      </c>
      <c r="B554" s="46" t="s">
        <v>173</v>
      </c>
      <c r="C554" s="41" t="s">
        <v>172</v>
      </c>
      <c r="D554" s="16">
        <v>75.159344069999989</v>
      </c>
      <c r="E554" s="18">
        <v>29.317465630000001</v>
      </c>
      <c r="F554" s="16">
        <f t="shared" si="177"/>
        <v>45.841878439999988</v>
      </c>
      <c r="G554" s="17">
        <v>0.86327201999999781</v>
      </c>
      <c r="H554" s="16">
        <f t="shared" si="178"/>
        <v>0.86339361000000003</v>
      </c>
      <c r="I554" s="16">
        <v>0.86327202000000003</v>
      </c>
      <c r="J554" s="16">
        <v>0.86339361000000003</v>
      </c>
      <c r="K554" s="16">
        <v>0</v>
      </c>
      <c r="L554" s="16">
        <v>0</v>
      </c>
      <c r="M554" s="16">
        <v>0</v>
      </c>
      <c r="N554" s="16">
        <v>0</v>
      </c>
      <c r="O554" s="16">
        <v>0</v>
      </c>
      <c r="P554" s="16">
        <v>0</v>
      </c>
      <c r="Q554" s="16">
        <f t="shared" si="179"/>
        <v>44.978484829999985</v>
      </c>
      <c r="R554" s="16">
        <f t="shared" si="180"/>
        <v>1.2159000000000475E-4</v>
      </c>
      <c r="S554" s="14">
        <f t="shared" si="176"/>
        <v>1.4084784075360713E-4</v>
      </c>
      <c r="T554" s="31" t="s">
        <v>0</v>
      </c>
      <c r="U554" s="9"/>
      <c r="V554" s="12"/>
      <c r="X554" s="10"/>
    </row>
    <row r="555" spans="1:24" s="3" customFormat="1" ht="47.25" x14ac:dyDescent="0.25">
      <c r="A555" s="43" t="s">
        <v>149</v>
      </c>
      <c r="B555" s="46" t="s">
        <v>171</v>
      </c>
      <c r="C555" s="41" t="s">
        <v>170</v>
      </c>
      <c r="D555" s="16">
        <v>39.459007999999997</v>
      </c>
      <c r="E555" s="18">
        <v>13.12419648</v>
      </c>
      <c r="F555" s="16">
        <f t="shared" si="177"/>
        <v>26.334811519999995</v>
      </c>
      <c r="G555" s="17">
        <v>21.280407999999998</v>
      </c>
      <c r="H555" s="16">
        <f t="shared" si="178"/>
        <v>7.2279347100000004</v>
      </c>
      <c r="I555" s="16">
        <v>0</v>
      </c>
      <c r="J555" s="16">
        <v>5.0349061400000004</v>
      </c>
      <c r="K555" s="16">
        <v>0</v>
      </c>
      <c r="L555" s="16">
        <v>0</v>
      </c>
      <c r="M555" s="16">
        <v>13.929830679999998</v>
      </c>
      <c r="N555" s="16">
        <f>2193.02857/1000</f>
        <v>2.1930285700000001</v>
      </c>
      <c r="O555" s="16">
        <v>7.3505773200000002</v>
      </c>
      <c r="P555" s="16">
        <v>0</v>
      </c>
      <c r="Q555" s="16">
        <f t="shared" si="179"/>
        <v>19.106876809999996</v>
      </c>
      <c r="R555" s="16">
        <f t="shared" si="180"/>
        <v>-6.701895969999998</v>
      </c>
      <c r="S555" s="14">
        <f t="shared" si="176"/>
        <v>-0.48111826510729699</v>
      </c>
      <c r="T555" s="22" t="s">
        <v>156</v>
      </c>
      <c r="U555" s="9"/>
      <c r="V555" s="12"/>
      <c r="X555" s="10"/>
    </row>
    <row r="556" spans="1:24" s="3" customFormat="1" ht="28.5" customHeight="1" x14ac:dyDescent="0.25">
      <c r="A556" s="43" t="s">
        <v>149</v>
      </c>
      <c r="B556" s="46" t="s">
        <v>169</v>
      </c>
      <c r="C556" s="41" t="s">
        <v>168</v>
      </c>
      <c r="D556" s="16">
        <v>11.717199999999998</v>
      </c>
      <c r="E556" s="18">
        <v>0</v>
      </c>
      <c r="F556" s="16">
        <f t="shared" si="177"/>
        <v>11.717199999999998</v>
      </c>
      <c r="G556" s="17">
        <v>0.96</v>
      </c>
      <c r="H556" s="16">
        <f t="shared" si="178"/>
        <v>0</v>
      </c>
      <c r="I556" s="16">
        <v>0</v>
      </c>
      <c r="J556" s="16">
        <v>0</v>
      </c>
      <c r="K556" s="16">
        <v>0</v>
      </c>
      <c r="L556" s="16">
        <v>0</v>
      </c>
      <c r="M556" s="16">
        <v>0.96</v>
      </c>
      <c r="N556" s="16">
        <v>0</v>
      </c>
      <c r="O556" s="16">
        <v>0</v>
      </c>
      <c r="P556" s="16">
        <v>0</v>
      </c>
      <c r="Q556" s="16">
        <f t="shared" si="179"/>
        <v>11.717199999999998</v>
      </c>
      <c r="R556" s="16">
        <f t="shared" si="180"/>
        <v>-0.96</v>
      </c>
      <c r="S556" s="14">
        <f t="shared" si="176"/>
        <v>-1</v>
      </c>
      <c r="T556" s="22" t="s">
        <v>156</v>
      </c>
      <c r="U556" s="9"/>
      <c r="V556" s="12"/>
      <c r="X556" s="10"/>
    </row>
    <row r="557" spans="1:24" s="3" customFormat="1" ht="47.25" x14ac:dyDescent="0.25">
      <c r="A557" s="43" t="s">
        <v>149</v>
      </c>
      <c r="B557" s="42" t="s">
        <v>167</v>
      </c>
      <c r="C557" s="41" t="s">
        <v>166</v>
      </c>
      <c r="D557" s="40">
        <v>9.3678836759999999</v>
      </c>
      <c r="E557" s="18">
        <v>0.2628144</v>
      </c>
      <c r="F557" s="16">
        <f t="shared" si="177"/>
        <v>9.105069276</v>
      </c>
      <c r="G557" s="17">
        <v>7.5133916760000004</v>
      </c>
      <c r="H557" s="16">
        <f t="shared" si="178"/>
        <v>1.0411855999999999</v>
      </c>
      <c r="I557" s="16">
        <v>0</v>
      </c>
      <c r="J557" s="16">
        <v>0.28918559999999999</v>
      </c>
      <c r="K557" s="16">
        <v>0</v>
      </c>
      <c r="L557" s="16">
        <v>0</v>
      </c>
      <c r="M557" s="16">
        <v>3.03728</v>
      </c>
      <c r="N557" s="16">
        <f>752/1000</f>
        <v>0.752</v>
      </c>
      <c r="O557" s="16">
        <v>4.4761116760000004</v>
      </c>
      <c r="P557" s="16">
        <v>0</v>
      </c>
      <c r="Q557" s="16">
        <f t="shared" si="179"/>
        <v>8.0638836759999997</v>
      </c>
      <c r="R557" s="16">
        <f t="shared" si="180"/>
        <v>-1.9960944</v>
      </c>
      <c r="S557" s="14">
        <f t="shared" si="176"/>
        <v>-0.65719801928040877</v>
      </c>
      <c r="T557" s="22" t="s">
        <v>156</v>
      </c>
      <c r="U557" s="9"/>
      <c r="V557" s="12"/>
      <c r="X557" s="10"/>
    </row>
    <row r="558" spans="1:24" s="3" customFormat="1" ht="47.25" x14ac:dyDescent="0.25">
      <c r="A558" s="43" t="s">
        <v>149</v>
      </c>
      <c r="B558" s="42" t="s">
        <v>165</v>
      </c>
      <c r="C558" s="41" t="s">
        <v>164</v>
      </c>
      <c r="D558" s="40">
        <v>3.2182210799999997</v>
      </c>
      <c r="E558" s="18">
        <v>0.1393548</v>
      </c>
      <c r="F558" s="16">
        <f t="shared" si="177"/>
        <v>3.0788662799999997</v>
      </c>
      <c r="G558" s="17">
        <v>2.5644490799999997</v>
      </c>
      <c r="H558" s="16">
        <f t="shared" si="178"/>
        <v>9.4645199999999999E-2</v>
      </c>
      <c r="I558" s="16">
        <v>0</v>
      </c>
      <c r="J558" s="16">
        <v>9.4645199999999999E-2</v>
      </c>
      <c r="K558" s="16">
        <v>0</v>
      </c>
      <c r="L558" s="16">
        <v>0</v>
      </c>
      <c r="M558" s="16">
        <v>1.0300799999999999</v>
      </c>
      <c r="N558" s="16">
        <v>0</v>
      </c>
      <c r="O558" s="16">
        <v>1.5343690799999998</v>
      </c>
      <c r="P558" s="16">
        <v>0</v>
      </c>
      <c r="Q558" s="16">
        <f t="shared" si="179"/>
        <v>2.9842210799999997</v>
      </c>
      <c r="R558" s="16">
        <f t="shared" si="180"/>
        <v>-0.9354347999999999</v>
      </c>
      <c r="S558" s="14">
        <f t="shared" si="176"/>
        <v>-0.90811859273066176</v>
      </c>
      <c r="T558" s="22" t="s">
        <v>163</v>
      </c>
      <c r="U558" s="9"/>
      <c r="V558" s="12"/>
      <c r="X558" s="10"/>
    </row>
    <row r="559" spans="1:24" s="3" customFormat="1" ht="47.25" x14ac:dyDescent="0.25">
      <c r="A559" s="43" t="s">
        <v>149</v>
      </c>
      <c r="B559" s="42" t="s">
        <v>162</v>
      </c>
      <c r="C559" s="41" t="s">
        <v>161</v>
      </c>
      <c r="D559" s="40">
        <v>15.761407999999999</v>
      </c>
      <c r="E559" s="18">
        <v>0</v>
      </c>
      <c r="F559" s="16">
        <f t="shared" si="177"/>
        <v>15.761407999999999</v>
      </c>
      <c r="G559" s="17">
        <v>15.761407999999999</v>
      </c>
      <c r="H559" s="16">
        <f t="shared" si="178"/>
        <v>10.023883720000001</v>
      </c>
      <c r="I559" s="16">
        <v>0</v>
      </c>
      <c r="J559" s="16">
        <v>1.5246408</v>
      </c>
      <c r="K559" s="16">
        <v>0</v>
      </c>
      <c r="L559" s="16">
        <v>3.0692797300000003</v>
      </c>
      <c r="M559" s="16">
        <v>6.5256000000000007</v>
      </c>
      <c r="N559" s="16">
        <f>5429.96319/1000</f>
        <v>5.4299631900000005</v>
      </c>
      <c r="O559" s="16">
        <v>9.2358080000000005</v>
      </c>
      <c r="P559" s="16">
        <v>0</v>
      </c>
      <c r="Q559" s="16">
        <f t="shared" si="179"/>
        <v>5.7375242799999988</v>
      </c>
      <c r="R559" s="16">
        <f t="shared" si="180"/>
        <v>3.4982837199999999</v>
      </c>
      <c r="S559" s="14">
        <f t="shared" si="176"/>
        <v>0.5360861407380163</v>
      </c>
      <c r="T559" s="67" t="s">
        <v>156</v>
      </c>
      <c r="U559" s="9"/>
      <c r="V559" s="12"/>
      <c r="X559" s="10"/>
    </row>
    <row r="560" spans="1:24" s="3" customFormat="1" ht="52.5" customHeight="1" x14ac:dyDescent="0.25">
      <c r="A560" s="43" t="s">
        <v>149</v>
      </c>
      <c r="B560" s="42" t="s">
        <v>160</v>
      </c>
      <c r="C560" s="41" t="s">
        <v>159</v>
      </c>
      <c r="D560" s="40" t="s">
        <v>0</v>
      </c>
      <c r="E560" s="18" t="s">
        <v>0</v>
      </c>
      <c r="F560" s="16" t="s">
        <v>0</v>
      </c>
      <c r="G560" s="17" t="s">
        <v>0</v>
      </c>
      <c r="H560" s="16">
        <f t="shared" si="178"/>
        <v>0</v>
      </c>
      <c r="I560" s="16" t="s">
        <v>0</v>
      </c>
      <c r="J560" s="16">
        <v>0</v>
      </c>
      <c r="K560" s="16" t="s">
        <v>0</v>
      </c>
      <c r="L560" s="16">
        <v>0</v>
      </c>
      <c r="M560" s="16" t="s">
        <v>0</v>
      </c>
      <c r="N560" s="16">
        <v>0</v>
      </c>
      <c r="O560" s="16" t="s">
        <v>0</v>
      </c>
      <c r="P560" s="16">
        <v>0</v>
      </c>
      <c r="Q560" s="16" t="s">
        <v>0</v>
      </c>
      <c r="R560" s="16" t="s">
        <v>0</v>
      </c>
      <c r="S560" s="16" t="s">
        <v>0</v>
      </c>
      <c r="T560" s="67" t="s">
        <v>0</v>
      </c>
      <c r="U560" s="9"/>
      <c r="V560" s="12"/>
      <c r="X560" s="10"/>
    </row>
    <row r="561" spans="1:24" s="3" customFormat="1" ht="47.25" x14ac:dyDescent="0.25">
      <c r="A561" s="43" t="s">
        <v>149</v>
      </c>
      <c r="B561" s="42" t="s">
        <v>158</v>
      </c>
      <c r="C561" s="41" t="s">
        <v>157</v>
      </c>
      <c r="D561" s="40">
        <v>11.970799999999999</v>
      </c>
      <c r="E561" s="18">
        <v>0</v>
      </c>
      <c r="F561" s="16">
        <f>D561-E561</f>
        <v>11.970799999999999</v>
      </c>
      <c r="G561" s="17">
        <v>2.4</v>
      </c>
      <c r="H561" s="16">
        <f t="shared" si="178"/>
        <v>0.30584876000000005</v>
      </c>
      <c r="I561" s="16">
        <v>0</v>
      </c>
      <c r="J561" s="16">
        <v>0</v>
      </c>
      <c r="K561" s="16">
        <v>0.32</v>
      </c>
      <c r="L561" s="16">
        <v>0</v>
      </c>
      <c r="M561" s="16">
        <v>1.1200000000000001</v>
      </c>
      <c r="N561" s="16">
        <f>305.84876/1000</f>
        <v>0.30584876000000005</v>
      </c>
      <c r="O561" s="16">
        <v>0.96</v>
      </c>
      <c r="P561" s="16">
        <v>0</v>
      </c>
      <c r="Q561" s="16">
        <f>F561-H561</f>
        <v>11.664951239999999</v>
      </c>
      <c r="R561" s="16">
        <f>H561-(I561+K561+M561)</f>
        <v>-1.13415124</v>
      </c>
      <c r="S561" s="14">
        <f>R561/(I561+K561+M561)</f>
        <v>-0.78760502777777774</v>
      </c>
      <c r="T561" s="67" t="s">
        <v>156</v>
      </c>
      <c r="U561" s="9"/>
      <c r="V561" s="12"/>
      <c r="X561" s="10"/>
    </row>
    <row r="562" spans="1:24" s="3" customFormat="1" ht="31.5" x14ac:dyDescent="0.25">
      <c r="A562" s="43" t="s">
        <v>149</v>
      </c>
      <c r="B562" s="42" t="s">
        <v>155</v>
      </c>
      <c r="C562" s="41" t="s">
        <v>154</v>
      </c>
      <c r="D562" s="40">
        <v>37.961822399999996</v>
      </c>
      <c r="E562" s="18">
        <v>0</v>
      </c>
      <c r="F562" s="16">
        <f>D562-E562</f>
        <v>37.961822399999996</v>
      </c>
      <c r="G562" s="17">
        <v>37.961822399999996</v>
      </c>
      <c r="H562" s="16">
        <f t="shared" si="178"/>
        <v>3.8122502799999998</v>
      </c>
      <c r="I562" s="16">
        <v>0</v>
      </c>
      <c r="J562" s="16">
        <v>0</v>
      </c>
      <c r="K562" s="16">
        <v>6.5186815999999999</v>
      </c>
      <c r="L562" s="16">
        <v>0.39219999999999999</v>
      </c>
      <c r="M562" s="16">
        <v>12.8759408</v>
      </c>
      <c r="N562" s="16">
        <f>3420.05028/1000</f>
        <v>3.4200502799999999</v>
      </c>
      <c r="O562" s="16">
        <v>18.5672</v>
      </c>
      <c r="P562" s="16">
        <v>0</v>
      </c>
      <c r="Q562" s="16">
        <f>F562-H562</f>
        <v>34.149572119999995</v>
      </c>
      <c r="R562" s="16">
        <f>H562-(I562+K562+M562)</f>
        <v>-15.582372119999999</v>
      </c>
      <c r="S562" s="14">
        <f>R562/(I562+K562+M562)</f>
        <v>-0.80343776736792771</v>
      </c>
      <c r="T562" s="67" t="s">
        <v>153</v>
      </c>
      <c r="U562" s="9"/>
      <c r="V562" s="12"/>
      <c r="X562" s="10"/>
    </row>
    <row r="563" spans="1:24" s="3" customFormat="1" ht="31.5" x14ac:dyDescent="0.25">
      <c r="A563" s="43" t="s">
        <v>149</v>
      </c>
      <c r="B563" s="46" t="s">
        <v>152</v>
      </c>
      <c r="C563" s="41" t="s">
        <v>151</v>
      </c>
      <c r="D563" s="16">
        <v>17.890799999999999</v>
      </c>
      <c r="E563" s="18">
        <v>0.29969999999999997</v>
      </c>
      <c r="F563" s="16">
        <f>D563-E563</f>
        <v>17.591099999999997</v>
      </c>
      <c r="G563" s="17">
        <v>15.4908</v>
      </c>
      <c r="H563" s="16">
        <f t="shared" si="178"/>
        <v>2.38076803</v>
      </c>
      <c r="I563" s="16">
        <v>0</v>
      </c>
      <c r="J563" s="16">
        <v>0.89910000000000001</v>
      </c>
      <c r="K563" s="16">
        <v>0</v>
      </c>
      <c r="L563" s="16">
        <v>0</v>
      </c>
      <c r="M563" s="16">
        <v>4.1311999999999998</v>
      </c>
      <c r="N563" s="16">
        <f>1481.66803/1000</f>
        <v>1.48166803</v>
      </c>
      <c r="O563" s="16">
        <v>11.3596</v>
      </c>
      <c r="P563" s="16">
        <v>0</v>
      </c>
      <c r="Q563" s="16">
        <f>F563-H563</f>
        <v>15.210331969999997</v>
      </c>
      <c r="R563" s="16">
        <f>H563-(I563+K563+M563)</f>
        <v>-1.7504319699999997</v>
      </c>
      <c r="S563" s="14">
        <f>R563/(I563+K563+M563)</f>
        <v>-0.42371029482958944</v>
      </c>
      <c r="T563" s="67" t="s">
        <v>150</v>
      </c>
      <c r="U563" s="9"/>
      <c r="V563" s="12"/>
      <c r="X563" s="10"/>
    </row>
    <row r="564" spans="1:24" s="3" customFormat="1" ht="31.5" x14ac:dyDescent="0.25">
      <c r="A564" s="43" t="s">
        <v>149</v>
      </c>
      <c r="B564" s="46" t="s">
        <v>148</v>
      </c>
      <c r="C564" s="41" t="s">
        <v>147</v>
      </c>
      <c r="D564" s="16">
        <v>11.666600000000001</v>
      </c>
      <c r="E564" s="18">
        <v>0</v>
      </c>
      <c r="F564" s="16">
        <f>D564-E564</f>
        <v>11.666600000000001</v>
      </c>
      <c r="G564" s="17">
        <v>10.666600000000001</v>
      </c>
      <c r="H564" s="16">
        <f t="shared" si="178"/>
        <v>1.2667431800000002</v>
      </c>
      <c r="I564" s="16">
        <v>0</v>
      </c>
      <c r="J564" s="16">
        <v>0</v>
      </c>
      <c r="K564" s="16">
        <v>1.3427633299999999</v>
      </c>
      <c r="L564" s="16">
        <v>1.1691633300000002</v>
      </c>
      <c r="M564" s="16">
        <v>4.6531798500000008</v>
      </c>
      <c r="N564" s="16">
        <f>97.57985/1000</f>
        <v>9.7579849999999996E-2</v>
      </c>
      <c r="O564" s="16">
        <v>4.6706568200000005</v>
      </c>
      <c r="P564" s="16">
        <v>0</v>
      </c>
      <c r="Q564" s="16">
        <f>F564-H564</f>
        <v>10.39985682</v>
      </c>
      <c r="R564" s="16">
        <f>H564-(I564+K564+M564)</f>
        <v>-4.7292000000000005</v>
      </c>
      <c r="S564" s="14">
        <f>R564/(I564+K564+M564)</f>
        <v>-0.78873329149860283</v>
      </c>
      <c r="T564" s="13" t="s">
        <v>146</v>
      </c>
      <c r="U564" s="9"/>
      <c r="V564" s="12"/>
      <c r="X564" s="10"/>
    </row>
    <row r="565" spans="1:24" s="3" customFormat="1" ht="47.25" x14ac:dyDescent="0.25">
      <c r="A565" s="35" t="s">
        <v>145</v>
      </c>
      <c r="B565" s="37" t="s">
        <v>34</v>
      </c>
      <c r="C565" s="33" t="s">
        <v>11</v>
      </c>
      <c r="D565" s="28">
        <f t="shared" ref="D565:R565" si="181">D566</f>
        <v>0</v>
      </c>
      <c r="E565" s="28">
        <f t="shared" si="181"/>
        <v>0</v>
      </c>
      <c r="F565" s="28">
        <f t="shared" si="181"/>
        <v>0</v>
      </c>
      <c r="G565" s="28">
        <f t="shared" si="181"/>
        <v>0</v>
      </c>
      <c r="H565" s="28">
        <f t="shared" si="181"/>
        <v>0</v>
      </c>
      <c r="I565" s="28">
        <f t="shared" si="181"/>
        <v>0</v>
      </c>
      <c r="J565" s="28">
        <f t="shared" si="181"/>
        <v>0</v>
      </c>
      <c r="K565" s="28">
        <f t="shared" si="181"/>
        <v>0</v>
      </c>
      <c r="L565" s="28">
        <f t="shared" si="181"/>
        <v>0</v>
      </c>
      <c r="M565" s="28">
        <f t="shared" si="181"/>
        <v>0</v>
      </c>
      <c r="N565" s="28">
        <f t="shared" si="181"/>
        <v>0</v>
      </c>
      <c r="O565" s="28">
        <f t="shared" si="181"/>
        <v>0</v>
      </c>
      <c r="P565" s="28">
        <f t="shared" si="181"/>
        <v>0</v>
      </c>
      <c r="Q565" s="28">
        <f t="shared" si="181"/>
        <v>0</v>
      </c>
      <c r="R565" s="28">
        <f t="shared" si="181"/>
        <v>0</v>
      </c>
      <c r="S565" s="27">
        <v>0</v>
      </c>
      <c r="T565" s="26" t="s">
        <v>0</v>
      </c>
      <c r="U565" s="9"/>
      <c r="V565" s="12"/>
      <c r="X565" s="10"/>
    </row>
    <row r="566" spans="1:24" s="3" customFormat="1" x14ac:dyDescent="0.25">
      <c r="A566" s="35" t="s">
        <v>144</v>
      </c>
      <c r="B566" s="37" t="s">
        <v>29</v>
      </c>
      <c r="C566" s="33" t="s">
        <v>11</v>
      </c>
      <c r="D566" s="28">
        <v>0</v>
      </c>
      <c r="E566" s="28">
        <f t="shared" ref="E566:R566" si="182">E567+E568</f>
        <v>0</v>
      </c>
      <c r="F566" s="28">
        <f t="shared" si="182"/>
        <v>0</v>
      </c>
      <c r="G566" s="28">
        <f t="shared" si="182"/>
        <v>0</v>
      </c>
      <c r="H566" s="76">
        <f t="shared" si="182"/>
        <v>0</v>
      </c>
      <c r="I566" s="28">
        <f t="shared" si="182"/>
        <v>0</v>
      </c>
      <c r="J566" s="28">
        <f t="shared" si="182"/>
        <v>0</v>
      </c>
      <c r="K566" s="28">
        <f t="shared" si="182"/>
        <v>0</v>
      </c>
      <c r="L566" s="28">
        <f t="shared" si="182"/>
        <v>0</v>
      </c>
      <c r="M566" s="28">
        <f t="shared" si="182"/>
        <v>0</v>
      </c>
      <c r="N566" s="28">
        <f t="shared" si="182"/>
        <v>0</v>
      </c>
      <c r="O566" s="28">
        <f t="shared" si="182"/>
        <v>0</v>
      </c>
      <c r="P566" s="28">
        <f t="shared" si="182"/>
        <v>0</v>
      </c>
      <c r="Q566" s="28">
        <f t="shared" si="182"/>
        <v>0</v>
      </c>
      <c r="R566" s="28">
        <f t="shared" si="182"/>
        <v>0</v>
      </c>
      <c r="S566" s="27">
        <v>0</v>
      </c>
      <c r="T566" s="26" t="s">
        <v>0</v>
      </c>
      <c r="U566" s="9"/>
      <c r="V566" s="12"/>
      <c r="X566" s="10"/>
    </row>
    <row r="567" spans="1:24" s="3" customFormat="1" ht="47.25" x14ac:dyDescent="0.25">
      <c r="A567" s="35" t="s">
        <v>143</v>
      </c>
      <c r="B567" s="37" t="s">
        <v>27</v>
      </c>
      <c r="C567" s="33" t="s">
        <v>11</v>
      </c>
      <c r="D567" s="28">
        <v>0</v>
      </c>
      <c r="E567" s="28">
        <v>0</v>
      </c>
      <c r="F567" s="28">
        <v>0</v>
      </c>
      <c r="G567" s="28">
        <v>0</v>
      </c>
      <c r="H567" s="76">
        <v>0</v>
      </c>
      <c r="I567" s="28">
        <v>0</v>
      </c>
      <c r="J567" s="28">
        <v>0</v>
      </c>
      <c r="K567" s="28">
        <v>0</v>
      </c>
      <c r="L567" s="28">
        <v>0</v>
      </c>
      <c r="M567" s="28">
        <v>0</v>
      </c>
      <c r="N567" s="28">
        <v>0</v>
      </c>
      <c r="O567" s="28">
        <v>0</v>
      </c>
      <c r="P567" s="28">
        <v>0</v>
      </c>
      <c r="Q567" s="28">
        <v>0</v>
      </c>
      <c r="R567" s="28">
        <v>0</v>
      </c>
      <c r="S567" s="27">
        <v>0</v>
      </c>
      <c r="T567" s="26" t="s">
        <v>0</v>
      </c>
      <c r="U567" s="9"/>
      <c r="V567" s="12"/>
      <c r="X567" s="10"/>
    </row>
    <row r="568" spans="1:24" s="3" customFormat="1" ht="47.25" x14ac:dyDescent="0.25">
      <c r="A568" s="35" t="s">
        <v>142</v>
      </c>
      <c r="B568" s="37" t="s">
        <v>25</v>
      </c>
      <c r="C568" s="33" t="s">
        <v>11</v>
      </c>
      <c r="D568" s="28">
        <v>0</v>
      </c>
      <c r="E568" s="28">
        <v>0</v>
      </c>
      <c r="F568" s="28">
        <v>0</v>
      </c>
      <c r="G568" s="28">
        <v>0</v>
      </c>
      <c r="H568" s="76">
        <v>0</v>
      </c>
      <c r="I568" s="28">
        <v>0</v>
      </c>
      <c r="J568" s="28">
        <v>0</v>
      </c>
      <c r="K568" s="28">
        <v>0</v>
      </c>
      <c r="L568" s="28">
        <v>0</v>
      </c>
      <c r="M568" s="28">
        <v>0</v>
      </c>
      <c r="N568" s="28">
        <v>0</v>
      </c>
      <c r="O568" s="28">
        <v>0</v>
      </c>
      <c r="P568" s="28">
        <v>0</v>
      </c>
      <c r="Q568" s="28">
        <v>0</v>
      </c>
      <c r="R568" s="28">
        <v>0</v>
      </c>
      <c r="S568" s="27">
        <v>0</v>
      </c>
      <c r="T568" s="26" t="s">
        <v>0</v>
      </c>
      <c r="U568" s="9"/>
      <c r="V568" s="12"/>
      <c r="X568" s="10"/>
    </row>
    <row r="569" spans="1:24" s="3" customFormat="1" x14ac:dyDescent="0.25">
      <c r="A569" s="35" t="s">
        <v>141</v>
      </c>
      <c r="B569" s="37" t="s">
        <v>29</v>
      </c>
      <c r="C569" s="33" t="s">
        <v>11</v>
      </c>
      <c r="D569" s="28">
        <v>0</v>
      </c>
      <c r="E569" s="28">
        <v>0</v>
      </c>
      <c r="F569" s="28">
        <v>0</v>
      </c>
      <c r="G569" s="28">
        <v>0</v>
      </c>
      <c r="H569" s="76">
        <v>0</v>
      </c>
      <c r="I569" s="28">
        <v>0</v>
      </c>
      <c r="J569" s="28">
        <v>0</v>
      </c>
      <c r="K569" s="28">
        <v>0</v>
      </c>
      <c r="L569" s="28">
        <v>0</v>
      </c>
      <c r="M569" s="28">
        <v>0</v>
      </c>
      <c r="N569" s="28">
        <v>0</v>
      </c>
      <c r="O569" s="28">
        <v>0</v>
      </c>
      <c r="P569" s="28">
        <v>0</v>
      </c>
      <c r="Q569" s="28">
        <v>0</v>
      </c>
      <c r="R569" s="28">
        <v>0</v>
      </c>
      <c r="S569" s="27">
        <v>0</v>
      </c>
      <c r="T569" s="26" t="s">
        <v>0</v>
      </c>
      <c r="U569" s="9"/>
      <c r="V569" s="12"/>
      <c r="X569" s="10"/>
    </row>
    <row r="570" spans="1:24" s="3" customFormat="1" ht="47.25" x14ac:dyDescent="0.25">
      <c r="A570" s="35" t="s">
        <v>140</v>
      </c>
      <c r="B570" s="37" t="s">
        <v>27</v>
      </c>
      <c r="C570" s="33" t="s">
        <v>11</v>
      </c>
      <c r="D570" s="28">
        <v>0</v>
      </c>
      <c r="E570" s="28">
        <v>0</v>
      </c>
      <c r="F570" s="28">
        <v>0</v>
      </c>
      <c r="G570" s="28">
        <v>0</v>
      </c>
      <c r="H570" s="76">
        <v>0</v>
      </c>
      <c r="I570" s="28">
        <v>0</v>
      </c>
      <c r="J570" s="28">
        <v>0</v>
      </c>
      <c r="K570" s="28">
        <v>0</v>
      </c>
      <c r="L570" s="28">
        <v>0</v>
      </c>
      <c r="M570" s="28">
        <v>0</v>
      </c>
      <c r="N570" s="28">
        <v>0</v>
      </c>
      <c r="O570" s="28">
        <v>0</v>
      </c>
      <c r="P570" s="28">
        <v>0</v>
      </c>
      <c r="Q570" s="28">
        <v>0</v>
      </c>
      <c r="R570" s="28">
        <v>0</v>
      </c>
      <c r="S570" s="27">
        <v>0</v>
      </c>
      <c r="T570" s="26" t="s">
        <v>0</v>
      </c>
      <c r="U570" s="9"/>
      <c r="V570" s="12"/>
      <c r="X570" s="10"/>
    </row>
    <row r="571" spans="1:24" s="3" customFormat="1" ht="47.25" x14ac:dyDescent="0.25">
      <c r="A571" s="35" t="s">
        <v>139</v>
      </c>
      <c r="B571" s="37" t="s">
        <v>25</v>
      </c>
      <c r="C571" s="33" t="s">
        <v>11</v>
      </c>
      <c r="D571" s="28">
        <v>0</v>
      </c>
      <c r="E571" s="28">
        <v>0</v>
      </c>
      <c r="F571" s="28">
        <v>0</v>
      </c>
      <c r="G571" s="28">
        <v>0</v>
      </c>
      <c r="H571" s="76">
        <v>0</v>
      </c>
      <c r="I571" s="28">
        <v>0</v>
      </c>
      <c r="J571" s="28">
        <v>0</v>
      </c>
      <c r="K571" s="28">
        <v>0</v>
      </c>
      <c r="L571" s="28">
        <v>0</v>
      </c>
      <c r="M571" s="28">
        <v>0</v>
      </c>
      <c r="N571" s="28">
        <v>0</v>
      </c>
      <c r="O571" s="28">
        <v>0</v>
      </c>
      <c r="P571" s="28">
        <v>0</v>
      </c>
      <c r="Q571" s="28">
        <v>0</v>
      </c>
      <c r="R571" s="28">
        <v>0</v>
      </c>
      <c r="S571" s="27">
        <v>0</v>
      </c>
      <c r="T571" s="26" t="s">
        <v>0</v>
      </c>
      <c r="U571" s="9"/>
      <c r="V571" s="12"/>
      <c r="X571" s="10"/>
    </row>
    <row r="572" spans="1:24" s="3" customFormat="1" x14ac:dyDescent="0.25">
      <c r="A572" s="35" t="s">
        <v>138</v>
      </c>
      <c r="B572" s="37" t="s">
        <v>23</v>
      </c>
      <c r="C572" s="33" t="s">
        <v>11</v>
      </c>
      <c r="D572" s="28">
        <f t="shared" ref="D572:R572" si="183">D573+D574+D575+D576</f>
        <v>2608.7736</v>
      </c>
      <c r="E572" s="28">
        <f t="shared" si="183"/>
        <v>0.45</v>
      </c>
      <c r="F572" s="28">
        <f t="shared" si="183"/>
        <v>2608.3236000000002</v>
      </c>
      <c r="G572" s="28">
        <f t="shared" si="183"/>
        <v>13.032</v>
      </c>
      <c r="H572" s="76">
        <f t="shared" si="183"/>
        <v>1.5993798100000001</v>
      </c>
      <c r="I572" s="28">
        <f t="shared" si="183"/>
        <v>0</v>
      </c>
      <c r="J572" s="28">
        <f t="shared" si="183"/>
        <v>1.5993798100000001</v>
      </c>
      <c r="K572" s="28">
        <f t="shared" si="183"/>
        <v>12.028433447999999</v>
      </c>
      <c r="L572" s="28">
        <f t="shared" si="183"/>
        <v>0</v>
      </c>
      <c r="M572" s="28">
        <f t="shared" si="183"/>
        <v>1.0035665520000001</v>
      </c>
      <c r="N572" s="28">
        <f t="shared" si="183"/>
        <v>0</v>
      </c>
      <c r="O572" s="28">
        <f t="shared" si="183"/>
        <v>0</v>
      </c>
      <c r="P572" s="28">
        <f t="shared" si="183"/>
        <v>0</v>
      </c>
      <c r="Q572" s="28">
        <f t="shared" si="183"/>
        <v>2606.7242201900003</v>
      </c>
      <c r="R572" s="28">
        <f t="shared" si="183"/>
        <v>-11.43262019</v>
      </c>
      <c r="S572" s="27">
        <f>R572/(I572+K572+M572)</f>
        <v>-0.877272881368938</v>
      </c>
      <c r="T572" s="26" t="s">
        <v>0</v>
      </c>
      <c r="U572" s="9"/>
      <c r="V572" s="12"/>
      <c r="X572" s="10"/>
    </row>
    <row r="573" spans="1:24" s="3" customFormat="1" ht="31.5" x14ac:dyDescent="0.25">
      <c r="A573" s="35" t="s">
        <v>137</v>
      </c>
      <c r="B573" s="29" t="s">
        <v>21</v>
      </c>
      <c r="C573" s="29" t="s">
        <v>11</v>
      </c>
      <c r="D573" s="28">
        <v>0</v>
      </c>
      <c r="E573" s="28">
        <v>0</v>
      </c>
      <c r="F573" s="28">
        <v>0</v>
      </c>
      <c r="G573" s="28">
        <v>0</v>
      </c>
      <c r="H573" s="28">
        <v>0</v>
      </c>
      <c r="I573" s="28">
        <v>0</v>
      </c>
      <c r="J573" s="28">
        <v>0</v>
      </c>
      <c r="K573" s="28">
        <v>0</v>
      </c>
      <c r="L573" s="28">
        <v>0</v>
      </c>
      <c r="M573" s="28">
        <v>0</v>
      </c>
      <c r="N573" s="28">
        <v>0</v>
      </c>
      <c r="O573" s="28">
        <v>0</v>
      </c>
      <c r="P573" s="28">
        <v>0</v>
      </c>
      <c r="Q573" s="28">
        <v>0</v>
      </c>
      <c r="R573" s="28">
        <v>0</v>
      </c>
      <c r="S573" s="27">
        <v>0</v>
      </c>
      <c r="T573" s="26" t="s">
        <v>0</v>
      </c>
      <c r="U573" s="9"/>
      <c r="V573" s="12"/>
      <c r="X573" s="10"/>
    </row>
    <row r="574" spans="1:24" s="3" customFormat="1" x14ac:dyDescent="0.25">
      <c r="A574" s="35" t="s">
        <v>136</v>
      </c>
      <c r="B574" s="29" t="s">
        <v>19</v>
      </c>
      <c r="C574" s="29" t="s">
        <v>11</v>
      </c>
      <c r="D574" s="36">
        <v>0</v>
      </c>
      <c r="E574" s="36">
        <v>0</v>
      </c>
      <c r="F574" s="36">
        <v>0</v>
      </c>
      <c r="G574" s="36">
        <v>0</v>
      </c>
      <c r="H574" s="36">
        <v>0</v>
      </c>
      <c r="I574" s="36">
        <v>0</v>
      </c>
      <c r="J574" s="36">
        <v>0</v>
      </c>
      <c r="K574" s="36">
        <v>0</v>
      </c>
      <c r="L574" s="36">
        <v>0</v>
      </c>
      <c r="M574" s="36">
        <v>0</v>
      </c>
      <c r="N574" s="36">
        <v>0</v>
      </c>
      <c r="O574" s="36">
        <v>0</v>
      </c>
      <c r="P574" s="36">
        <v>0</v>
      </c>
      <c r="Q574" s="36">
        <v>0</v>
      </c>
      <c r="R574" s="36">
        <v>0</v>
      </c>
      <c r="S574" s="27">
        <v>0</v>
      </c>
      <c r="T574" s="45" t="s">
        <v>0</v>
      </c>
      <c r="U574" s="9"/>
      <c r="V574" s="12"/>
      <c r="X574" s="10"/>
    </row>
    <row r="575" spans="1:24" s="3" customFormat="1" x14ac:dyDescent="0.25">
      <c r="A575" s="35" t="s">
        <v>135</v>
      </c>
      <c r="B575" s="44" t="s">
        <v>17</v>
      </c>
      <c r="C575" s="44" t="s">
        <v>11</v>
      </c>
      <c r="D575" s="36">
        <v>0</v>
      </c>
      <c r="E575" s="28">
        <v>0</v>
      </c>
      <c r="F575" s="28">
        <v>0</v>
      </c>
      <c r="G575" s="28">
        <v>0</v>
      </c>
      <c r="H575" s="28">
        <v>0</v>
      </c>
      <c r="I575" s="28">
        <v>0</v>
      </c>
      <c r="J575" s="28">
        <v>0</v>
      </c>
      <c r="K575" s="28">
        <v>0</v>
      </c>
      <c r="L575" s="28">
        <v>0</v>
      </c>
      <c r="M575" s="28">
        <v>0</v>
      </c>
      <c r="N575" s="28">
        <v>0</v>
      </c>
      <c r="O575" s="28">
        <v>0</v>
      </c>
      <c r="P575" s="28">
        <v>0</v>
      </c>
      <c r="Q575" s="28">
        <v>0</v>
      </c>
      <c r="R575" s="28">
        <v>0</v>
      </c>
      <c r="S575" s="27">
        <v>0</v>
      </c>
      <c r="T575" s="26" t="s">
        <v>0</v>
      </c>
      <c r="U575" s="9"/>
      <c r="V575" s="12"/>
      <c r="X575" s="10"/>
    </row>
    <row r="576" spans="1:24" s="3" customFormat="1" x14ac:dyDescent="0.25">
      <c r="A576" s="35" t="s">
        <v>134</v>
      </c>
      <c r="B576" s="37" t="s">
        <v>15</v>
      </c>
      <c r="C576" s="33" t="s">
        <v>11</v>
      </c>
      <c r="D576" s="28">
        <f t="shared" ref="D576:R576" si="184">SUM(D577:D577)</f>
        <v>2608.7736</v>
      </c>
      <c r="E576" s="28">
        <f t="shared" si="184"/>
        <v>0.45</v>
      </c>
      <c r="F576" s="28">
        <f t="shared" si="184"/>
        <v>2608.3236000000002</v>
      </c>
      <c r="G576" s="28">
        <f t="shared" si="184"/>
        <v>13.032</v>
      </c>
      <c r="H576" s="76">
        <f t="shared" si="184"/>
        <v>1.5993798100000001</v>
      </c>
      <c r="I576" s="28">
        <f t="shared" si="184"/>
        <v>0</v>
      </c>
      <c r="J576" s="28">
        <f t="shared" si="184"/>
        <v>1.5993798100000001</v>
      </c>
      <c r="K576" s="28">
        <f t="shared" si="184"/>
        <v>12.028433447999999</v>
      </c>
      <c r="L576" s="28">
        <f t="shared" si="184"/>
        <v>0</v>
      </c>
      <c r="M576" s="28">
        <f t="shared" si="184"/>
        <v>1.0035665520000001</v>
      </c>
      <c r="N576" s="28">
        <f t="shared" si="184"/>
        <v>0</v>
      </c>
      <c r="O576" s="28">
        <f t="shared" si="184"/>
        <v>0</v>
      </c>
      <c r="P576" s="28">
        <f t="shared" si="184"/>
        <v>0</v>
      </c>
      <c r="Q576" s="28">
        <f t="shared" si="184"/>
        <v>2606.7242201900003</v>
      </c>
      <c r="R576" s="28">
        <f t="shared" si="184"/>
        <v>-11.43262019</v>
      </c>
      <c r="S576" s="27">
        <f>R576/(I576+K576+M576)</f>
        <v>-0.877272881368938</v>
      </c>
      <c r="T576" s="26" t="s">
        <v>0</v>
      </c>
      <c r="U576" s="9"/>
      <c r="V576" s="12"/>
      <c r="X576" s="10"/>
    </row>
    <row r="577" spans="1:24" s="3" customFormat="1" ht="31.5" x14ac:dyDescent="0.25">
      <c r="A577" s="43" t="s">
        <v>134</v>
      </c>
      <c r="B577" s="42" t="s">
        <v>133</v>
      </c>
      <c r="C577" s="41" t="s">
        <v>132</v>
      </c>
      <c r="D577" s="40">
        <v>2608.7736</v>
      </c>
      <c r="E577" s="18">
        <v>0.45</v>
      </c>
      <c r="F577" s="16">
        <f>D577-E577</f>
        <v>2608.3236000000002</v>
      </c>
      <c r="G577" s="17">
        <v>13.032</v>
      </c>
      <c r="H577" s="16">
        <f>J577+L577+N577+P577</f>
        <v>1.5993798100000001</v>
      </c>
      <c r="I577" s="16">
        <v>0</v>
      </c>
      <c r="J577" s="16">
        <v>1.5993798100000001</v>
      </c>
      <c r="K577" s="16">
        <v>12.028433447999999</v>
      </c>
      <c r="L577" s="16">
        <v>0</v>
      </c>
      <c r="M577" s="16">
        <v>1.0035665520000001</v>
      </c>
      <c r="N577" s="16">
        <v>0</v>
      </c>
      <c r="O577" s="16">
        <v>0</v>
      </c>
      <c r="P577" s="16">
        <v>0</v>
      </c>
      <c r="Q577" s="16">
        <f>F577-H577</f>
        <v>2606.7242201900003</v>
      </c>
      <c r="R577" s="16">
        <f>H577-(I577+K577+M577)</f>
        <v>-11.43262019</v>
      </c>
      <c r="S577" s="14">
        <f>R577/(I577+K577+M577)</f>
        <v>-0.877272881368938</v>
      </c>
      <c r="T577" s="22" t="s">
        <v>131</v>
      </c>
      <c r="U577" s="9"/>
      <c r="V577" s="12"/>
      <c r="X577" s="10"/>
    </row>
    <row r="578" spans="1:24" s="3" customFormat="1" ht="31.5" x14ac:dyDescent="0.25">
      <c r="A578" s="35" t="s">
        <v>130</v>
      </c>
      <c r="B578" s="37" t="s">
        <v>13</v>
      </c>
      <c r="C578" s="33" t="s">
        <v>11</v>
      </c>
      <c r="D578" s="28">
        <v>0</v>
      </c>
      <c r="E578" s="28">
        <v>0</v>
      </c>
      <c r="F578" s="28">
        <v>0</v>
      </c>
      <c r="G578" s="28">
        <v>0</v>
      </c>
      <c r="H578" s="76">
        <v>0</v>
      </c>
      <c r="I578" s="28">
        <v>0</v>
      </c>
      <c r="J578" s="28">
        <v>0</v>
      </c>
      <c r="K578" s="28">
        <v>0</v>
      </c>
      <c r="L578" s="28">
        <v>0</v>
      </c>
      <c r="M578" s="28">
        <v>0</v>
      </c>
      <c r="N578" s="28">
        <v>0</v>
      </c>
      <c r="O578" s="28">
        <v>0</v>
      </c>
      <c r="P578" s="28">
        <v>0</v>
      </c>
      <c r="Q578" s="28">
        <v>0</v>
      </c>
      <c r="R578" s="28">
        <v>0</v>
      </c>
      <c r="S578" s="27">
        <v>0</v>
      </c>
      <c r="T578" s="26" t="s">
        <v>0</v>
      </c>
      <c r="U578" s="9"/>
      <c r="V578" s="12"/>
      <c r="X578" s="10"/>
    </row>
    <row r="579" spans="1:24" s="3" customFormat="1" x14ac:dyDescent="0.25">
      <c r="A579" s="35" t="s">
        <v>104</v>
      </c>
      <c r="B579" s="37" t="s">
        <v>12</v>
      </c>
      <c r="C579" s="33" t="s">
        <v>11</v>
      </c>
      <c r="D579" s="28">
        <f t="shared" ref="D579:R579" si="185">SUM(D580:D591,)</f>
        <v>161.05815884799995</v>
      </c>
      <c r="E579" s="28">
        <f t="shared" si="185"/>
        <v>88.546718850000005</v>
      </c>
      <c r="F579" s="28">
        <f t="shared" si="185"/>
        <v>72.511439997999972</v>
      </c>
      <c r="G579" s="28">
        <f t="shared" si="185"/>
        <v>67.231439998000013</v>
      </c>
      <c r="H579" s="28">
        <f t="shared" si="185"/>
        <v>47.615015880000001</v>
      </c>
      <c r="I579" s="28">
        <f t="shared" si="185"/>
        <v>0</v>
      </c>
      <c r="J579" s="28">
        <f t="shared" si="185"/>
        <v>0.19865624000000001</v>
      </c>
      <c r="K579" s="28">
        <f t="shared" si="185"/>
        <v>0</v>
      </c>
      <c r="L579" s="28">
        <f t="shared" si="185"/>
        <v>47.040087640000003</v>
      </c>
      <c r="M579" s="28">
        <f t="shared" si="185"/>
        <v>0</v>
      </c>
      <c r="N579" s="28">
        <f t="shared" si="185"/>
        <v>0.376272</v>
      </c>
      <c r="O579" s="28">
        <f t="shared" si="185"/>
        <v>67.231439998000013</v>
      </c>
      <c r="P579" s="28">
        <f t="shared" si="185"/>
        <v>0</v>
      </c>
      <c r="Q579" s="28">
        <f t="shared" si="185"/>
        <v>29.681123957999965</v>
      </c>
      <c r="R579" s="28">
        <f t="shared" si="185"/>
        <v>42.83031604</v>
      </c>
      <c r="S579" s="27">
        <v>1</v>
      </c>
      <c r="T579" s="26" t="s">
        <v>0</v>
      </c>
      <c r="U579" s="9"/>
      <c r="V579" s="12"/>
      <c r="X579" s="10"/>
    </row>
    <row r="580" spans="1:24" s="3" customFormat="1" ht="31.5" x14ac:dyDescent="0.25">
      <c r="A580" s="43" t="s">
        <v>104</v>
      </c>
      <c r="B580" s="20" t="s">
        <v>129</v>
      </c>
      <c r="C580" s="19" t="s">
        <v>128</v>
      </c>
      <c r="D580" s="17">
        <v>23.32327999</v>
      </c>
      <c r="E580" s="18">
        <v>13.72327999</v>
      </c>
      <c r="F580" s="16">
        <f t="shared" ref="F580:F589" si="186">D580-E580</f>
        <v>9.6</v>
      </c>
      <c r="G580" s="17">
        <v>4.32</v>
      </c>
      <c r="H580" s="16">
        <f t="shared" ref="H580:H591" si="187">J580+L580+N580+P580</f>
        <v>0</v>
      </c>
      <c r="I580" s="16">
        <v>0</v>
      </c>
      <c r="J580" s="16">
        <v>0</v>
      </c>
      <c r="K580" s="16">
        <v>0</v>
      </c>
      <c r="L580" s="16">
        <v>0</v>
      </c>
      <c r="M580" s="16">
        <v>0</v>
      </c>
      <c r="N580" s="16">
        <v>0</v>
      </c>
      <c r="O580" s="16">
        <v>4.32</v>
      </c>
      <c r="P580" s="16">
        <v>0</v>
      </c>
      <c r="Q580" s="16">
        <f t="shared" ref="Q580:Q589" si="188">F580-H580</f>
        <v>9.6</v>
      </c>
      <c r="R580" s="16">
        <f t="shared" ref="R580:R589" si="189">H580-(I580+K580+M580)</f>
        <v>0</v>
      </c>
      <c r="S580" s="14">
        <v>0</v>
      </c>
      <c r="T580" s="22" t="s">
        <v>0</v>
      </c>
      <c r="U580" s="9"/>
      <c r="V580" s="12"/>
      <c r="X580" s="10"/>
    </row>
    <row r="581" spans="1:24" s="3" customFormat="1" ht="38.25" customHeight="1" x14ac:dyDescent="0.25">
      <c r="A581" s="43" t="s">
        <v>104</v>
      </c>
      <c r="B581" s="20" t="s">
        <v>127</v>
      </c>
      <c r="C581" s="19" t="s">
        <v>126</v>
      </c>
      <c r="D581" s="17">
        <v>9.2520000000000007</v>
      </c>
      <c r="E581" s="18">
        <v>0</v>
      </c>
      <c r="F581" s="16">
        <f t="shared" si="186"/>
        <v>9.2520000000000007</v>
      </c>
      <c r="G581" s="17">
        <v>9.2520000000000007</v>
      </c>
      <c r="H581" s="16">
        <f t="shared" si="187"/>
        <v>0</v>
      </c>
      <c r="I581" s="16">
        <v>0</v>
      </c>
      <c r="J581" s="16">
        <v>0</v>
      </c>
      <c r="K581" s="16">
        <v>0</v>
      </c>
      <c r="L581" s="16">
        <v>0</v>
      </c>
      <c r="M581" s="16">
        <v>0</v>
      </c>
      <c r="N581" s="16">
        <v>0</v>
      </c>
      <c r="O581" s="16">
        <v>9.2520000000000007</v>
      </c>
      <c r="P581" s="16">
        <v>0</v>
      </c>
      <c r="Q581" s="16">
        <f t="shared" si="188"/>
        <v>9.2520000000000007</v>
      </c>
      <c r="R581" s="16">
        <f t="shared" si="189"/>
        <v>0</v>
      </c>
      <c r="S581" s="14">
        <v>0</v>
      </c>
      <c r="T581" s="67" t="s">
        <v>0</v>
      </c>
      <c r="U581" s="9"/>
      <c r="V581" s="12"/>
      <c r="X581" s="10"/>
    </row>
    <row r="582" spans="1:24" s="3" customFormat="1" ht="31.5" x14ac:dyDescent="0.25">
      <c r="A582" s="43" t="s">
        <v>104</v>
      </c>
      <c r="B582" s="20" t="s">
        <v>125</v>
      </c>
      <c r="C582" s="19" t="s">
        <v>124</v>
      </c>
      <c r="D582" s="40">
        <v>119.54743885799998</v>
      </c>
      <c r="E582" s="18">
        <v>74.82343886000001</v>
      </c>
      <c r="F582" s="16">
        <f t="shared" si="186"/>
        <v>44.723999997999968</v>
      </c>
      <c r="G582" s="17">
        <v>44.723999997999996</v>
      </c>
      <c r="H582" s="16">
        <f t="shared" si="187"/>
        <v>40.392151040000002</v>
      </c>
      <c r="I582" s="16">
        <v>0</v>
      </c>
      <c r="J582" s="16">
        <v>0.19865624000000001</v>
      </c>
      <c r="K582" s="16">
        <v>0</v>
      </c>
      <c r="L582" s="16">
        <v>40.193494800000003</v>
      </c>
      <c r="M582" s="16">
        <v>0</v>
      </c>
      <c r="N582" s="16">
        <v>0</v>
      </c>
      <c r="O582" s="16">
        <v>44.723999997999996</v>
      </c>
      <c r="P582" s="16">
        <v>0</v>
      </c>
      <c r="Q582" s="16">
        <f t="shared" si="188"/>
        <v>4.3318489579999664</v>
      </c>
      <c r="R582" s="16">
        <f t="shared" si="189"/>
        <v>40.392151040000002</v>
      </c>
      <c r="S582" s="14">
        <v>1</v>
      </c>
      <c r="T582" s="67" t="s">
        <v>119</v>
      </c>
      <c r="U582" s="9"/>
      <c r="V582" s="12"/>
      <c r="X582" s="10"/>
    </row>
    <row r="583" spans="1:24" s="3" customFormat="1" ht="31.5" x14ac:dyDescent="0.25">
      <c r="A583" s="43" t="s">
        <v>104</v>
      </c>
      <c r="B583" s="20" t="s">
        <v>123</v>
      </c>
      <c r="C583" s="19" t="s">
        <v>122</v>
      </c>
      <c r="D583" s="40">
        <v>1.02</v>
      </c>
      <c r="E583" s="18">
        <v>0</v>
      </c>
      <c r="F583" s="16">
        <f t="shared" si="186"/>
        <v>1.02</v>
      </c>
      <c r="G583" s="17">
        <v>1.02</v>
      </c>
      <c r="H583" s="16">
        <f t="shared" si="187"/>
        <v>1.0178929999999999</v>
      </c>
      <c r="I583" s="16">
        <v>0</v>
      </c>
      <c r="J583" s="16">
        <v>0</v>
      </c>
      <c r="K583" s="16">
        <v>0</v>
      </c>
      <c r="L583" s="16">
        <v>1.0178929999999999</v>
      </c>
      <c r="M583" s="16">
        <v>0</v>
      </c>
      <c r="N583" s="16">
        <v>0</v>
      </c>
      <c r="O583" s="16">
        <v>1.02</v>
      </c>
      <c r="P583" s="16">
        <v>0</v>
      </c>
      <c r="Q583" s="16">
        <f t="shared" si="188"/>
        <v>2.107000000000081E-3</v>
      </c>
      <c r="R583" s="16">
        <f t="shared" si="189"/>
        <v>1.0178929999999999</v>
      </c>
      <c r="S583" s="14">
        <v>1</v>
      </c>
      <c r="T583" s="22" t="s">
        <v>119</v>
      </c>
      <c r="U583" s="9"/>
      <c r="V583" s="12"/>
      <c r="X583" s="10"/>
    </row>
    <row r="584" spans="1:24" s="3" customFormat="1" ht="31.5" x14ac:dyDescent="0.25">
      <c r="A584" s="43" t="s">
        <v>104</v>
      </c>
      <c r="B584" s="20" t="s">
        <v>121</v>
      </c>
      <c r="C584" s="19" t="s">
        <v>120</v>
      </c>
      <c r="D584" s="40">
        <v>0.376272</v>
      </c>
      <c r="E584" s="18">
        <v>0</v>
      </c>
      <c r="F584" s="16">
        <f t="shared" si="186"/>
        <v>0.376272</v>
      </c>
      <c r="G584" s="17">
        <v>0.376272</v>
      </c>
      <c r="H584" s="16">
        <f t="shared" si="187"/>
        <v>0.376272</v>
      </c>
      <c r="I584" s="16">
        <v>0</v>
      </c>
      <c r="J584" s="16">
        <v>0</v>
      </c>
      <c r="K584" s="16">
        <v>0</v>
      </c>
      <c r="L584" s="16">
        <v>0</v>
      </c>
      <c r="M584" s="16">
        <v>0</v>
      </c>
      <c r="N584" s="16">
        <f>376.272/1000</f>
        <v>0.376272</v>
      </c>
      <c r="O584" s="16">
        <v>0.376272</v>
      </c>
      <c r="P584" s="16">
        <v>0</v>
      </c>
      <c r="Q584" s="16">
        <f t="shared" si="188"/>
        <v>0</v>
      </c>
      <c r="R584" s="16">
        <f t="shared" si="189"/>
        <v>0.376272</v>
      </c>
      <c r="S584" s="14">
        <v>1</v>
      </c>
      <c r="T584" s="67" t="s">
        <v>119</v>
      </c>
      <c r="U584" s="9"/>
      <c r="V584" s="12"/>
      <c r="X584" s="10"/>
    </row>
    <row r="585" spans="1:24" s="3" customFormat="1" ht="31.5" x14ac:dyDescent="0.25">
      <c r="A585" s="43" t="s">
        <v>104</v>
      </c>
      <c r="B585" s="20" t="s">
        <v>118</v>
      </c>
      <c r="C585" s="19" t="s">
        <v>117</v>
      </c>
      <c r="D585" s="40">
        <v>0.79322040000000005</v>
      </c>
      <c r="E585" s="18">
        <v>0</v>
      </c>
      <c r="F585" s="16">
        <f t="shared" si="186"/>
        <v>0.79322040000000005</v>
      </c>
      <c r="G585" s="17">
        <v>0.79322040000000005</v>
      </c>
      <c r="H585" s="16">
        <f t="shared" si="187"/>
        <v>0</v>
      </c>
      <c r="I585" s="16">
        <v>0</v>
      </c>
      <c r="J585" s="16">
        <v>0</v>
      </c>
      <c r="K585" s="16">
        <v>0</v>
      </c>
      <c r="L585" s="16">
        <v>0</v>
      </c>
      <c r="M585" s="16">
        <v>0</v>
      </c>
      <c r="N585" s="16">
        <v>0</v>
      </c>
      <c r="O585" s="16">
        <v>0.79322040000000005</v>
      </c>
      <c r="P585" s="16">
        <v>0</v>
      </c>
      <c r="Q585" s="16">
        <f t="shared" si="188"/>
        <v>0.79322040000000005</v>
      </c>
      <c r="R585" s="16">
        <f t="shared" si="189"/>
        <v>0</v>
      </c>
      <c r="S585" s="14">
        <v>0</v>
      </c>
      <c r="T585" s="67" t="s">
        <v>0</v>
      </c>
      <c r="U585" s="9"/>
      <c r="V585" s="12"/>
      <c r="X585" s="10"/>
    </row>
    <row r="586" spans="1:24" s="3" customFormat="1" ht="31.5" x14ac:dyDescent="0.25">
      <c r="A586" s="43" t="s">
        <v>104</v>
      </c>
      <c r="B586" s="20" t="s">
        <v>116</v>
      </c>
      <c r="C586" s="19" t="s">
        <v>115</v>
      </c>
      <c r="D586" s="40">
        <v>0.75253560000000008</v>
      </c>
      <c r="E586" s="18">
        <v>0</v>
      </c>
      <c r="F586" s="16">
        <f t="shared" si="186"/>
        <v>0.75253560000000008</v>
      </c>
      <c r="G586" s="17">
        <v>0.75253560000000008</v>
      </c>
      <c r="H586" s="16">
        <f t="shared" si="187"/>
        <v>0</v>
      </c>
      <c r="I586" s="16">
        <v>0</v>
      </c>
      <c r="J586" s="16">
        <v>0</v>
      </c>
      <c r="K586" s="16">
        <v>0</v>
      </c>
      <c r="L586" s="16">
        <v>0</v>
      </c>
      <c r="M586" s="16">
        <v>0</v>
      </c>
      <c r="N586" s="16">
        <v>0</v>
      </c>
      <c r="O586" s="16">
        <v>0.75253560000000008</v>
      </c>
      <c r="P586" s="16">
        <v>0</v>
      </c>
      <c r="Q586" s="16">
        <f t="shared" si="188"/>
        <v>0.75253560000000008</v>
      </c>
      <c r="R586" s="16">
        <f t="shared" si="189"/>
        <v>0</v>
      </c>
      <c r="S586" s="14">
        <v>0</v>
      </c>
      <c r="T586" s="67" t="s">
        <v>0</v>
      </c>
      <c r="U586" s="9"/>
      <c r="V586" s="12"/>
      <c r="X586" s="10"/>
    </row>
    <row r="587" spans="1:24" s="3" customFormat="1" ht="31.5" x14ac:dyDescent="0.25">
      <c r="A587" s="43" t="s">
        <v>104</v>
      </c>
      <c r="B587" s="20" t="s">
        <v>114</v>
      </c>
      <c r="C587" s="19" t="s">
        <v>113</v>
      </c>
      <c r="D587" s="40">
        <v>4.2119999999999997</v>
      </c>
      <c r="E587" s="18">
        <v>0</v>
      </c>
      <c r="F587" s="16">
        <f t="shared" si="186"/>
        <v>4.2119999999999997</v>
      </c>
      <c r="G587" s="17">
        <v>4.2119999999999997</v>
      </c>
      <c r="H587" s="16">
        <f t="shared" si="187"/>
        <v>0</v>
      </c>
      <c r="I587" s="16">
        <v>0</v>
      </c>
      <c r="J587" s="16">
        <v>0</v>
      </c>
      <c r="K587" s="16">
        <v>0</v>
      </c>
      <c r="L587" s="16">
        <v>0</v>
      </c>
      <c r="M587" s="16">
        <v>0</v>
      </c>
      <c r="N587" s="16">
        <v>0</v>
      </c>
      <c r="O587" s="16">
        <v>4.2119999999999997</v>
      </c>
      <c r="P587" s="16">
        <v>0</v>
      </c>
      <c r="Q587" s="16">
        <f t="shared" si="188"/>
        <v>4.2119999999999997</v>
      </c>
      <c r="R587" s="16">
        <f t="shared" si="189"/>
        <v>0</v>
      </c>
      <c r="S587" s="14">
        <v>0</v>
      </c>
      <c r="T587" s="67" t="s">
        <v>0</v>
      </c>
      <c r="U587" s="9"/>
      <c r="V587" s="12"/>
      <c r="X587" s="10"/>
    </row>
    <row r="588" spans="1:24" s="3" customFormat="1" ht="47.25" x14ac:dyDescent="0.25">
      <c r="A588" s="43" t="s">
        <v>104</v>
      </c>
      <c r="B588" s="20" t="s">
        <v>112</v>
      </c>
      <c r="C588" s="19" t="s">
        <v>111</v>
      </c>
      <c r="D588" s="40">
        <v>0.99661199999999994</v>
      </c>
      <c r="E588" s="18">
        <v>0</v>
      </c>
      <c r="F588" s="16">
        <f t="shared" si="186"/>
        <v>0.99661199999999994</v>
      </c>
      <c r="G588" s="17">
        <v>0.99661199999999994</v>
      </c>
      <c r="H588" s="16">
        <f t="shared" si="187"/>
        <v>1.044</v>
      </c>
      <c r="I588" s="16">
        <v>0</v>
      </c>
      <c r="J588" s="16">
        <v>0</v>
      </c>
      <c r="K588" s="16">
        <v>0</v>
      </c>
      <c r="L588" s="16">
        <v>1.044</v>
      </c>
      <c r="M588" s="16">
        <v>0</v>
      </c>
      <c r="N588" s="16">
        <v>0</v>
      </c>
      <c r="O588" s="16">
        <v>0.99661199999999994</v>
      </c>
      <c r="P588" s="16">
        <v>0</v>
      </c>
      <c r="Q588" s="16">
        <f t="shared" si="188"/>
        <v>-4.7388000000000097E-2</v>
      </c>
      <c r="R588" s="16">
        <f t="shared" si="189"/>
        <v>1.044</v>
      </c>
      <c r="S588" s="14">
        <v>1</v>
      </c>
      <c r="T588" s="67" t="s">
        <v>110</v>
      </c>
      <c r="U588" s="9"/>
      <c r="V588" s="12"/>
      <c r="X588" s="10"/>
    </row>
    <row r="589" spans="1:24" s="3" customFormat="1" ht="31.5" x14ac:dyDescent="0.25">
      <c r="A589" s="43" t="s">
        <v>104</v>
      </c>
      <c r="B589" s="20" t="s">
        <v>109</v>
      </c>
      <c r="C589" s="19" t="s">
        <v>108</v>
      </c>
      <c r="D589" s="40">
        <v>0.78479999999999994</v>
      </c>
      <c r="E589" s="18">
        <v>0</v>
      </c>
      <c r="F589" s="16">
        <f t="shared" si="186"/>
        <v>0.78479999999999994</v>
      </c>
      <c r="G589" s="17">
        <v>0.78479999999999994</v>
      </c>
      <c r="H589" s="16">
        <f t="shared" si="187"/>
        <v>0</v>
      </c>
      <c r="I589" s="16">
        <v>0</v>
      </c>
      <c r="J589" s="16">
        <v>0</v>
      </c>
      <c r="K589" s="16">
        <v>0</v>
      </c>
      <c r="L589" s="16">
        <v>0</v>
      </c>
      <c r="M589" s="16">
        <v>0</v>
      </c>
      <c r="N589" s="16">
        <v>0</v>
      </c>
      <c r="O589" s="16">
        <v>0.78479999999999994</v>
      </c>
      <c r="P589" s="16">
        <v>0</v>
      </c>
      <c r="Q589" s="16">
        <f t="shared" si="188"/>
        <v>0.78479999999999994</v>
      </c>
      <c r="R589" s="16">
        <f t="shared" si="189"/>
        <v>0</v>
      </c>
      <c r="S589" s="14">
        <v>0</v>
      </c>
      <c r="T589" s="67" t="s">
        <v>0</v>
      </c>
      <c r="U589" s="9"/>
      <c r="V589" s="12"/>
      <c r="X589" s="10"/>
    </row>
    <row r="590" spans="1:24" s="3" customFormat="1" ht="30" customHeight="1" x14ac:dyDescent="0.25">
      <c r="A590" s="43" t="s">
        <v>104</v>
      </c>
      <c r="B590" s="42" t="s">
        <v>107</v>
      </c>
      <c r="C590" s="41" t="s">
        <v>106</v>
      </c>
      <c r="D590" s="40" t="s">
        <v>0</v>
      </c>
      <c r="E590" s="18" t="s">
        <v>0</v>
      </c>
      <c r="F590" s="16" t="s">
        <v>0</v>
      </c>
      <c r="G590" s="16" t="s">
        <v>0</v>
      </c>
      <c r="H590" s="16">
        <f t="shared" si="187"/>
        <v>0.14499999999999999</v>
      </c>
      <c r="I590" s="16" t="s">
        <v>0</v>
      </c>
      <c r="J590" s="16">
        <v>0</v>
      </c>
      <c r="K590" s="16" t="s">
        <v>0</v>
      </c>
      <c r="L590" s="16">
        <v>0.14499999999999999</v>
      </c>
      <c r="M590" s="16" t="s">
        <v>0</v>
      </c>
      <c r="N590" s="16">
        <v>0</v>
      </c>
      <c r="O590" s="16" t="s">
        <v>0</v>
      </c>
      <c r="P590" s="16">
        <v>0</v>
      </c>
      <c r="Q590" s="16" t="s">
        <v>0</v>
      </c>
      <c r="R590" s="16" t="s">
        <v>0</v>
      </c>
      <c r="S590" s="14" t="s">
        <v>0</v>
      </c>
      <c r="T590" s="22" t="s">
        <v>105</v>
      </c>
      <c r="U590" s="9"/>
      <c r="V590" s="12"/>
      <c r="X590" s="10"/>
    </row>
    <row r="591" spans="1:24" s="3" customFormat="1" ht="30" customHeight="1" x14ac:dyDescent="0.25">
      <c r="A591" s="43" t="s">
        <v>104</v>
      </c>
      <c r="B591" s="42" t="s">
        <v>103</v>
      </c>
      <c r="C591" s="41" t="s">
        <v>102</v>
      </c>
      <c r="D591" s="40" t="s">
        <v>0</v>
      </c>
      <c r="E591" s="18" t="s">
        <v>0</v>
      </c>
      <c r="F591" s="16" t="s">
        <v>0</v>
      </c>
      <c r="G591" s="16" t="s">
        <v>0</v>
      </c>
      <c r="H591" s="16">
        <f t="shared" si="187"/>
        <v>4.6396998399999996</v>
      </c>
      <c r="I591" s="16" t="s">
        <v>0</v>
      </c>
      <c r="J591" s="16">
        <v>0</v>
      </c>
      <c r="K591" s="16" t="s">
        <v>0</v>
      </c>
      <c r="L591" s="16">
        <v>4.6396998399999996</v>
      </c>
      <c r="M591" s="16" t="s">
        <v>0</v>
      </c>
      <c r="N591" s="16">
        <v>0</v>
      </c>
      <c r="O591" s="16" t="s">
        <v>0</v>
      </c>
      <c r="P591" s="16">
        <v>0</v>
      </c>
      <c r="Q591" s="16" t="s">
        <v>0</v>
      </c>
      <c r="R591" s="16" t="s">
        <v>0</v>
      </c>
      <c r="S591" s="32" t="s">
        <v>0</v>
      </c>
      <c r="T591" s="22" t="s">
        <v>101</v>
      </c>
      <c r="U591" s="9"/>
      <c r="V591" s="12"/>
      <c r="X591" s="10"/>
    </row>
    <row r="592" spans="1:24" s="3" customFormat="1" x14ac:dyDescent="0.25">
      <c r="A592" s="35" t="s">
        <v>100</v>
      </c>
      <c r="B592" s="29" t="s">
        <v>99</v>
      </c>
      <c r="C592" s="29" t="s">
        <v>11</v>
      </c>
      <c r="D592" s="39">
        <f t="shared" ref="D592:R592" si="190">SUM(D593,D608,D615,D623,D630,D635,D636)</f>
        <v>282.14723120100001</v>
      </c>
      <c r="E592" s="28">
        <f t="shared" si="190"/>
        <v>105.95873567</v>
      </c>
      <c r="F592" s="28">
        <f t="shared" si="190"/>
        <v>176.18849553099997</v>
      </c>
      <c r="G592" s="28">
        <f t="shared" si="190"/>
        <v>51.320952045199995</v>
      </c>
      <c r="H592" s="28">
        <f t="shared" si="190"/>
        <v>19.287837150000001</v>
      </c>
      <c r="I592" s="28">
        <f t="shared" si="190"/>
        <v>8.3692347040000001</v>
      </c>
      <c r="J592" s="28">
        <f t="shared" si="190"/>
        <v>7.877583529999999</v>
      </c>
      <c r="K592" s="28">
        <f t="shared" si="190"/>
        <v>4.5688394965199999</v>
      </c>
      <c r="L592" s="28">
        <f t="shared" si="190"/>
        <v>3.1493528999999998</v>
      </c>
      <c r="M592" s="28">
        <f t="shared" si="190"/>
        <v>14.968051383860001</v>
      </c>
      <c r="N592" s="28">
        <f t="shared" si="190"/>
        <v>8.2609007200000004</v>
      </c>
      <c r="O592" s="28">
        <f t="shared" si="190"/>
        <v>23.41482646083</v>
      </c>
      <c r="P592" s="28">
        <f t="shared" si="190"/>
        <v>0</v>
      </c>
      <c r="Q592" s="28">
        <f t="shared" si="190"/>
        <v>157.502513491</v>
      </c>
      <c r="R592" s="28">
        <f t="shared" si="190"/>
        <v>-9.2201435443799991</v>
      </c>
      <c r="S592" s="27">
        <f>R592/(I592+K592+M592)</f>
        <v>-0.33039855412751473</v>
      </c>
      <c r="T592" s="26" t="s">
        <v>0</v>
      </c>
      <c r="U592" s="9"/>
      <c r="V592" s="12"/>
      <c r="X592" s="10"/>
    </row>
    <row r="593" spans="1:24" s="3" customFormat="1" ht="31.5" x14ac:dyDescent="0.25">
      <c r="A593" s="35" t="s">
        <v>98</v>
      </c>
      <c r="B593" s="34" t="s">
        <v>97</v>
      </c>
      <c r="C593" s="33" t="s">
        <v>11</v>
      </c>
      <c r="D593" s="28">
        <f>SUM(D594,D597,D600,D607)</f>
        <v>0</v>
      </c>
      <c r="E593" s="28">
        <f t="shared" ref="E593:R593" si="191">E594+E597+E600+E607</f>
        <v>0</v>
      </c>
      <c r="F593" s="28">
        <f t="shared" si="191"/>
        <v>0</v>
      </c>
      <c r="G593" s="28">
        <f t="shared" si="191"/>
        <v>0</v>
      </c>
      <c r="H593" s="28">
        <f t="shared" si="191"/>
        <v>0.12699111000000002</v>
      </c>
      <c r="I593" s="28">
        <f t="shared" si="191"/>
        <v>0</v>
      </c>
      <c r="J593" s="28">
        <f t="shared" si="191"/>
        <v>0.12699111000000002</v>
      </c>
      <c r="K593" s="28">
        <f t="shared" si="191"/>
        <v>0</v>
      </c>
      <c r="L593" s="28">
        <f t="shared" si="191"/>
        <v>0</v>
      </c>
      <c r="M593" s="28">
        <f t="shared" si="191"/>
        <v>0</v>
      </c>
      <c r="N593" s="28">
        <f t="shared" si="191"/>
        <v>0</v>
      </c>
      <c r="O593" s="28">
        <f t="shared" si="191"/>
        <v>0</v>
      </c>
      <c r="P593" s="28">
        <f t="shared" si="191"/>
        <v>0</v>
      </c>
      <c r="Q593" s="28">
        <f t="shared" si="191"/>
        <v>0</v>
      </c>
      <c r="R593" s="28">
        <f t="shared" si="191"/>
        <v>0</v>
      </c>
      <c r="S593" s="27">
        <v>0</v>
      </c>
      <c r="T593" s="26" t="s">
        <v>0</v>
      </c>
      <c r="U593" s="9"/>
      <c r="V593" s="12"/>
      <c r="X593" s="10"/>
    </row>
    <row r="594" spans="1:24" s="3" customFormat="1" ht="63" x14ac:dyDescent="0.25">
      <c r="A594" s="38" t="s">
        <v>96</v>
      </c>
      <c r="B594" s="37" t="s">
        <v>95</v>
      </c>
      <c r="C594" s="33" t="s">
        <v>11</v>
      </c>
      <c r="D594" s="28">
        <f t="shared" ref="D594:R594" si="192">D595+D596</f>
        <v>0</v>
      </c>
      <c r="E594" s="28">
        <f t="shared" si="192"/>
        <v>0</v>
      </c>
      <c r="F594" s="28">
        <f t="shared" si="192"/>
        <v>0</v>
      </c>
      <c r="G594" s="28">
        <f t="shared" si="192"/>
        <v>0</v>
      </c>
      <c r="H594" s="28">
        <f t="shared" si="192"/>
        <v>0</v>
      </c>
      <c r="I594" s="28">
        <f t="shared" si="192"/>
        <v>0</v>
      </c>
      <c r="J594" s="28">
        <f t="shared" si="192"/>
        <v>0</v>
      </c>
      <c r="K594" s="28">
        <f t="shared" si="192"/>
        <v>0</v>
      </c>
      <c r="L594" s="28">
        <f t="shared" si="192"/>
        <v>0</v>
      </c>
      <c r="M594" s="28">
        <f t="shared" si="192"/>
        <v>0</v>
      </c>
      <c r="N594" s="28">
        <f t="shared" si="192"/>
        <v>0</v>
      </c>
      <c r="O594" s="28">
        <f t="shared" si="192"/>
        <v>0</v>
      </c>
      <c r="P594" s="28">
        <f t="shared" si="192"/>
        <v>0</v>
      </c>
      <c r="Q594" s="28">
        <f t="shared" si="192"/>
        <v>0</v>
      </c>
      <c r="R594" s="28">
        <f t="shared" si="192"/>
        <v>0</v>
      </c>
      <c r="S594" s="27">
        <v>0</v>
      </c>
      <c r="T594" s="26" t="s">
        <v>0</v>
      </c>
      <c r="U594" s="9"/>
      <c r="V594" s="12"/>
      <c r="X594" s="10"/>
    </row>
    <row r="595" spans="1:24" s="3" customFormat="1" ht="31.5" x14ac:dyDescent="0.25">
      <c r="A595" s="38" t="s">
        <v>94</v>
      </c>
      <c r="B595" s="37" t="s">
        <v>87</v>
      </c>
      <c r="C595" s="33" t="s">
        <v>11</v>
      </c>
      <c r="D595" s="28">
        <v>0</v>
      </c>
      <c r="E595" s="28">
        <v>0</v>
      </c>
      <c r="F595" s="28">
        <v>0</v>
      </c>
      <c r="G595" s="28">
        <v>0</v>
      </c>
      <c r="H595" s="28">
        <v>0</v>
      </c>
      <c r="I595" s="28">
        <v>0</v>
      </c>
      <c r="J595" s="28">
        <v>0</v>
      </c>
      <c r="K595" s="28">
        <v>0</v>
      </c>
      <c r="L595" s="28">
        <v>0</v>
      </c>
      <c r="M595" s="28">
        <v>0</v>
      </c>
      <c r="N595" s="28">
        <v>0</v>
      </c>
      <c r="O595" s="28">
        <v>0</v>
      </c>
      <c r="P595" s="28">
        <v>0</v>
      </c>
      <c r="Q595" s="28">
        <v>0</v>
      </c>
      <c r="R595" s="28">
        <v>0</v>
      </c>
      <c r="S595" s="27">
        <v>0</v>
      </c>
      <c r="T595" s="26" t="s">
        <v>0</v>
      </c>
      <c r="U595" s="9"/>
      <c r="V595" s="12"/>
      <c r="X595" s="10"/>
    </row>
    <row r="596" spans="1:24" s="3" customFormat="1" ht="31.5" x14ac:dyDescent="0.25">
      <c r="A596" s="38" t="s">
        <v>93</v>
      </c>
      <c r="B596" s="37" t="s">
        <v>87</v>
      </c>
      <c r="C596" s="33" t="s">
        <v>11</v>
      </c>
      <c r="D596" s="28">
        <v>0</v>
      </c>
      <c r="E596" s="28">
        <v>0</v>
      </c>
      <c r="F596" s="28">
        <v>0</v>
      </c>
      <c r="G596" s="28">
        <v>0</v>
      </c>
      <c r="H596" s="28">
        <v>0</v>
      </c>
      <c r="I596" s="28">
        <v>0</v>
      </c>
      <c r="J596" s="28">
        <v>0</v>
      </c>
      <c r="K596" s="28">
        <v>0</v>
      </c>
      <c r="L596" s="28">
        <v>0</v>
      </c>
      <c r="M596" s="28">
        <v>0</v>
      </c>
      <c r="N596" s="28">
        <v>0</v>
      </c>
      <c r="O596" s="28">
        <v>0</v>
      </c>
      <c r="P596" s="28">
        <v>0</v>
      </c>
      <c r="Q596" s="28">
        <v>0</v>
      </c>
      <c r="R596" s="28">
        <v>0</v>
      </c>
      <c r="S596" s="27">
        <v>0</v>
      </c>
      <c r="T596" s="26" t="s">
        <v>0</v>
      </c>
      <c r="U596" s="9"/>
      <c r="V596" s="12"/>
      <c r="X596" s="10"/>
    </row>
    <row r="597" spans="1:24" s="3" customFormat="1" ht="47.25" x14ac:dyDescent="0.25">
      <c r="A597" s="35" t="s">
        <v>92</v>
      </c>
      <c r="B597" s="37" t="s">
        <v>91</v>
      </c>
      <c r="C597" s="33" t="s">
        <v>11</v>
      </c>
      <c r="D597" s="28">
        <f t="shared" ref="D597:R597" si="193">D598+D599</f>
        <v>0</v>
      </c>
      <c r="E597" s="28">
        <f t="shared" si="193"/>
        <v>0</v>
      </c>
      <c r="F597" s="28">
        <f t="shared" si="193"/>
        <v>0</v>
      </c>
      <c r="G597" s="28">
        <f t="shared" si="193"/>
        <v>0</v>
      </c>
      <c r="H597" s="28">
        <f t="shared" si="193"/>
        <v>0</v>
      </c>
      <c r="I597" s="28">
        <f t="shared" si="193"/>
        <v>0</v>
      </c>
      <c r="J597" s="28">
        <f t="shared" si="193"/>
        <v>0</v>
      </c>
      <c r="K597" s="28">
        <f t="shared" si="193"/>
        <v>0</v>
      </c>
      <c r="L597" s="28">
        <f t="shared" si="193"/>
        <v>0</v>
      </c>
      <c r="M597" s="28">
        <f t="shared" si="193"/>
        <v>0</v>
      </c>
      <c r="N597" s="28">
        <f t="shared" si="193"/>
        <v>0</v>
      </c>
      <c r="O597" s="28">
        <f t="shared" si="193"/>
        <v>0</v>
      </c>
      <c r="P597" s="28">
        <f t="shared" si="193"/>
        <v>0</v>
      </c>
      <c r="Q597" s="28">
        <f t="shared" si="193"/>
        <v>0</v>
      </c>
      <c r="R597" s="28">
        <f t="shared" si="193"/>
        <v>0</v>
      </c>
      <c r="S597" s="27">
        <v>0</v>
      </c>
      <c r="T597" s="26" t="s">
        <v>0</v>
      </c>
      <c r="U597" s="9"/>
      <c r="V597" s="12"/>
      <c r="X597" s="10"/>
    </row>
    <row r="598" spans="1:24" s="3" customFormat="1" ht="31.5" x14ac:dyDescent="0.25">
      <c r="A598" s="35" t="s">
        <v>90</v>
      </c>
      <c r="B598" s="37" t="s">
        <v>89</v>
      </c>
      <c r="C598" s="33" t="s">
        <v>11</v>
      </c>
      <c r="D598" s="28">
        <v>0</v>
      </c>
      <c r="E598" s="28">
        <v>0</v>
      </c>
      <c r="F598" s="28">
        <v>0</v>
      </c>
      <c r="G598" s="28">
        <v>0</v>
      </c>
      <c r="H598" s="28">
        <v>0</v>
      </c>
      <c r="I598" s="28">
        <v>0</v>
      </c>
      <c r="J598" s="28">
        <v>0</v>
      </c>
      <c r="K598" s="28">
        <v>0</v>
      </c>
      <c r="L598" s="28">
        <v>0</v>
      </c>
      <c r="M598" s="28">
        <v>0</v>
      </c>
      <c r="N598" s="28">
        <v>0</v>
      </c>
      <c r="O598" s="28">
        <v>0</v>
      </c>
      <c r="P598" s="28">
        <v>0</v>
      </c>
      <c r="Q598" s="28">
        <v>0</v>
      </c>
      <c r="R598" s="28">
        <v>0</v>
      </c>
      <c r="S598" s="27">
        <v>0</v>
      </c>
      <c r="T598" s="26" t="s">
        <v>0</v>
      </c>
      <c r="U598" s="9"/>
      <c r="V598" s="12"/>
      <c r="X598" s="10"/>
    </row>
    <row r="599" spans="1:24" s="3" customFormat="1" ht="31.5" x14ac:dyDescent="0.25">
      <c r="A599" s="35" t="s">
        <v>88</v>
      </c>
      <c r="B599" s="37" t="s">
        <v>87</v>
      </c>
      <c r="C599" s="33" t="s">
        <v>11</v>
      </c>
      <c r="D599" s="28">
        <v>0</v>
      </c>
      <c r="E599" s="28">
        <v>0</v>
      </c>
      <c r="F599" s="28">
        <v>0</v>
      </c>
      <c r="G599" s="28">
        <v>0</v>
      </c>
      <c r="H599" s="28">
        <v>0</v>
      </c>
      <c r="I599" s="28">
        <v>0</v>
      </c>
      <c r="J599" s="28">
        <v>0</v>
      </c>
      <c r="K599" s="28">
        <v>0</v>
      </c>
      <c r="L599" s="28">
        <v>0</v>
      </c>
      <c r="M599" s="28">
        <v>0</v>
      </c>
      <c r="N599" s="28">
        <v>0</v>
      </c>
      <c r="O599" s="28">
        <v>0</v>
      </c>
      <c r="P599" s="28">
        <v>0</v>
      </c>
      <c r="Q599" s="28">
        <v>0</v>
      </c>
      <c r="R599" s="28">
        <v>0</v>
      </c>
      <c r="S599" s="27">
        <v>0</v>
      </c>
      <c r="T599" s="26" t="s">
        <v>0</v>
      </c>
      <c r="U599" s="9"/>
      <c r="V599" s="12"/>
      <c r="X599" s="10"/>
    </row>
    <row r="600" spans="1:24" s="3" customFormat="1" ht="47.25" x14ac:dyDescent="0.25">
      <c r="A600" s="35" t="s">
        <v>86</v>
      </c>
      <c r="B600" s="37" t="s">
        <v>85</v>
      </c>
      <c r="C600" s="33" t="s">
        <v>11</v>
      </c>
      <c r="D600" s="28">
        <f>SUM(D601,D602,D603,D604,D605)</f>
        <v>0</v>
      </c>
      <c r="E600" s="28">
        <f t="shared" ref="E600:R600" si="194">E601+E602+E603+E604+E605</f>
        <v>0</v>
      </c>
      <c r="F600" s="28">
        <f t="shared" si="194"/>
        <v>0</v>
      </c>
      <c r="G600" s="28">
        <f t="shared" si="194"/>
        <v>0</v>
      </c>
      <c r="H600" s="28">
        <f t="shared" si="194"/>
        <v>0.12699111000000002</v>
      </c>
      <c r="I600" s="28">
        <f t="shared" si="194"/>
        <v>0</v>
      </c>
      <c r="J600" s="28">
        <f t="shared" si="194"/>
        <v>0.12699111000000002</v>
      </c>
      <c r="K600" s="28">
        <f t="shared" si="194"/>
        <v>0</v>
      </c>
      <c r="L600" s="28">
        <f t="shared" si="194"/>
        <v>0</v>
      </c>
      <c r="M600" s="28">
        <f t="shared" si="194"/>
        <v>0</v>
      </c>
      <c r="N600" s="28">
        <f t="shared" si="194"/>
        <v>0</v>
      </c>
      <c r="O600" s="28">
        <f t="shared" si="194"/>
        <v>0</v>
      </c>
      <c r="P600" s="28">
        <f t="shared" si="194"/>
        <v>0</v>
      </c>
      <c r="Q600" s="28">
        <f t="shared" si="194"/>
        <v>0</v>
      </c>
      <c r="R600" s="28">
        <f t="shared" si="194"/>
        <v>0</v>
      </c>
      <c r="S600" s="27">
        <v>0</v>
      </c>
      <c r="T600" s="26" t="s">
        <v>0</v>
      </c>
      <c r="U600" s="9"/>
      <c r="V600" s="12"/>
      <c r="X600" s="10"/>
    </row>
    <row r="601" spans="1:24" s="3" customFormat="1" ht="63" x14ac:dyDescent="0.25">
      <c r="A601" s="35" t="s">
        <v>84</v>
      </c>
      <c r="B601" s="37" t="s">
        <v>83</v>
      </c>
      <c r="C601" s="33" t="s">
        <v>11</v>
      </c>
      <c r="D601" s="28">
        <v>0</v>
      </c>
      <c r="E601" s="28">
        <v>0</v>
      </c>
      <c r="F601" s="28">
        <v>0</v>
      </c>
      <c r="G601" s="28">
        <v>0</v>
      </c>
      <c r="H601" s="28">
        <v>0</v>
      </c>
      <c r="I601" s="28">
        <v>0</v>
      </c>
      <c r="J601" s="28">
        <v>0</v>
      </c>
      <c r="K601" s="28">
        <v>0</v>
      </c>
      <c r="L601" s="28">
        <v>0</v>
      </c>
      <c r="M601" s="28">
        <v>0</v>
      </c>
      <c r="N601" s="28">
        <v>0</v>
      </c>
      <c r="O601" s="28">
        <v>0</v>
      </c>
      <c r="P601" s="28">
        <v>0</v>
      </c>
      <c r="Q601" s="28">
        <v>0</v>
      </c>
      <c r="R601" s="28">
        <v>0</v>
      </c>
      <c r="S601" s="27">
        <v>0</v>
      </c>
      <c r="T601" s="26" t="s">
        <v>0</v>
      </c>
      <c r="U601" s="9"/>
      <c r="V601" s="12"/>
      <c r="X601" s="10"/>
    </row>
    <row r="602" spans="1:24" s="3" customFormat="1" ht="63" x14ac:dyDescent="0.25">
      <c r="A602" s="35" t="s">
        <v>82</v>
      </c>
      <c r="B602" s="29" t="s">
        <v>81</v>
      </c>
      <c r="C602" s="29" t="s">
        <v>11</v>
      </c>
      <c r="D602" s="36">
        <v>0</v>
      </c>
      <c r="E602" s="28">
        <v>0</v>
      </c>
      <c r="F602" s="28">
        <v>0</v>
      </c>
      <c r="G602" s="28">
        <v>0</v>
      </c>
      <c r="H602" s="28">
        <v>0</v>
      </c>
      <c r="I602" s="28">
        <v>0</v>
      </c>
      <c r="J602" s="28">
        <v>0</v>
      </c>
      <c r="K602" s="28">
        <v>0</v>
      </c>
      <c r="L602" s="28">
        <v>0</v>
      </c>
      <c r="M602" s="28">
        <v>0</v>
      </c>
      <c r="N602" s="28">
        <v>0</v>
      </c>
      <c r="O602" s="28">
        <v>0</v>
      </c>
      <c r="P602" s="28">
        <v>0</v>
      </c>
      <c r="Q602" s="28">
        <v>0</v>
      </c>
      <c r="R602" s="28">
        <v>0</v>
      </c>
      <c r="S602" s="27">
        <v>0</v>
      </c>
      <c r="T602" s="26" t="s">
        <v>0</v>
      </c>
      <c r="U602" s="9"/>
      <c r="V602" s="12"/>
      <c r="X602" s="10"/>
    </row>
    <row r="603" spans="1:24" s="3" customFormat="1" ht="63" x14ac:dyDescent="0.25">
      <c r="A603" s="35" t="s">
        <v>80</v>
      </c>
      <c r="B603" s="34" t="s">
        <v>79</v>
      </c>
      <c r="C603" s="33" t="s">
        <v>11</v>
      </c>
      <c r="D603" s="28">
        <v>0</v>
      </c>
      <c r="E603" s="28">
        <v>0</v>
      </c>
      <c r="F603" s="28">
        <v>0</v>
      </c>
      <c r="G603" s="28">
        <v>0</v>
      </c>
      <c r="H603" s="28">
        <v>0</v>
      </c>
      <c r="I603" s="28">
        <v>0</v>
      </c>
      <c r="J603" s="28">
        <v>0</v>
      </c>
      <c r="K603" s="28">
        <v>0</v>
      </c>
      <c r="L603" s="28">
        <v>0</v>
      </c>
      <c r="M603" s="28">
        <v>0</v>
      </c>
      <c r="N603" s="28">
        <v>0</v>
      </c>
      <c r="O603" s="28">
        <v>0</v>
      </c>
      <c r="P603" s="28">
        <v>0</v>
      </c>
      <c r="Q603" s="28">
        <v>0</v>
      </c>
      <c r="R603" s="28">
        <v>0</v>
      </c>
      <c r="S603" s="27">
        <v>0</v>
      </c>
      <c r="T603" s="26" t="s">
        <v>0</v>
      </c>
      <c r="U603" s="9"/>
      <c r="V603" s="12"/>
      <c r="X603" s="10"/>
    </row>
    <row r="604" spans="1:24" s="3" customFormat="1" ht="78.75" x14ac:dyDescent="0.25">
      <c r="A604" s="35" t="s">
        <v>78</v>
      </c>
      <c r="B604" s="34" t="s">
        <v>77</v>
      </c>
      <c r="C604" s="33" t="s">
        <v>11</v>
      </c>
      <c r="D604" s="28">
        <v>0</v>
      </c>
      <c r="E604" s="28">
        <v>0</v>
      </c>
      <c r="F604" s="28">
        <v>0</v>
      </c>
      <c r="G604" s="28">
        <v>0</v>
      </c>
      <c r="H604" s="28">
        <v>0</v>
      </c>
      <c r="I604" s="28">
        <v>0</v>
      </c>
      <c r="J604" s="28">
        <v>0</v>
      </c>
      <c r="K604" s="28">
        <v>0</v>
      </c>
      <c r="L604" s="28">
        <v>0</v>
      </c>
      <c r="M604" s="28">
        <v>0</v>
      </c>
      <c r="N604" s="28">
        <v>0</v>
      </c>
      <c r="O604" s="28">
        <v>0</v>
      </c>
      <c r="P604" s="28">
        <v>0</v>
      </c>
      <c r="Q604" s="28">
        <v>0</v>
      </c>
      <c r="R604" s="28">
        <v>0</v>
      </c>
      <c r="S604" s="27">
        <v>0</v>
      </c>
      <c r="T604" s="26" t="s">
        <v>0</v>
      </c>
      <c r="U604" s="9"/>
      <c r="V604" s="12"/>
      <c r="X604" s="10"/>
    </row>
    <row r="605" spans="1:24" s="3" customFormat="1" ht="78.75" x14ac:dyDescent="0.25">
      <c r="A605" s="30" t="s">
        <v>75</v>
      </c>
      <c r="B605" s="29" t="s">
        <v>76</v>
      </c>
      <c r="C605" s="29" t="s">
        <v>11</v>
      </c>
      <c r="D605" s="28">
        <f t="shared" ref="D605:R605" si="195">SUM(D606)</f>
        <v>0</v>
      </c>
      <c r="E605" s="28">
        <f t="shared" si="195"/>
        <v>0</v>
      </c>
      <c r="F605" s="28">
        <f t="shared" si="195"/>
        <v>0</v>
      </c>
      <c r="G605" s="28">
        <f t="shared" si="195"/>
        <v>0</v>
      </c>
      <c r="H605" s="28">
        <f t="shared" si="195"/>
        <v>0.12699111000000002</v>
      </c>
      <c r="I605" s="28">
        <f t="shared" si="195"/>
        <v>0</v>
      </c>
      <c r="J605" s="28">
        <f t="shared" si="195"/>
        <v>0.12699111000000002</v>
      </c>
      <c r="K605" s="28">
        <f t="shared" si="195"/>
        <v>0</v>
      </c>
      <c r="L605" s="28">
        <f t="shared" si="195"/>
        <v>0</v>
      </c>
      <c r="M605" s="28">
        <f t="shared" si="195"/>
        <v>0</v>
      </c>
      <c r="N605" s="28">
        <f t="shared" si="195"/>
        <v>0</v>
      </c>
      <c r="O605" s="28">
        <f t="shared" si="195"/>
        <v>0</v>
      </c>
      <c r="P605" s="28">
        <f t="shared" si="195"/>
        <v>0</v>
      </c>
      <c r="Q605" s="28">
        <f t="shared" si="195"/>
        <v>0</v>
      </c>
      <c r="R605" s="28">
        <f t="shared" si="195"/>
        <v>0</v>
      </c>
      <c r="S605" s="27">
        <v>0</v>
      </c>
      <c r="T605" s="26" t="s">
        <v>0</v>
      </c>
      <c r="U605" s="9"/>
      <c r="V605" s="12"/>
      <c r="X605" s="10"/>
    </row>
    <row r="606" spans="1:24" s="3" customFormat="1" ht="47.25" x14ac:dyDescent="0.25">
      <c r="A606" s="21" t="s">
        <v>75</v>
      </c>
      <c r="B606" s="20" t="s">
        <v>74</v>
      </c>
      <c r="C606" s="19" t="s">
        <v>73</v>
      </c>
      <c r="D606" s="16" t="s">
        <v>0</v>
      </c>
      <c r="E606" s="18" t="s">
        <v>0</v>
      </c>
      <c r="F606" s="16" t="s">
        <v>0</v>
      </c>
      <c r="G606" s="16" t="s">
        <v>0</v>
      </c>
      <c r="H606" s="16">
        <f>J606+L606+N606+P606</f>
        <v>0.12699111000000002</v>
      </c>
      <c r="I606" s="16" t="s">
        <v>0</v>
      </c>
      <c r="J606" s="16">
        <v>0.12699111000000002</v>
      </c>
      <c r="K606" s="16" t="s">
        <v>0</v>
      </c>
      <c r="L606" s="16">
        <v>0</v>
      </c>
      <c r="M606" s="16" t="s">
        <v>0</v>
      </c>
      <c r="N606" s="16">
        <v>0</v>
      </c>
      <c r="O606" s="16" t="s">
        <v>0</v>
      </c>
      <c r="P606" s="16">
        <v>0</v>
      </c>
      <c r="Q606" s="16" t="s">
        <v>0</v>
      </c>
      <c r="R606" s="16" t="s">
        <v>0</v>
      </c>
      <c r="S606" s="32" t="s">
        <v>0</v>
      </c>
      <c r="T606" s="22" t="s">
        <v>62</v>
      </c>
      <c r="U606" s="9"/>
      <c r="V606" s="12"/>
      <c r="X606" s="10"/>
    </row>
    <row r="607" spans="1:24" s="3" customFormat="1" ht="31.5" x14ac:dyDescent="0.25">
      <c r="A607" s="30" t="s">
        <v>72</v>
      </c>
      <c r="B607" s="29" t="s">
        <v>71</v>
      </c>
      <c r="C607" s="29" t="s">
        <v>11</v>
      </c>
      <c r="D607" s="28">
        <v>0</v>
      </c>
      <c r="E607" s="28">
        <v>0</v>
      </c>
      <c r="F607" s="28">
        <v>0</v>
      </c>
      <c r="G607" s="28">
        <v>0</v>
      </c>
      <c r="H607" s="28">
        <v>0</v>
      </c>
      <c r="I607" s="28">
        <v>0</v>
      </c>
      <c r="J607" s="28">
        <v>0</v>
      </c>
      <c r="K607" s="28">
        <v>0</v>
      </c>
      <c r="L607" s="28">
        <v>0</v>
      </c>
      <c r="M607" s="28">
        <v>0</v>
      </c>
      <c r="N607" s="28">
        <v>0</v>
      </c>
      <c r="O607" s="28">
        <v>0</v>
      </c>
      <c r="P607" s="28">
        <v>0</v>
      </c>
      <c r="Q607" s="28">
        <v>0</v>
      </c>
      <c r="R607" s="28">
        <v>0</v>
      </c>
      <c r="S607" s="27">
        <v>0</v>
      </c>
      <c r="T607" s="26" t="s">
        <v>0</v>
      </c>
      <c r="U607" s="9"/>
      <c r="V607" s="12"/>
      <c r="X607" s="10"/>
    </row>
    <row r="608" spans="1:24" s="3" customFormat="1" ht="47.25" x14ac:dyDescent="0.25">
      <c r="A608" s="30" t="s">
        <v>70</v>
      </c>
      <c r="B608" s="29" t="s">
        <v>69</v>
      </c>
      <c r="C608" s="29" t="s">
        <v>11</v>
      </c>
      <c r="D608" s="28">
        <f t="shared" ref="D608:R608" si="196">D609+D610+D612+D613</f>
        <v>73.908922689999997</v>
      </c>
      <c r="E608" s="28">
        <f t="shared" si="196"/>
        <v>66.123666729999997</v>
      </c>
      <c r="F608" s="28">
        <f t="shared" si="196"/>
        <v>7.7852559600000006</v>
      </c>
      <c r="G608" s="28">
        <f t="shared" si="196"/>
        <v>7.7332347039999982</v>
      </c>
      <c r="H608" s="28">
        <f t="shared" si="196"/>
        <v>6.7203963899999994</v>
      </c>
      <c r="I608" s="28">
        <f t="shared" si="196"/>
        <v>7.733234704</v>
      </c>
      <c r="J608" s="28">
        <f t="shared" si="196"/>
        <v>6.7203963899999994</v>
      </c>
      <c r="K608" s="28">
        <f t="shared" si="196"/>
        <v>0</v>
      </c>
      <c r="L608" s="28">
        <f t="shared" si="196"/>
        <v>0</v>
      </c>
      <c r="M608" s="28">
        <f t="shared" si="196"/>
        <v>0</v>
      </c>
      <c r="N608" s="28">
        <f t="shared" si="196"/>
        <v>0</v>
      </c>
      <c r="O608" s="28">
        <f t="shared" si="196"/>
        <v>0</v>
      </c>
      <c r="P608" s="28">
        <f t="shared" si="196"/>
        <v>0</v>
      </c>
      <c r="Q608" s="28">
        <f t="shared" si="196"/>
        <v>1.5397235700000014</v>
      </c>
      <c r="R608" s="28">
        <f t="shared" si="196"/>
        <v>-1.4877023140000007</v>
      </c>
      <c r="S608" s="27">
        <f>R608/(I608+K608+M608)</f>
        <v>-0.19237775277019456</v>
      </c>
      <c r="T608" s="26" t="s">
        <v>0</v>
      </c>
      <c r="U608" s="9"/>
      <c r="V608" s="12"/>
      <c r="X608" s="10"/>
    </row>
    <row r="609" spans="1:24" s="3" customFormat="1" ht="31.5" x14ac:dyDescent="0.25">
      <c r="A609" s="30" t="s">
        <v>68</v>
      </c>
      <c r="B609" s="29" t="s">
        <v>67</v>
      </c>
      <c r="C609" s="29" t="s">
        <v>11</v>
      </c>
      <c r="D609" s="28">
        <v>0</v>
      </c>
      <c r="E609" s="28">
        <v>0</v>
      </c>
      <c r="F609" s="28">
        <v>0</v>
      </c>
      <c r="G609" s="28">
        <v>0</v>
      </c>
      <c r="H609" s="28">
        <v>0</v>
      </c>
      <c r="I609" s="28">
        <v>0</v>
      </c>
      <c r="J609" s="28">
        <v>0</v>
      </c>
      <c r="K609" s="28">
        <v>0</v>
      </c>
      <c r="L609" s="28">
        <v>0</v>
      </c>
      <c r="M609" s="28">
        <v>0</v>
      </c>
      <c r="N609" s="28">
        <v>0</v>
      </c>
      <c r="O609" s="28">
        <v>0</v>
      </c>
      <c r="P609" s="28">
        <v>0</v>
      </c>
      <c r="Q609" s="28">
        <v>0</v>
      </c>
      <c r="R609" s="28">
        <v>0</v>
      </c>
      <c r="S609" s="27">
        <v>0</v>
      </c>
      <c r="T609" s="26" t="s">
        <v>0</v>
      </c>
      <c r="U609" s="9"/>
      <c r="V609" s="12"/>
      <c r="X609" s="10"/>
    </row>
    <row r="610" spans="1:24" s="3" customFormat="1" x14ac:dyDescent="0.25">
      <c r="A610" s="30" t="s">
        <v>65</v>
      </c>
      <c r="B610" s="29" t="s">
        <v>66</v>
      </c>
      <c r="C610" s="29" t="s">
        <v>11</v>
      </c>
      <c r="D610" s="28">
        <f t="shared" ref="D610:R610" si="197">SUM(D611:D611)</f>
        <v>0</v>
      </c>
      <c r="E610" s="28">
        <f t="shared" si="197"/>
        <v>0</v>
      </c>
      <c r="F610" s="28">
        <f t="shared" si="197"/>
        <v>0</v>
      </c>
      <c r="G610" s="28">
        <f t="shared" si="197"/>
        <v>0</v>
      </c>
      <c r="H610" s="28">
        <f t="shared" si="197"/>
        <v>0.47486399999999995</v>
      </c>
      <c r="I610" s="28">
        <f t="shared" si="197"/>
        <v>0</v>
      </c>
      <c r="J610" s="28">
        <f t="shared" si="197"/>
        <v>0.47486399999999995</v>
      </c>
      <c r="K610" s="28">
        <f t="shared" si="197"/>
        <v>0</v>
      </c>
      <c r="L610" s="28">
        <f t="shared" si="197"/>
        <v>0</v>
      </c>
      <c r="M610" s="28">
        <f t="shared" si="197"/>
        <v>0</v>
      </c>
      <c r="N610" s="28">
        <f t="shared" si="197"/>
        <v>0</v>
      </c>
      <c r="O610" s="28">
        <f t="shared" si="197"/>
        <v>0</v>
      </c>
      <c r="P610" s="28">
        <f t="shared" si="197"/>
        <v>0</v>
      </c>
      <c r="Q610" s="28">
        <f t="shared" si="197"/>
        <v>0</v>
      </c>
      <c r="R610" s="28">
        <f t="shared" si="197"/>
        <v>0</v>
      </c>
      <c r="S610" s="27">
        <v>0</v>
      </c>
      <c r="T610" s="26" t="s">
        <v>0</v>
      </c>
      <c r="U610" s="9"/>
      <c r="V610" s="12"/>
      <c r="X610" s="10"/>
    </row>
    <row r="611" spans="1:24" s="3" customFormat="1" ht="31.5" x14ac:dyDescent="0.25">
      <c r="A611" s="21" t="s">
        <v>65</v>
      </c>
      <c r="B611" s="20" t="s">
        <v>64</v>
      </c>
      <c r="C611" s="19" t="s">
        <v>63</v>
      </c>
      <c r="D611" s="16" t="s">
        <v>0</v>
      </c>
      <c r="E611" s="18" t="s">
        <v>0</v>
      </c>
      <c r="F611" s="16" t="s">
        <v>0</v>
      </c>
      <c r="G611" s="16" t="s">
        <v>0</v>
      </c>
      <c r="H611" s="16">
        <f>J611+L611+N611+P611</f>
        <v>0.47486399999999995</v>
      </c>
      <c r="I611" s="16" t="s">
        <v>0</v>
      </c>
      <c r="J611" s="16">
        <v>0.47486399999999995</v>
      </c>
      <c r="K611" s="16" t="s">
        <v>0</v>
      </c>
      <c r="L611" s="16">
        <v>0</v>
      </c>
      <c r="M611" s="16" t="s">
        <v>0</v>
      </c>
      <c r="N611" s="16">
        <v>0</v>
      </c>
      <c r="O611" s="16" t="s">
        <v>0</v>
      </c>
      <c r="P611" s="16">
        <v>0</v>
      </c>
      <c r="Q611" s="16" t="s">
        <v>0</v>
      </c>
      <c r="R611" s="16" t="s">
        <v>0</v>
      </c>
      <c r="S611" s="32" t="s">
        <v>0</v>
      </c>
      <c r="T611" s="22" t="s">
        <v>62</v>
      </c>
      <c r="U611" s="9"/>
      <c r="V611" s="12"/>
      <c r="X611" s="10"/>
    </row>
    <row r="612" spans="1:24" s="3" customFormat="1" x14ac:dyDescent="0.25">
      <c r="A612" s="30" t="s">
        <v>61</v>
      </c>
      <c r="B612" s="29" t="s">
        <v>60</v>
      </c>
      <c r="C612" s="29" t="s">
        <v>11</v>
      </c>
      <c r="D612" s="28">
        <v>0</v>
      </c>
      <c r="E612" s="28">
        <v>0</v>
      </c>
      <c r="F612" s="28">
        <v>0</v>
      </c>
      <c r="G612" s="28">
        <v>0</v>
      </c>
      <c r="H612" s="28">
        <v>0</v>
      </c>
      <c r="I612" s="28">
        <v>0</v>
      </c>
      <c r="J612" s="28">
        <v>0</v>
      </c>
      <c r="K612" s="28">
        <v>0</v>
      </c>
      <c r="L612" s="28">
        <v>0</v>
      </c>
      <c r="M612" s="28">
        <v>0</v>
      </c>
      <c r="N612" s="28">
        <v>0</v>
      </c>
      <c r="O612" s="28">
        <v>0</v>
      </c>
      <c r="P612" s="28">
        <v>0</v>
      </c>
      <c r="Q612" s="28">
        <v>0</v>
      </c>
      <c r="R612" s="28">
        <v>0</v>
      </c>
      <c r="S612" s="27">
        <v>0</v>
      </c>
      <c r="T612" s="26" t="s">
        <v>0</v>
      </c>
      <c r="U612" s="9"/>
      <c r="V612" s="12"/>
      <c r="X612" s="10"/>
    </row>
    <row r="613" spans="1:24" s="3" customFormat="1" ht="31.5" x14ac:dyDescent="0.25">
      <c r="A613" s="30" t="s">
        <v>58</v>
      </c>
      <c r="B613" s="29" t="s">
        <v>59</v>
      </c>
      <c r="C613" s="29" t="s">
        <v>11</v>
      </c>
      <c r="D613" s="28">
        <f t="shared" ref="D613:R613" si="198">SUM(D614:D614)</f>
        <v>73.908922689999997</v>
      </c>
      <c r="E613" s="28">
        <f t="shared" si="198"/>
        <v>66.123666729999997</v>
      </c>
      <c r="F613" s="28">
        <f t="shared" si="198"/>
        <v>7.7852559600000006</v>
      </c>
      <c r="G613" s="28">
        <f t="shared" si="198"/>
        <v>7.7332347039999982</v>
      </c>
      <c r="H613" s="28">
        <f t="shared" si="198"/>
        <v>6.2455323899999993</v>
      </c>
      <c r="I613" s="28">
        <f t="shared" si="198"/>
        <v>7.733234704</v>
      </c>
      <c r="J613" s="28">
        <f t="shared" si="198"/>
        <v>6.2455323899999993</v>
      </c>
      <c r="K613" s="28">
        <f t="shared" si="198"/>
        <v>0</v>
      </c>
      <c r="L613" s="28">
        <f t="shared" si="198"/>
        <v>0</v>
      </c>
      <c r="M613" s="28">
        <f t="shared" si="198"/>
        <v>0</v>
      </c>
      <c r="N613" s="28">
        <f t="shared" si="198"/>
        <v>0</v>
      </c>
      <c r="O613" s="28">
        <f t="shared" si="198"/>
        <v>0</v>
      </c>
      <c r="P613" s="28">
        <f t="shared" si="198"/>
        <v>0</v>
      </c>
      <c r="Q613" s="28">
        <f t="shared" si="198"/>
        <v>1.5397235700000014</v>
      </c>
      <c r="R613" s="28">
        <f t="shared" si="198"/>
        <v>-1.4877023140000007</v>
      </c>
      <c r="S613" s="27">
        <f>R613/(I613+K613+M613)</f>
        <v>-0.19237775277019456</v>
      </c>
      <c r="T613" s="26" t="s">
        <v>0</v>
      </c>
      <c r="U613" s="9"/>
      <c r="V613" s="12"/>
      <c r="X613" s="10"/>
    </row>
    <row r="614" spans="1:24" s="3" customFormat="1" ht="47.25" x14ac:dyDescent="0.25">
      <c r="A614" s="21" t="s">
        <v>58</v>
      </c>
      <c r="B614" s="20" t="s">
        <v>57</v>
      </c>
      <c r="C614" s="19" t="s">
        <v>56</v>
      </c>
      <c r="D614" s="16">
        <v>73.908922689999997</v>
      </c>
      <c r="E614" s="18">
        <v>66.123666729999997</v>
      </c>
      <c r="F614" s="16">
        <f>D614-E614</f>
        <v>7.7852559600000006</v>
      </c>
      <c r="G614" s="17">
        <v>7.7332347039999982</v>
      </c>
      <c r="H614" s="16">
        <f>J614+L614+N614+P614</f>
        <v>6.2455323899999993</v>
      </c>
      <c r="I614" s="16">
        <v>7.733234704</v>
      </c>
      <c r="J614" s="16">
        <v>6.2455323899999993</v>
      </c>
      <c r="K614" s="16">
        <v>0</v>
      </c>
      <c r="L614" s="16">
        <v>0</v>
      </c>
      <c r="M614" s="16">
        <v>0</v>
      </c>
      <c r="N614" s="16">
        <v>0</v>
      </c>
      <c r="O614" s="16">
        <v>0</v>
      </c>
      <c r="P614" s="16">
        <v>0</v>
      </c>
      <c r="Q614" s="16">
        <f>F614-H614</f>
        <v>1.5397235700000014</v>
      </c>
      <c r="R614" s="16">
        <f>H614-(I614+K614+M614)</f>
        <v>-1.4877023140000007</v>
      </c>
      <c r="S614" s="14">
        <f>R614/(I614+K614+M614)</f>
        <v>-0.19237775277019456</v>
      </c>
      <c r="T614" s="22" t="s">
        <v>55</v>
      </c>
      <c r="U614" s="9"/>
      <c r="V614" s="12"/>
      <c r="X614" s="10"/>
    </row>
    <row r="615" spans="1:24" s="3" customFormat="1" ht="31.5" x14ac:dyDescent="0.25">
      <c r="A615" s="30" t="s">
        <v>54</v>
      </c>
      <c r="B615" s="29" t="s">
        <v>53</v>
      </c>
      <c r="C615" s="29" t="s">
        <v>11</v>
      </c>
      <c r="D615" s="28">
        <f t="shared" ref="D615:R615" si="199">D616+D617+D618+D619</f>
        <v>200.95670851099999</v>
      </c>
      <c r="E615" s="28">
        <f t="shared" si="199"/>
        <v>39.835068939999999</v>
      </c>
      <c r="F615" s="28">
        <f t="shared" si="199"/>
        <v>161.12163957099997</v>
      </c>
      <c r="G615" s="28">
        <f t="shared" si="199"/>
        <v>36.3061173412</v>
      </c>
      <c r="H615" s="28">
        <f t="shared" si="199"/>
        <v>6.20274809</v>
      </c>
      <c r="I615" s="28">
        <f t="shared" si="199"/>
        <v>0.63600000000000001</v>
      </c>
      <c r="J615" s="28">
        <f t="shared" si="199"/>
        <v>1.0301960300000002</v>
      </c>
      <c r="K615" s="28">
        <f t="shared" si="199"/>
        <v>4.5688394965199999</v>
      </c>
      <c r="L615" s="28">
        <f t="shared" si="199"/>
        <v>9.3795739999999989E-2</v>
      </c>
      <c r="M615" s="28">
        <f t="shared" si="199"/>
        <v>14.968051383860001</v>
      </c>
      <c r="N615" s="28">
        <f t="shared" si="199"/>
        <v>5.0787563200000001</v>
      </c>
      <c r="O615" s="28">
        <f t="shared" si="199"/>
        <v>16.133226460829999</v>
      </c>
      <c r="P615" s="28">
        <f t="shared" si="199"/>
        <v>0</v>
      </c>
      <c r="Q615" s="28">
        <f t="shared" si="199"/>
        <v>154.918891481</v>
      </c>
      <c r="R615" s="28">
        <f t="shared" si="199"/>
        <v>-13.970142790379999</v>
      </c>
      <c r="S615" s="27">
        <f>R615/(I615+K615+M615)</f>
        <v>-0.69252061458217928</v>
      </c>
      <c r="T615" s="26" t="s">
        <v>0</v>
      </c>
      <c r="U615" s="9"/>
      <c r="V615" s="12"/>
      <c r="X615" s="10"/>
    </row>
    <row r="616" spans="1:24" s="3" customFormat="1" ht="31.5" x14ac:dyDescent="0.25">
      <c r="A616" s="30" t="s">
        <v>52</v>
      </c>
      <c r="B616" s="29" t="s">
        <v>51</v>
      </c>
      <c r="C616" s="29" t="s">
        <v>11</v>
      </c>
      <c r="D616" s="28">
        <v>0</v>
      </c>
      <c r="E616" s="28">
        <v>0</v>
      </c>
      <c r="F616" s="28">
        <v>0</v>
      </c>
      <c r="G616" s="28">
        <v>0</v>
      </c>
      <c r="H616" s="28">
        <v>0</v>
      </c>
      <c r="I616" s="28">
        <v>0</v>
      </c>
      <c r="J616" s="28">
        <v>0</v>
      </c>
      <c r="K616" s="28">
        <v>0</v>
      </c>
      <c r="L616" s="28">
        <v>0</v>
      </c>
      <c r="M616" s="28">
        <v>0</v>
      </c>
      <c r="N616" s="28">
        <v>0</v>
      </c>
      <c r="O616" s="28">
        <v>0</v>
      </c>
      <c r="P616" s="28">
        <v>0</v>
      </c>
      <c r="Q616" s="28">
        <v>0</v>
      </c>
      <c r="R616" s="28">
        <v>0</v>
      </c>
      <c r="S616" s="27">
        <v>0</v>
      </c>
      <c r="T616" s="26" t="s">
        <v>0</v>
      </c>
      <c r="U616" s="9"/>
      <c r="V616" s="12"/>
      <c r="X616" s="10"/>
    </row>
    <row r="617" spans="1:24" s="3" customFormat="1" ht="31.5" x14ac:dyDescent="0.25">
      <c r="A617" s="30" t="s">
        <v>50</v>
      </c>
      <c r="B617" s="29" t="s">
        <v>49</v>
      </c>
      <c r="C617" s="29" t="s">
        <v>11</v>
      </c>
      <c r="D617" s="28">
        <v>0</v>
      </c>
      <c r="E617" s="28">
        <v>0</v>
      </c>
      <c r="F617" s="28">
        <v>0</v>
      </c>
      <c r="G617" s="28">
        <v>0</v>
      </c>
      <c r="H617" s="28">
        <v>0</v>
      </c>
      <c r="I617" s="28">
        <v>0</v>
      </c>
      <c r="J617" s="28">
        <v>0</v>
      </c>
      <c r="K617" s="28">
        <v>0</v>
      </c>
      <c r="L617" s="28">
        <v>0</v>
      </c>
      <c r="M617" s="28">
        <v>0</v>
      </c>
      <c r="N617" s="28">
        <v>0</v>
      </c>
      <c r="O617" s="28">
        <v>0</v>
      </c>
      <c r="P617" s="28">
        <v>0</v>
      </c>
      <c r="Q617" s="28">
        <v>0</v>
      </c>
      <c r="R617" s="28">
        <v>0</v>
      </c>
      <c r="S617" s="27">
        <v>0</v>
      </c>
      <c r="T617" s="26" t="s">
        <v>0</v>
      </c>
      <c r="U617" s="9"/>
      <c r="V617" s="12"/>
      <c r="X617" s="10"/>
    </row>
    <row r="618" spans="1:24" s="3" customFormat="1" ht="31.5" x14ac:dyDescent="0.25">
      <c r="A618" s="30" t="s">
        <v>48</v>
      </c>
      <c r="B618" s="29" t="s">
        <v>47</v>
      </c>
      <c r="C618" s="29" t="s">
        <v>11</v>
      </c>
      <c r="D618" s="28">
        <v>0</v>
      </c>
      <c r="E618" s="28">
        <v>0</v>
      </c>
      <c r="F618" s="28">
        <v>0</v>
      </c>
      <c r="G618" s="28">
        <v>0</v>
      </c>
      <c r="H618" s="28">
        <v>0</v>
      </c>
      <c r="I618" s="28">
        <v>0</v>
      </c>
      <c r="J618" s="28">
        <v>0</v>
      </c>
      <c r="K618" s="28">
        <v>0</v>
      </c>
      <c r="L618" s="28">
        <v>0</v>
      </c>
      <c r="M618" s="28">
        <v>0</v>
      </c>
      <c r="N618" s="28">
        <v>0</v>
      </c>
      <c r="O618" s="28">
        <v>0</v>
      </c>
      <c r="P618" s="28">
        <v>0</v>
      </c>
      <c r="Q618" s="28">
        <v>0</v>
      </c>
      <c r="R618" s="28">
        <v>0</v>
      </c>
      <c r="S618" s="27">
        <v>0</v>
      </c>
      <c r="T618" s="26" t="s">
        <v>0</v>
      </c>
      <c r="U618" s="9"/>
      <c r="V618" s="12"/>
      <c r="X618" s="10"/>
    </row>
    <row r="619" spans="1:24" s="3" customFormat="1" ht="31.5" x14ac:dyDescent="0.25">
      <c r="A619" s="30" t="s">
        <v>39</v>
      </c>
      <c r="B619" s="29" t="s">
        <v>46</v>
      </c>
      <c r="C619" s="29" t="s">
        <v>11</v>
      </c>
      <c r="D619" s="28">
        <f t="shared" ref="D619:R619" si="200">SUM(D620:D622)</f>
        <v>200.95670851099999</v>
      </c>
      <c r="E619" s="28">
        <f t="shared" si="200"/>
        <v>39.835068939999999</v>
      </c>
      <c r="F619" s="28">
        <f t="shared" si="200"/>
        <v>161.12163957099997</v>
      </c>
      <c r="G619" s="28">
        <f t="shared" si="200"/>
        <v>36.3061173412</v>
      </c>
      <c r="H619" s="28">
        <f t="shared" si="200"/>
        <v>6.20274809</v>
      </c>
      <c r="I619" s="28">
        <f t="shared" si="200"/>
        <v>0.63600000000000001</v>
      </c>
      <c r="J619" s="28">
        <f t="shared" si="200"/>
        <v>1.0301960300000002</v>
      </c>
      <c r="K619" s="28">
        <f t="shared" si="200"/>
        <v>4.5688394965199999</v>
      </c>
      <c r="L619" s="28">
        <f t="shared" si="200"/>
        <v>9.3795739999999989E-2</v>
      </c>
      <c r="M619" s="28">
        <f t="shared" si="200"/>
        <v>14.968051383860001</v>
      </c>
      <c r="N619" s="28">
        <f t="shared" si="200"/>
        <v>5.0787563200000001</v>
      </c>
      <c r="O619" s="28">
        <f t="shared" si="200"/>
        <v>16.133226460829999</v>
      </c>
      <c r="P619" s="28">
        <f t="shared" si="200"/>
        <v>0</v>
      </c>
      <c r="Q619" s="28">
        <f t="shared" si="200"/>
        <v>154.918891481</v>
      </c>
      <c r="R619" s="28">
        <f t="shared" si="200"/>
        <v>-13.970142790379999</v>
      </c>
      <c r="S619" s="27">
        <f>R619/(I619+K619+M619)</f>
        <v>-0.69252061458217928</v>
      </c>
      <c r="T619" s="26" t="s">
        <v>0</v>
      </c>
      <c r="U619" s="9"/>
      <c r="V619" s="12"/>
      <c r="X619" s="10"/>
    </row>
    <row r="620" spans="1:24" s="3" customFormat="1" ht="31.5" x14ac:dyDescent="0.25">
      <c r="A620" s="21" t="s">
        <v>39</v>
      </c>
      <c r="B620" s="20" t="s">
        <v>45</v>
      </c>
      <c r="C620" s="19" t="s">
        <v>44</v>
      </c>
      <c r="D620" s="16">
        <v>76.366949172399984</v>
      </c>
      <c r="E620" s="18">
        <v>24.024212940000002</v>
      </c>
      <c r="F620" s="16">
        <f>D620-E620</f>
        <v>52.342736232399986</v>
      </c>
      <c r="G620" s="17">
        <v>3.9872394287999993</v>
      </c>
      <c r="H620" s="16">
        <f>J620+L620+N620+P620</f>
        <v>3.3800217700000004</v>
      </c>
      <c r="I620" s="16">
        <v>0.63600000000000001</v>
      </c>
      <c r="J620" s="16">
        <v>0.9192541700000002</v>
      </c>
      <c r="K620" s="16">
        <v>0.18906785621</v>
      </c>
      <c r="L620" s="16">
        <v>0</v>
      </c>
      <c r="M620" s="16">
        <v>2.9801715725899998</v>
      </c>
      <c r="N620" s="16">
        <v>2.4607676000000001</v>
      </c>
      <c r="O620" s="16">
        <v>0.182</v>
      </c>
      <c r="P620" s="16">
        <v>0</v>
      </c>
      <c r="Q620" s="16">
        <f>F620-H620</f>
        <v>48.962714462399987</v>
      </c>
      <c r="R620" s="16">
        <f>H620-(I620+K620+M620)</f>
        <v>-0.4252176587999994</v>
      </c>
      <c r="S620" s="14">
        <f>R620/(I620+K620+M620)</f>
        <v>-0.11174530979095153</v>
      </c>
      <c r="T620" s="31" t="s">
        <v>43</v>
      </c>
      <c r="U620" s="9"/>
      <c r="V620" s="12"/>
      <c r="X620" s="10"/>
    </row>
    <row r="621" spans="1:24" s="3" customFormat="1" ht="31.5" x14ac:dyDescent="0.25">
      <c r="A621" s="21" t="s">
        <v>39</v>
      </c>
      <c r="B621" s="20" t="s">
        <v>42</v>
      </c>
      <c r="C621" s="19" t="s">
        <v>41</v>
      </c>
      <c r="D621" s="16">
        <v>41.508583590000001</v>
      </c>
      <c r="E621" s="18">
        <v>1.55081055</v>
      </c>
      <c r="F621" s="16">
        <f>D621-E621</f>
        <v>39.957773039999999</v>
      </c>
      <c r="G621" s="17">
        <v>23.342890517600001</v>
      </c>
      <c r="H621" s="16">
        <f>J621+L621+N621+P621</f>
        <v>0.37195021999999994</v>
      </c>
      <c r="I621" s="16">
        <v>0</v>
      </c>
      <c r="J621" s="16">
        <v>0.11094185999999999</v>
      </c>
      <c r="K621" s="16">
        <v>3.19543226465</v>
      </c>
      <c r="L621" s="16">
        <v>9.3795739999999989E-2</v>
      </c>
      <c r="M621" s="16">
        <v>5.8853638331000004</v>
      </c>
      <c r="N621" s="16">
        <v>0.16721261999999998</v>
      </c>
      <c r="O621" s="16">
        <v>14.262094419849999</v>
      </c>
      <c r="P621" s="16">
        <v>0</v>
      </c>
      <c r="Q621" s="16">
        <f>F621-H621</f>
        <v>39.585822819999997</v>
      </c>
      <c r="R621" s="16">
        <f>H621-(I621+K621+M621)</f>
        <v>-8.7088458777499991</v>
      </c>
      <c r="S621" s="14">
        <f>R621/(I621+K621+M621)</f>
        <v>-0.95903991059856963</v>
      </c>
      <c r="T621" s="19" t="s">
        <v>40</v>
      </c>
      <c r="U621" s="9"/>
      <c r="V621" s="12"/>
      <c r="X621" s="10"/>
    </row>
    <row r="622" spans="1:24" s="3" customFormat="1" ht="31.5" x14ac:dyDescent="0.25">
      <c r="A622" s="21" t="s">
        <v>39</v>
      </c>
      <c r="B622" s="20" t="s">
        <v>38</v>
      </c>
      <c r="C622" s="19" t="s">
        <v>37</v>
      </c>
      <c r="D622" s="16">
        <v>83.081175748600003</v>
      </c>
      <c r="E622" s="18">
        <v>14.26004545</v>
      </c>
      <c r="F622" s="16">
        <f>D622-E622</f>
        <v>68.821130298599996</v>
      </c>
      <c r="G622" s="17">
        <v>8.9759873948000006</v>
      </c>
      <c r="H622" s="16">
        <f>J622+L622+N622+P622</f>
        <v>2.4507761000000001</v>
      </c>
      <c r="I622" s="16">
        <v>0</v>
      </c>
      <c r="J622" s="16">
        <v>0</v>
      </c>
      <c r="K622" s="16">
        <v>1.18433937566</v>
      </c>
      <c r="L622" s="16">
        <v>0</v>
      </c>
      <c r="M622" s="16">
        <v>6.1025159781700005</v>
      </c>
      <c r="N622" s="16">
        <v>2.4507761000000001</v>
      </c>
      <c r="O622" s="16">
        <v>1.6891320409800001</v>
      </c>
      <c r="P622" s="16">
        <v>0</v>
      </c>
      <c r="Q622" s="16">
        <f>F622-H622</f>
        <v>66.370354198599998</v>
      </c>
      <c r="R622" s="16">
        <f>H622-(I622+K622+M622)</f>
        <v>-4.8360792538300004</v>
      </c>
      <c r="S622" s="14">
        <f>R622/(I622+K622+M622)</f>
        <v>-0.66367164146988833</v>
      </c>
      <c r="T622" s="22" t="s">
        <v>36</v>
      </c>
      <c r="U622" s="9"/>
      <c r="V622" s="12"/>
      <c r="X622" s="10"/>
    </row>
    <row r="623" spans="1:24" s="3" customFormat="1" ht="47.25" x14ac:dyDescent="0.25">
      <c r="A623" s="30" t="s">
        <v>35</v>
      </c>
      <c r="B623" s="29" t="s">
        <v>34</v>
      </c>
      <c r="C623" s="29" t="s">
        <v>11</v>
      </c>
      <c r="D623" s="28">
        <v>0</v>
      </c>
      <c r="E623" s="28">
        <f t="shared" ref="E623:R623" si="201">E624</f>
        <v>0</v>
      </c>
      <c r="F623" s="28">
        <f t="shared" si="201"/>
        <v>0</v>
      </c>
      <c r="G623" s="28">
        <f t="shared" si="201"/>
        <v>0</v>
      </c>
      <c r="H623" s="28">
        <f t="shared" si="201"/>
        <v>0</v>
      </c>
      <c r="I623" s="28">
        <f t="shared" si="201"/>
        <v>0</v>
      </c>
      <c r="J623" s="28">
        <f t="shared" si="201"/>
        <v>0</v>
      </c>
      <c r="K623" s="28">
        <f t="shared" si="201"/>
        <v>0</v>
      </c>
      <c r="L623" s="28">
        <f t="shared" si="201"/>
        <v>0</v>
      </c>
      <c r="M623" s="28">
        <f t="shared" si="201"/>
        <v>0</v>
      </c>
      <c r="N623" s="28">
        <f t="shared" si="201"/>
        <v>0</v>
      </c>
      <c r="O623" s="28">
        <f t="shared" si="201"/>
        <v>0</v>
      </c>
      <c r="P623" s="28">
        <f t="shared" si="201"/>
        <v>0</v>
      </c>
      <c r="Q623" s="28">
        <f t="shared" si="201"/>
        <v>0</v>
      </c>
      <c r="R623" s="28">
        <f t="shared" si="201"/>
        <v>0</v>
      </c>
      <c r="S623" s="27">
        <v>0</v>
      </c>
      <c r="T623" s="26" t="s">
        <v>0</v>
      </c>
      <c r="U623" s="9"/>
      <c r="V623" s="12"/>
      <c r="X623" s="10"/>
    </row>
    <row r="624" spans="1:24" s="3" customFormat="1" x14ac:dyDescent="0.25">
      <c r="A624" s="30" t="s">
        <v>33</v>
      </c>
      <c r="B624" s="29" t="s">
        <v>29</v>
      </c>
      <c r="C624" s="29" t="s">
        <v>11</v>
      </c>
      <c r="D624" s="28">
        <v>0</v>
      </c>
      <c r="E624" s="28">
        <f t="shared" ref="E624:R624" si="202">E625+E626</f>
        <v>0</v>
      </c>
      <c r="F624" s="28">
        <f t="shared" si="202"/>
        <v>0</v>
      </c>
      <c r="G624" s="28">
        <f t="shared" si="202"/>
        <v>0</v>
      </c>
      <c r="H624" s="28">
        <f t="shared" si="202"/>
        <v>0</v>
      </c>
      <c r="I624" s="28">
        <f t="shared" si="202"/>
        <v>0</v>
      </c>
      <c r="J624" s="28">
        <f t="shared" si="202"/>
        <v>0</v>
      </c>
      <c r="K624" s="28">
        <f t="shared" si="202"/>
        <v>0</v>
      </c>
      <c r="L624" s="28">
        <f t="shared" si="202"/>
        <v>0</v>
      </c>
      <c r="M624" s="28">
        <f t="shared" si="202"/>
        <v>0</v>
      </c>
      <c r="N624" s="28">
        <f t="shared" si="202"/>
        <v>0</v>
      </c>
      <c r="O624" s="28">
        <f t="shared" si="202"/>
        <v>0</v>
      </c>
      <c r="P624" s="28">
        <f t="shared" si="202"/>
        <v>0</v>
      </c>
      <c r="Q624" s="28">
        <f t="shared" si="202"/>
        <v>0</v>
      </c>
      <c r="R624" s="28">
        <f t="shared" si="202"/>
        <v>0</v>
      </c>
      <c r="S624" s="27">
        <v>0</v>
      </c>
      <c r="T624" s="26" t="s">
        <v>0</v>
      </c>
      <c r="U624" s="9"/>
      <c r="V624" s="12"/>
      <c r="X624" s="10"/>
    </row>
    <row r="625" spans="1:24" s="3" customFormat="1" ht="47.25" x14ac:dyDescent="0.25">
      <c r="A625" s="30" t="s">
        <v>32</v>
      </c>
      <c r="B625" s="29" t="s">
        <v>27</v>
      </c>
      <c r="C625" s="29" t="s">
        <v>11</v>
      </c>
      <c r="D625" s="28">
        <v>0</v>
      </c>
      <c r="E625" s="28">
        <v>0</v>
      </c>
      <c r="F625" s="28">
        <v>0</v>
      </c>
      <c r="G625" s="28">
        <v>0</v>
      </c>
      <c r="H625" s="28">
        <v>0</v>
      </c>
      <c r="I625" s="28">
        <v>0</v>
      </c>
      <c r="J625" s="28">
        <v>0</v>
      </c>
      <c r="K625" s="28">
        <v>0</v>
      </c>
      <c r="L625" s="28">
        <v>0</v>
      </c>
      <c r="M625" s="28">
        <v>0</v>
      </c>
      <c r="N625" s="28">
        <v>0</v>
      </c>
      <c r="O625" s="28">
        <v>0</v>
      </c>
      <c r="P625" s="28">
        <v>0</v>
      </c>
      <c r="Q625" s="28">
        <v>0</v>
      </c>
      <c r="R625" s="28">
        <v>0</v>
      </c>
      <c r="S625" s="27">
        <v>0</v>
      </c>
      <c r="T625" s="26" t="s">
        <v>0</v>
      </c>
      <c r="U625" s="9"/>
      <c r="V625" s="12"/>
      <c r="X625" s="10"/>
    </row>
    <row r="626" spans="1:24" s="3" customFormat="1" ht="47.25" x14ac:dyDescent="0.25">
      <c r="A626" s="30" t="s">
        <v>31</v>
      </c>
      <c r="B626" s="29" t="s">
        <v>25</v>
      </c>
      <c r="C626" s="29" t="s">
        <v>11</v>
      </c>
      <c r="D626" s="28">
        <v>0</v>
      </c>
      <c r="E626" s="28">
        <v>0</v>
      </c>
      <c r="F626" s="28">
        <v>0</v>
      </c>
      <c r="G626" s="28">
        <v>0</v>
      </c>
      <c r="H626" s="28">
        <v>0</v>
      </c>
      <c r="I626" s="28">
        <v>0</v>
      </c>
      <c r="J626" s="28">
        <v>0</v>
      </c>
      <c r="K626" s="28">
        <v>0</v>
      </c>
      <c r="L626" s="28">
        <v>0</v>
      </c>
      <c r="M626" s="28">
        <v>0</v>
      </c>
      <c r="N626" s="28">
        <v>0</v>
      </c>
      <c r="O626" s="28">
        <v>0</v>
      </c>
      <c r="P626" s="28">
        <v>0</v>
      </c>
      <c r="Q626" s="28">
        <v>0</v>
      </c>
      <c r="R626" s="28">
        <v>0</v>
      </c>
      <c r="S626" s="27">
        <v>0</v>
      </c>
      <c r="T626" s="26" t="s">
        <v>0</v>
      </c>
      <c r="U626" s="9"/>
      <c r="V626" s="12"/>
      <c r="X626" s="10"/>
    </row>
    <row r="627" spans="1:24" s="3" customFormat="1" x14ac:dyDescent="0.25">
      <c r="A627" s="30" t="s">
        <v>30</v>
      </c>
      <c r="B627" s="29" t="s">
        <v>29</v>
      </c>
      <c r="C627" s="29" t="s">
        <v>11</v>
      </c>
      <c r="D627" s="28">
        <v>0</v>
      </c>
      <c r="E627" s="28">
        <v>0</v>
      </c>
      <c r="F627" s="28">
        <v>0</v>
      </c>
      <c r="G627" s="28">
        <v>0</v>
      </c>
      <c r="H627" s="28">
        <v>0</v>
      </c>
      <c r="I627" s="28">
        <v>0</v>
      </c>
      <c r="J627" s="28">
        <v>0</v>
      </c>
      <c r="K627" s="28">
        <v>0</v>
      </c>
      <c r="L627" s="28">
        <v>0</v>
      </c>
      <c r="M627" s="28">
        <v>0</v>
      </c>
      <c r="N627" s="28">
        <v>0</v>
      </c>
      <c r="O627" s="28">
        <v>0</v>
      </c>
      <c r="P627" s="28">
        <v>0</v>
      </c>
      <c r="Q627" s="28">
        <v>0</v>
      </c>
      <c r="R627" s="28">
        <v>0</v>
      </c>
      <c r="S627" s="27">
        <v>0</v>
      </c>
      <c r="T627" s="26" t="s">
        <v>0</v>
      </c>
      <c r="U627" s="9"/>
      <c r="V627" s="12"/>
      <c r="X627" s="10"/>
    </row>
    <row r="628" spans="1:24" s="3" customFormat="1" ht="47.25" x14ac:dyDescent="0.25">
      <c r="A628" s="30" t="s">
        <v>28</v>
      </c>
      <c r="B628" s="29" t="s">
        <v>27</v>
      </c>
      <c r="C628" s="29" t="s">
        <v>11</v>
      </c>
      <c r="D628" s="28">
        <v>0</v>
      </c>
      <c r="E628" s="28">
        <v>0</v>
      </c>
      <c r="F628" s="28">
        <v>0</v>
      </c>
      <c r="G628" s="28">
        <v>0</v>
      </c>
      <c r="H628" s="28">
        <v>0</v>
      </c>
      <c r="I628" s="28">
        <v>0</v>
      </c>
      <c r="J628" s="28">
        <v>0</v>
      </c>
      <c r="K628" s="28">
        <v>0</v>
      </c>
      <c r="L628" s="28">
        <v>0</v>
      </c>
      <c r="M628" s="28">
        <v>0</v>
      </c>
      <c r="N628" s="28">
        <v>0</v>
      </c>
      <c r="O628" s="28">
        <v>0</v>
      </c>
      <c r="P628" s="28">
        <v>0</v>
      </c>
      <c r="Q628" s="28">
        <v>0</v>
      </c>
      <c r="R628" s="28">
        <v>0</v>
      </c>
      <c r="S628" s="27">
        <v>0</v>
      </c>
      <c r="T628" s="26" t="s">
        <v>0</v>
      </c>
      <c r="U628" s="9"/>
      <c r="V628" s="12"/>
      <c r="X628" s="10"/>
    </row>
    <row r="629" spans="1:24" s="3" customFormat="1" ht="47.25" x14ac:dyDescent="0.25">
      <c r="A629" s="30" t="s">
        <v>26</v>
      </c>
      <c r="B629" s="29" t="s">
        <v>25</v>
      </c>
      <c r="C629" s="29" t="s">
        <v>11</v>
      </c>
      <c r="D629" s="28">
        <v>0</v>
      </c>
      <c r="E629" s="28">
        <v>0</v>
      </c>
      <c r="F629" s="28">
        <v>0</v>
      </c>
      <c r="G629" s="28">
        <v>0</v>
      </c>
      <c r="H629" s="28">
        <v>0</v>
      </c>
      <c r="I629" s="28">
        <v>0</v>
      </c>
      <c r="J629" s="28">
        <v>0</v>
      </c>
      <c r="K629" s="28">
        <v>0</v>
      </c>
      <c r="L629" s="28">
        <v>0</v>
      </c>
      <c r="M629" s="28">
        <v>0</v>
      </c>
      <c r="N629" s="28">
        <v>0</v>
      </c>
      <c r="O629" s="28">
        <v>0</v>
      </c>
      <c r="P629" s="28">
        <v>0</v>
      </c>
      <c r="Q629" s="28">
        <v>0</v>
      </c>
      <c r="R629" s="28">
        <v>0</v>
      </c>
      <c r="S629" s="27">
        <v>0</v>
      </c>
      <c r="T629" s="26" t="s">
        <v>0</v>
      </c>
      <c r="U629" s="9"/>
      <c r="V629" s="12"/>
      <c r="X629" s="10"/>
    </row>
    <row r="630" spans="1:24" s="3" customFormat="1" x14ac:dyDescent="0.25">
      <c r="A630" s="30" t="s">
        <v>24</v>
      </c>
      <c r="B630" s="29" t="s">
        <v>23</v>
      </c>
      <c r="C630" s="29" t="s">
        <v>11</v>
      </c>
      <c r="D630" s="28">
        <f t="shared" ref="D630:R630" si="203">SUM(D631,D632,D633,D634)</f>
        <v>0</v>
      </c>
      <c r="E630" s="28">
        <f t="shared" si="203"/>
        <v>0</v>
      </c>
      <c r="F630" s="28">
        <f t="shared" si="203"/>
        <v>0</v>
      </c>
      <c r="G630" s="28">
        <f t="shared" si="203"/>
        <v>0</v>
      </c>
      <c r="H630" s="28">
        <f t="shared" si="203"/>
        <v>0</v>
      </c>
      <c r="I630" s="28">
        <f t="shared" si="203"/>
        <v>0</v>
      </c>
      <c r="J630" s="28">
        <f t="shared" si="203"/>
        <v>0</v>
      </c>
      <c r="K630" s="28">
        <f t="shared" si="203"/>
        <v>0</v>
      </c>
      <c r="L630" s="28">
        <f t="shared" si="203"/>
        <v>0</v>
      </c>
      <c r="M630" s="28">
        <f t="shared" si="203"/>
        <v>0</v>
      </c>
      <c r="N630" s="28">
        <f t="shared" si="203"/>
        <v>0</v>
      </c>
      <c r="O630" s="28">
        <f t="shared" si="203"/>
        <v>0</v>
      </c>
      <c r="P630" s="28">
        <f t="shared" si="203"/>
        <v>0</v>
      </c>
      <c r="Q630" s="28">
        <f t="shared" si="203"/>
        <v>0</v>
      </c>
      <c r="R630" s="28">
        <f t="shared" si="203"/>
        <v>0</v>
      </c>
      <c r="S630" s="27">
        <v>0</v>
      </c>
      <c r="T630" s="26" t="s">
        <v>0</v>
      </c>
      <c r="U630" s="9"/>
      <c r="V630" s="12"/>
      <c r="X630" s="10"/>
    </row>
    <row r="631" spans="1:24" s="3" customFormat="1" ht="31.5" x14ac:dyDescent="0.25">
      <c r="A631" s="30" t="s">
        <v>22</v>
      </c>
      <c r="B631" s="29" t="s">
        <v>21</v>
      </c>
      <c r="C631" s="29" t="s">
        <v>11</v>
      </c>
      <c r="D631" s="28">
        <v>0</v>
      </c>
      <c r="E631" s="28">
        <v>0</v>
      </c>
      <c r="F631" s="28">
        <v>0</v>
      </c>
      <c r="G631" s="28">
        <v>0</v>
      </c>
      <c r="H631" s="28">
        <v>0</v>
      </c>
      <c r="I631" s="28">
        <v>0</v>
      </c>
      <c r="J631" s="28">
        <v>0</v>
      </c>
      <c r="K631" s="28">
        <v>0</v>
      </c>
      <c r="L631" s="28">
        <v>0</v>
      </c>
      <c r="M631" s="28">
        <v>0</v>
      </c>
      <c r="N631" s="28">
        <v>0</v>
      </c>
      <c r="O631" s="28">
        <v>0</v>
      </c>
      <c r="P631" s="28">
        <v>0</v>
      </c>
      <c r="Q631" s="28">
        <v>0</v>
      </c>
      <c r="R631" s="28">
        <v>0</v>
      </c>
      <c r="S631" s="27">
        <v>0</v>
      </c>
      <c r="T631" s="26" t="s">
        <v>0</v>
      </c>
      <c r="U631" s="9"/>
      <c r="V631" s="12"/>
      <c r="X631" s="10"/>
    </row>
    <row r="632" spans="1:24" s="3" customFormat="1" x14ac:dyDescent="0.25">
      <c r="A632" s="30" t="s">
        <v>20</v>
      </c>
      <c r="B632" s="29" t="s">
        <v>19</v>
      </c>
      <c r="C632" s="29" t="s">
        <v>11</v>
      </c>
      <c r="D632" s="28">
        <v>0</v>
      </c>
      <c r="E632" s="28">
        <v>0</v>
      </c>
      <c r="F632" s="28">
        <v>0</v>
      </c>
      <c r="G632" s="28">
        <v>0</v>
      </c>
      <c r="H632" s="28">
        <v>0</v>
      </c>
      <c r="I632" s="28">
        <v>0</v>
      </c>
      <c r="J632" s="28">
        <v>0</v>
      </c>
      <c r="K632" s="28">
        <v>0</v>
      </c>
      <c r="L632" s="28">
        <v>0</v>
      </c>
      <c r="M632" s="28">
        <v>0</v>
      </c>
      <c r="N632" s="28">
        <v>0</v>
      </c>
      <c r="O632" s="28">
        <v>0</v>
      </c>
      <c r="P632" s="28">
        <v>0</v>
      </c>
      <c r="Q632" s="28">
        <v>0</v>
      </c>
      <c r="R632" s="28">
        <v>0</v>
      </c>
      <c r="S632" s="27">
        <v>0</v>
      </c>
      <c r="T632" s="26" t="s">
        <v>0</v>
      </c>
      <c r="U632" s="9"/>
      <c r="V632" s="12"/>
      <c r="X632" s="10"/>
    </row>
    <row r="633" spans="1:24" s="3" customFormat="1" x14ac:dyDescent="0.25">
      <c r="A633" s="30" t="s">
        <v>18</v>
      </c>
      <c r="B633" s="29" t="s">
        <v>17</v>
      </c>
      <c r="C633" s="29" t="s">
        <v>11</v>
      </c>
      <c r="D633" s="28">
        <v>0</v>
      </c>
      <c r="E633" s="28">
        <v>0</v>
      </c>
      <c r="F633" s="28">
        <v>0</v>
      </c>
      <c r="G633" s="28">
        <v>0</v>
      </c>
      <c r="H633" s="28">
        <v>0</v>
      </c>
      <c r="I633" s="28">
        <v>0</v>
      </c>
      <c r="J633" s="28">
        <v>0</v>
      </c>
      <c r="K633" s="28">
        <v>0</v>
      </c>
      <c r="L633" s="28">
        <v>0</v>
      </c>
      <c r="M633" s="28">
        <v>0</v>
      </c>
      <c r="N633" s="28">
        <v>0</v>
      </c>
      <c r="O633" s="28">
        <v>0</v>
      </c>
      <c r="P633" s="28">
        <v>0</v>
      </c>
      <c r="Q633" s="28">
        <v>0</v>
      </c>
      <c r="R633" s="28">
        <v>0</v>
      </c>
      <c r="S633" s="27">
        <v>0</v>
      </c>
      <c r="T633" s="26" t="s">
        <v>0</v>
      </c>
      <c r="U633" s="9"/>
      <c r="V633" s="12"/>
      <c r="X633" s="10"/>
    </row>
    <row r="634" spans="1:24" s="3" customFormat="1" x14ac:dyDescent="0.25">
      <c r="A634" s="30" t="s">
        <v>16</v>
      </c>
      <c r="B634" s="29" t="s">
        <v>15</v>
      </c>
      <c r="C634" s="29" t="s">
        <v>11</v>
      </c>
      <c r="D634" s="28">
        <v>0</v>
      </c>
      <c r="E634" s="28">
        <v>0</v>
      </c>
      <c r="F634" s="28">
        <v>0</v>
      </c>
      <c r="G634" s="28">
        <v>0</v>
      </c>
      <c r="H634" s="28">
        <v>0</v>
      </c>
      <c r="I634" s="28">
        <v>0</v>
      </c>
      <c r="J634" s="28">
        <v>0</v>
      </c>
      <c r="K634" s="28">
        <v>0</v>
      </c>
      <c r="L634" s="28">
        <v>0</v>
      </c>
      <c r="M634" s="28">
        <v>0</v>
      </c>
      <c r="N634" s="28">
        <v>0</v>
      </c>
      <c r="O634" s="28">
        <v>0</v>
      </c>
      <c r="P634" s="28">
        <v>0</v>
      </c>
      <c r="Q634" s="28">
        <v>0</v>
      </c>
      <c r="R634" s="28">
        <v>0</v>
      </c>
      <c r="S634" s="27">
        <v>0</v>
      </c>
      <c r="T634" s="26" t="s">
        <v>0</v>
      </c>
      <c r="U634" s="9"/>
      <c r="V634" s="12"/>
      <c r="X634" s="10"/>
    </row>
    <row r="635" spans="1:24" s="3" customFormat="1" ht="31.5" x14ac:dyDescent="0.25">
      <c r="A635" s="30" t="s">
        <v>14</v>
      </c>
      <c r="B635" s="29" t="s">
        <v>13</v>
      </c>
      <c r="C635" s="29" t="s">
        <v>11</v>
      </c>
      <c r="D635" s="28">
        <v>0</v>
      </c>
      <c r="E635" s="28">
        <v>0</v>
      </c>
      <c r="F635" s="28">
        <v>0</v>
      </c>
      <c r="G635" s="28">
        <v>0</v>
      </c>
      <c r="H635" s="28">
        <v>0</v>
      </c>
      <c r="I635" s="28">
        <v>0</v>
      </c>
      <c r="J635" s="28">
        <v>0</v>
      </c>
      <c r="K635" s="28">
        <v>0</v>
      </c>
      <c r="L635" s="28">
        <v>0</v>
      </c>
      <c r="M635" s="28">
        <v>0</v>
      </c>
      <c r="N635" s="28">
        <v>0</v>
      </c>
      <c r="O635" s="28">
        <v>0</v>
      </c>
      <c r="P635" s="28">
        <v>0</v>
      </c>
      <c r="Q635" s="28">
        <v>0</v>
      </c>
      <c r="R635" s="28">
        <v>0</v>
      </c>
      <c r="S635" s="27">
        <v>0</v>
      </c>
      <c r="T635" s="26" t="s">
        <v>0</v>
      </c>
      <c r="U635" s="9"/>
      <c r="V635" s="12"/>
      <c r="X635" s="10"/>
    </row>
    <row r="636" spans="1:24" s="3" customFormat="1" x14ac:dyDescent="0.25">
      <c r="A636" s="30" t="s">
        <v>5</v>
      </c>
      <c r="B636" s="29" t="s">
        <v>12</v>
      </c>
      <c r="C636" s="29" t="s">
        <v>11</v>
      </c>
      <c r="D636" s="28">
        <f t="shared" ref="D636:R636" si="204">SUM(D637:D639,)</f>
        <v>7.2815999999999992</v>
      </c>
      <c r="E636" s="28">
        <f t="shared" si="204"/>
        <v>0</v>
      </c>
      <c r="F636" s="28">
        <f t="shared" si="204"/>
        <v>7.2815999999999992</v>
      </c>
      <c r="G636" s="28">
        <f t="shared" si="204"/>
        <v>7.2815999999999992</v>
      </c>
      <c r="H636" s="28">
        <f t="shared" si="204"/>
        <v>6.2377015599999996</v>
      </c>
      <c r="I636" s="28">
        <f t="shared" si="204"/>
        <v>0</v>
      </c>
      <c r="J636" s="28">
        <f t="shared" si="204"/>
        <v>0</v>
      </c>
      <c r="K636" s="28">
        <f t="shared" si="204"/>
        <v>0</v>
      </c>
      <c r="L636" s="28">
        <f t="shared" si="204"/>
        <v>3.0555571599999998</v>
      </c>
      <c r="M636" s="28">
        <f t="shared" si="204"/>
        <v>0</v>
      </c>
      <c r="N636" s="28">
        <f t="shared" si="204"/>
        <v>3.1821443999999999</v>
      </c>
      <c r="O636" s="28">
        <f t="shared" si="204"/>
        <v>7.2815999999999992</v>
      </c>
      <c r="P636" s="28">
        <f t="shared" si="204"/>
        <v>0</v>
      </c>
      <c r="Q636" s="28">
        <f t="shared" si="204"/>
        <v>1.04389844</v>
      </c>
      <c r="R636" s="28">
        <f t="shared" si="204"/>
        <v>6.2377015599999996</v>
      </c>
      <c r="S636" s="27">
        <v>1</v>
      </c>
      <c r="T636" s="26" t="s">
        <v>0</v>
      </c>
      <c r="U636" s="9"/>
      <c r="V636" s="12"/>
      <c r="X636" s="10"/>
    </row>
    <row r="637" spans="1:24" s="3" customFormat="1" ht="42" customHeight="1" x14ac:dyDescent="0.25">
      <c r="A637" s="25" t="s">
        <v>5</v>
      </c>
      <c r="B637" s="24" t="s">
        <v>10</v>
      </c>
      <c r="C637" s="23" t="s">
        <v>9</v>
      </c>
      <c r="D637" s="16">
        <v>3.4415999999999998</v>
      </c>
      <c r="E637" s="18">
        <v>0</v>
      </c>
      <c r="F637" s="16">
        <f>D637-E637</f>
        <v>3.4415999999999998</v>
      </c>
      <c r="G637" s="17">
        <v>3.4415999999999998</v>
      </c>
      <c r="H637" s="16">
        <f>J637+L637+N637+P637</f>
        <v>3.0555571599999998</v>
      </c>
      <c r="I637" s="16">
        <v>0</v>
      </c>
      <c r="J637" s="16">
        <v>0</v>
      </c>
      <c r="K637" s="16">
        <v>0</v>
      </c>
      <c r="L637" s="16">
        <v>3.0555571599999998</v>
      </c>
      <c r="M637" s="16">
        <v>0</v>
      </c>
      <c r="N637" s="16">
        <v>0</v>
      </c>
      <c r="O637" s="16">
        <v>3.4415999999999998</v>
      </c>
      <c r="P637" s="16">
        <v>0</v>
      </c>
      <c r="Q637" s="16">
        <f>F637-H637</f>
        <v>0.38604284</v>
      </c>
      <c r="R637" s="16">
        <f>H637-(I637+K637+M637)</f>
        <v>3.0555571599999998</v>
      </c>
      <c r="S637" s="14">
        <v>1</v>
      </c>
      <c r="T637" s="13" t="s">
        <v>2</v>
      </c>
      <c r="U637" s="9"/>
      <c r="V637" s="12"/>
      <c r="X637" s="10"/>
    </row>
    <row r="638" spans="1:24" s="3" customFormat="1" ht="37.5" customHeight="1" x14ac:dyDescent="0.25">
      <c r="A638" s="21" t="s">
        <v>5</v>
      </c>
      <c r="B638" s="20" t="s">
        <v>8</v>
      </c>
      <c r="C638" s="19" t="s">
        <v>7</v>
      </c>
      <c r="D638" s="16">
        <v>2.4</v>
      </c>
      <c r="E638" s="18">
        <v>0</v>
      </c>
      <c r="F638" s="16">
        <f>D638-E638</f>
        <v>2.4</v>
      </c>
      <c r="G638" s="17">
        <v>2.4</v>
      </c>
      <c r="H638" s="16">
        <f>J638+L638+N638+P638</f>
        <v>2.9484119999999998</v>
      </c>
      <c r="I638" s="16">
        <v>0</v>
      </c>
      <c r="J638" s="16">
        <v>0</v>
      </c>
      <c r="K638" s="16">
        <v>0</v>
      </c>
      <c r="L638" s="16">
        <v>0</v>
      </c>
      <c r="M638" s="16">
        <v>0</v>
      </c>
      <c r="N638" s="16">
        <v>2.9484119999999998</v>
      </c>
      <c r="O638" s="16">
        <v>2.4</v>
      </c>
      <c r="P638" s="16">
        <v>0</v>
      </c>
      <c r="Q638" s="16">
        <f>F638-H638</f>
        <v>-0.5484119999999999</v>
      </c>
      <c r="R638" s="16">
        <f>H638-(I638+K638+M638)</f>
        <v>2.9484119999999998</v>
      </c>
      <c r="S638" s="14">
        <v>1</v>
      </c>
      <c r="T638" s="22" t="s">
        <v>6</v>
      </c>
      <c r="U638" s="9"/>
      <c r="V638" s="12"/>
      <c r="X638" s="10"/>
    </row>
    <row r="639" spans="1:24" s="3" customFormat="1" ht="31.5" x14ac:dyDescent="0.25">
      <c r="A639" s="21" t="s">
        <v>5</v>
      </c>
      <c r="B639" s="20" t="s">
        <v>4</v>
      </c>
      <c r="C639" s="19" t="s">
        <v>3</v>
      </c>
      <c r="D639" s="16">
        <v>1.44</v>
      </c>
      <c r="E639" s="18">
        <v>0</v>
      </c>
      <c r="F639" s="16">
        <f>D639-E639</f>
        <v>1.44</v>
      </c>
      <c r="G639" s="17">
        <v>1.44</v>
      </c>
      <c r="H639" s="16">
        <f>J639+L639+N639+P639</f>
        <v>0.23373240000000001</v>
      </c>
      <c r="I639" s="16">
        <v>0</v>
      </c>
      <c r="J639" s="16">
        <v>0</v>
      </c>
      <c r="K639" s="16">
        <v>0</v>
      </c>
      <c r="L639" s="16">
        <v>0</v>
      </c>
      <c r="M639" s="16">
        <v>0</v>
      </c>
      <c r="N639" s="16">
        <v>0.23373240000000001</v>
      </c>
      <c r="O639" s="16">
        <v>1.44</v>
      </c>
      <c r="P639" s="16">
        <v>0</v>
      </c>
      <c r="Q639" s="16">
        <f>F639-H639</f>
        <v>1.2062675999999999</v>
      </c>
      <c r="R639" s="16">
        <f>H639-(I639+K639+M639)</f>
        <v>0.23373240000000001</v>
      </c>
      <c r="S639" s="14">
        <v>1</v>
      </c>
      <c r="T639" s="13" t="s">
        <v>2</v>
      </c>
      <c r="U639" s="9"/>
      <c r="V639" s="12"/>
      <c r="X639" s="10"/>
    </row>
    <row r="640" spans="1:24" s="3" customFormat="1" x14ac:dyDescent="0.25">
      <c r="H640" s="11"/>
      <c r="L640" s="7"/>
      <c r="N640" s="7"/>
      <c r="T640" s="5"/>
      <c r="X640" s="10"/>
    </row>
    <row r="641" spans="8:28" s="3" customFormat="1" x14ac:dyDescent="0.25">
      <c r="H641" s="8"/>
      <c r="J641" s="7"/>
      <c r="L641" s="7"/>
      <c r="N641" s="6"/>
      <c r="P641" s="6"/>
      <c r="T641" s="5"/>
      <c r="X641" s="9"/>
      <c r="AA641" s="4"/>
      <c r="AB641" s="4"/>
    </row>
    <row r="642" spans="8:28" s="3" customFormat="1" x14ac:dyDescent="0.25">
      <c r="H642" s="8"/>
      <c r="J642" s="7"/>
      <c r="L642" s="7"/>
      <c r="N642" s="6"/>
      <c r="P642" s="6"/>
      <c r="T642" s="5"/>
      <c r="AA642" s="4"/>
      <c r="AB642" s="4"/>
    </row>
  </sheetData>
  <mergeCells count="25">
    <mergeCell ref="B16:B18"/>
    <mergeCell ref="C16:C18"/>
    <mergeCell ref="T16:T18"/>
    <mergeCell ref="G17:H17"/>
    <mergeCell ref="R16:S16"/>
    <mergeCell ref="M17:N17"/>
    <mergeCell ref="K17:L17"/>
    <mergeCell ref="G16:P16"/>
    <mergeCell ref="O17:P17"/>
    <mergeCell ref="A13:T13"/>
    <mergeCell ref="A14:T14"/>
    <mergeCell ref="D16:D18"/>
    <mergeCell ref="A5:T5"/>
    <mergeCell ref="A6:T6"/>
    <mergeCell ref="A8:T8"/>
    <mergeCell ref="A9:T9"/>
    <mergeCell ref="A11:T11"/>
    <mergeCell ref="R17:R18"/>
    <mergeCell ref="S17:S18"/>
    <mergeCell ref="E16:E18"/>
    <mergeCell ref="A15:T15"/>
    <mergeCell ref="F16:F18"/>
    <mergeCell ref="Q16:Q18"/>
    <mergeCell ref="I17:J17"/>
    <mergeCell ref="A16:A18"/>
  </mergeCells>
  <conditionalFormatting sqref="A311:B311 A387:B387 A434:B435 A430:B431 E148 T151:T152 D147:E147 A151:F153 A55:C57 D52:G54 D76:G77 E72:E75 D134:G137 A154:A155 C154:F155 A213:C226 A271:C273 N387:P387 T413 A427:C429 T443 A511:C518 T554:T556 A555:C556 T622:T636 G611:G613 A41:C41 E41:F41 A45:C51 A65:C65 E65:F65 A565:H576 A86:E87 J300:J304 J413 J387 J317 J132:J137 J142:J147 J427:J435 J72:J90 L339:L345 L353 L363 L371 J381:J385 L407 L392:L401 L317 L427:L431 L506 L384:L385 L330:L332 L434:L435 L300:L304 N612:R613 N300:R304 N434:R435 N271:R275 N145:P145 N552:P556 N509:R522 N427:R431 N420:R423 N317:P317 N308:R309 N142:R144 N109:R109 N76:R77 N526:R528 N146:R146 N577:P577 N310:P310 N578:R578 N363:P363 N90:R90 N545:R545 N565:R576 N523:P525 N279:P294 N276:P276 N346:P346 N381:P385 N563:P564 A538:C543 A537 L537 J537 N277:R277 F607:G610 A300:H304 D413:E413 D387:E387 A381:E385 A142:H144 A308:H309 C20:T20 A89:E89 D88:E88 A118:E123 D117:E117 A128:E128 D124:E127 J271:J277 L271:L277 A295:R297 A529:C536 J438:J535 A21:T21 N55:P59 T68:T70 A68:F69 I68:P70 N78:P89 A92:C100 A102:C106 A110:E116 N235:P242 D337:R337 J363 D362:R362 D364:R364 D70:E70 D78:E85 F70:F75 F78:G78 F138 F147:F148 D149:R149 A161:E177 F158:F177 D227:R229 D271:H275 D330:H332 D363:F363 D427:H431 F436:F508 D509:I522 F537 D539:H539 D552:E556 A563:E564 F552:F564 F637:F639 N52:R54 N64:R64 D231:R232 D230:F230 D234:R234 D233:F233 N537:P537 N541:P544 N549:R550 N547:P548 E45:F49 E55:F55 F60:H61 E58:E63 F58:F59 D64:H64 D60:D63 F62:F63 F79:F80 F82 D90:H90 F84:F89 D109:J109 D92:F108 F110:F122 I110:J122 I124:J128 F124:F131 D145:F145 D146:H146 D150:F150 I150:P155 D222:F226 I222:P226 I230:P230 I233:P233 D235:F238 I235:M238 D240:F242 I240:M242 D250:R252 D253:F260 D277:H277 D276:F276 D279:F294 D310:F310 D333:F333 D344:H345 D420:H423 D434:H435 D432:F433 I444:I508 D523:F525 I523:I525 I530:I532 D530:F532 D541:F544 D545:H545 D549:H550 D547:F548 D577:F577 D623:H636 E56:H57 F67:H67 G72:H72 H76:H78 F81:H81 F83:H83 F123:J123 A132:H133 H134:H138 G158:H158 D239:M239 G355:H356 G361:H361 G413:H413 D526:I529 D578:H578 A66:R66 D91:R91 D243:R244 L279:L294 J279:J294 D278:R278 D536:R536 J547:J550 L547:L550 D546:R546 L552:L556 J552:J556 D551:R551 J539 L539 D538:R538 N539 P539:Q539 L541:L545 J541:J545 D540:R540 A22:R39 T22:T39 T41:T42 T76:T82 S82 T86:T91 T154:T157 T149 T146 T142:T144 T295:T297 T308:T309 T271:T278 T300:T305 N311:T311 T381:T384 T427:T431 T509:T522 T434:T435 T525:T528 T545:T551 S612:S614 A156:R157 E50:G51 A44:R44 H50:H54 N61:P63 N65:P65 L72:L90 I92:L108 K109:L128 M107:M128 M92:P106 N107:P108 N110:P128 L132:L137 N132:P133 L142:L147 N147:P147 I161:P177 N606:P606 N45:P51 A43:P43 I41:N41 P41 L508:L524 N413:P413 N432:P433 N438:P508 J622:J636 I45:M65 D533:I535 K526:L535 M444:M535 N529:P535 D386:R386 T530:T536 T538 T540:T543 T386 T44 T52:T57 T64 T66 T612:T613 F306:F307 H592:H613 D592:G606 A592:B608 C592:C605 A580:F589 T198:T201 A204:C205 A305:R305 A42:S42 S52:S55 S68:S71 S73:S77 S79:S80 N134:T137 S536:S559 T109:T126 T161:T177 A179:T179 A178:G178 I178:T178 S44:S49 N60:T60 S58:S59 S62:S66 S180:T181 D204:R221 S22:S41 S84:S122 S124:S131 S139:S157 S159:S177 S268:S310 S530:S532 S561:S579 N592:T605 N607:T610 S620:S639 T182:T188 A180:R203 S182:S238 D261:P263 I253:P260 A253:C263 D264:T267 T250:T263 S240:S263 Q253:R263 T243:T247 A245:F249 I245:R249 D620:F622 D615:H619 N615:T619 A609:D611 A612:C636 E611:F611 D612:F614 N611 N614 K592:M619 K620:R636 J592:J620 I592:I636 A590:T591 I580:S589 J563:J578 L563:L578 T564:T579 A415:E419 N415:P419 T415:T423 G415:H415 I415:M423 S414:S528 A388:E407 I388:J407 M388:P407 F387:F419 Q387:R419 G387:H387 S362:S412 F365:F385 A365:E379 T355:T365 I365:J379 M365:P379 Q365:R385 G358:H358 S357:S360 T352:T353 I352:J361 M352:P361 A352:E361 G352:H352 T344:T349 A346:E349 F346:F361 Q346:R361 I347:P349 A338:F343 I338:J346 M338:M346 N338:R345 A333:C334 M330:R336 T330:T338 I330:J333 D334:L336 S312:S354 A316:E317 I316:P316 B313:E315 M313:P315 I313:J315 T314:T317 A312:E312 N312:P312 T312 F312:F329 Q312:R329 D311:H311 I308:M312 D579:R579 A438:E508 T190:T195 T367 T203:T235">
    <cfRule type="containsBlanks" dxfId="1791" priority="1787">
      <formula>LEN(TRIM(A20))=0</formula>
    </cfRule>
  </conditionalFormatting>
  <conditionalFormatting sqref="D520:D521 D608 D243 D264 D53:D54 D60:D63 D78:D83 D107:D108 D148 D525 D545:D551 D554 D578:D579 D136:D137 D276 D529:D530 D206:D207 E546:R546 E551:R551 E579:R579">
    <cfRule type="containsBlanks" dxfId="1790" priority="1772">
      <formula>LEN(TRIM(D53))=0</formula>
    </cfRule>
  </conditionalFormatting>
  <conditionalFormatting sqref="F520:F521 F608 F243 F264 F53:F54 F545 F578 F136:F137 F107:F108 F276 F529:F530 F59:F63 F547:F550">
    <cfRule type="containsBlanks" dxfId="1789" priority="1771">
      <formula>LEN(TRIM(F53))=0</formula>
    </cfRule>
  </conditionalFormatting>
  <conditionalFormatting sqref="G520:G521 G608 G243 G264 G53:G54 G545 G578 G136:G137 G529 G60:G61 G549:G550">
    <cfRule type="containsBlanks" dxfId="1788" priority="1770">
      <formula>LEN(TRIM(G53))=0</formula>
    </cfRule>
  </conditionalFormatting>
  <conditionalFormatting sqref="T236:T242 E236:E242">
    <cfRule type="containsBlanks" dxfId="1787" priority="1657">
      <formula>LEN(TRIM(E236))=0</formula>
    </cfRule>
  </conditionalFormatting>
  <conditionalFormatting sqref="O608:R608 O243:R243 O520:R521 O264:R264 O53:R54 O78:P83 O107:P108 O148 O525:P525 O545:R545 O554:P554 O578:R578 O592:R605 O136:R137 O529:P530 O59:P59 O68:P68 O151:P155 O606:P606 O206:P207 O156:R157 O60:R60 O276:P276 O142:R144 O61:P63 O549:R550 O547:P548">
    <cfRule type="containsBlanks" dxfId="1786" priority="1767">
      <formula>LEN(TRIM(O53))=0</formula>
    </cfRule>
  </conditionalFormatting>
  <conditionalFormatting sqref="T333">
    <cfRule type="containsBlanks" dxfId="1785" priority="1786">
      <formula>LEN(TRIM(T333))=0</formula>
    </cfRule>
  </conditionalFormatting>
  <conditionalFormatting sqref="T334">
    <cfRule type="containsBlanks" dxfId="1784" priority="1785">
      <formula>LEN(TRIM(T334))=0</formula>
    </cfRule>
  </conditionalFormatting>
  <conditionalFormatting sqref="T153">
    <cfRule type="containsBlanks" dxfId="1783" priority="1776">
      <formula>LEN(TRIM(T153))=0</formula>
    </cfRule>
  </conditionalFormatting>
  <conditionalFormatting sqref="J78:J83">
    <cfRule type="containsBlanks" dxfId="1782" priority="1757">
      <formula>LEN(TRIM(J78))=0</formula>
    </cfRule>
  </conditionalFormatting>
  <conditionalFormatting sqref="J43">
    <cfRule type="containsBlanks" dxfId="1781" priority="1766">
      <formula>LEN(TRIM(J43))=0</formula>
    </cfRule>
  </conditionalFormatting>
  <conditionalFormatting sqref="T55">
    <cfRule type="containsBlanks" dxfId="1780" priority="1783">
      <formula>LEN(TRIM(T55))=0</formula>
    </cfRule>
  </conditionalFormatting>
  <conditionalFormatting sqref="J151:J155">
    <cfRule type="containsBlanks" dxfId="1779" priority="1751">
      <formula>LEN(TRIM(J151))=0</formula>
    </cfRule>
  </conditionalFormatting>
  <conditionalFormatting sqref="J206:J207">
    <cfRule type="containsBlanks" dxfId="1778" priority="1749">
      <formula>LEN(TRIM(J206))=0</formula>
    </cfRule>
  </conditionalFormatting>
  <conditionalFormatting sqref="E431 H431 J431 L431 T431 T434:T435 L434:L435 J434:J435 H434:H435 E434:E435">
    <cfRule type="containsBlanks" dxfId="1777" priority="1784">
      <formula>LEN(TRIM(E431))=0</formula>
    </cfRule>
  </conditionalFormatting>
  <conditionalFormatting sqref="T59">
    <cfRule type="containsBlanks" dxfId="1776" priority="1782">
      <formula>LEN(TRIM(T59))=0</formula>
    </cfRule>
  </conditionalFormatting>
  <conditionalFormatting sqref="T83">
    <cfRule type="containsBlanks" dxfId="1775" priority="1780">
      <formula>LEN(TRIM(T83))=0</formula>
    </cfRule>
  </conditionalFormatting>
  <conditionalFormatting sqref="T86">
    <cfRule type="containsBlanks" dxfId="1774" priority="1779">
      <formula>LEN(TRIM(T86))=0</formula>
    </cfRule>
  </conditionalFormatting>
  <conditionalFormatting sqref="T66">
    <cfRule type="containsBlanks" dxfId="1773" priority="1781">
      <formula>LEN(TRIM(T66))=0</formula>
    </cfRule>
  </conditionalFormatting>
  <conditionalFormatting sqref="T136">
    <cfRule type="containsBlanks" dxfId="1772" priority="1778">
      <formula>LEN(TRIM(T136))=0</formula>
    </cfRule>
  </conditionalFormatting>
  <conditionalFormatting sqref="T137">
    <cfRule type="containsBlanks" dxfId="1771" priority="1777">
      <formula>LEN(TRIM(T137))=0</formula>
    </cfRule>
  </conditionalFormatting>
  <conditionalFormatting sqref="J602">
    <cfRule type="containsBlanks" dxfId="1770" priority="1740">
      <formula>LEN(TRIM(J602))=0</formula>
    </cfRule>
  </conditionalFormatting>
  <conditionalFormatting sqref="O608:R608 O243:R243 O264:R264 O434:R435 O520:R521 O311:R311 O53:R54 O78:P83 O107:P108 O148 O525:P525 O545:R545 O554:P554 O578:R578 O592:R605 O136:R137 O529:P530 O59:P59 O68:P68 O151:P155 O606:P606 O206:P207 O156:R157 O60:R60 O276:P276 O142:R144 O61:P63 O549:R550 O547:P548">
    <cfRule type="containsBlanks" dxfId="1769" priority="1769">
      <formula>LEN(TRIM(O53))=0</formula>
    </cfRule>
  </conditionalFormatting>
  <conditionalFormatting sqref="T520">
    <cfRule type="containsBlanks" dxfId="1768" priority="1775">
      <formula>LEN(TRIM(T520))=0</formula>
    </cfRule>
  </conditionalFormatting>
  <conditionalFormatting sqref="J21:J31 L21:L31 J53:J54 J60 J66 J136:J137 J243 J264 J271:J273 J430:J431 J539 J576 J593:J601 J603:J604 L53:L54 L520:L521 T520:T521 E520:E521 J520:J521 L60 L66 L136:L137 L243 L264 L271:L273 L430:L431 L539 L576 L593:L601 L603:L604 H520:H521 H608 H53:H54 H243 E243 E264 S264:T264 L311 J311 L434:L435 J434:J435 T53:T54 E53:E54 E59:E63 E78:E83 T78:T83 E107:E108 E148 E525 T525 J545 L545 H545 E545 T554 E554 L554 E578 E136:E137 S136:T137 E276 E529:E530 E206:E207 H60:H61 T151:T157 J156:J157 J578 T142:T144 T243 S20:T20 L578 L156:L157 N157:P157 T276 T59:T60 T545:T551 H549:H550 H67 H72 H78 H81 H83 H123 H132:H133 H138 H158 H239 H355:H356 H361 H413 H529 H578 H611 E547:E550 L547:L550 J547:J550 L541 J541 H533:H535 S21:S39 S265:S267">
    <cfRule type="containsBlanks" dxfId="1767" priority="1774">
      <formula>LEN(TRIM(E20))=0</formula>
    </cfRule>
  </conditionalFormatting>
  <conditionalFormatting sqref="A53:B54 A520:B521 A243:B243 A264:B264 A59:B63 A78:B78 A107:B108 A148:B148 A525:B525 A545:B551 A554:B554 A578:B579 A136:B137 A276:B276 A206:B207 A20 A80:B83">
    <cfRule type="containsBlanks" dxfId="1766" priority="1773">
      <formula>LEN(TRIM(A20))=0</formula>
    </cfRule>
  </conditionalFormatting>
  <conditionalFormatting sqref="L276">
    <cfRule type="containsBlanks" dxfId="1765" priority="1719">
      <formula>LEN(TRIM(L276))=0</formula>
    </cfRule>
  </conditionalFormatting>
  <conditionalFormatting sqref="J68">
    <cfRule type="containsBlanks" dxfId="1764" priority="1760">
      <formula>LEN(TRIM(J68))=0</formula>
    </cfRule>
  </conditionalFormatting>
  <conditionalFormatting sqref="O431:R431 O434:R435">
    <cfRule type="containsBlanks" dxfId="1763" priority="1768">
      <formula>LEN(TRIM(O431))=0</formula>
    </cfRule>
  </conditionalFormatting>
  <conditionalFormatting sqref="J602">
    <cfRule type="containsBlanks" dxfId="1762" priority="1739">
      <formula>LEN(TRIM(J602))=0</formula>
    </cfRule>
  </conditionalFormatting>
  <conditionalFormatting sqref="J43">
    <cfRule type="containsBlanks" dxfId="1761" priority="1765">
      <formula>LEN(TRIM(J43))=0</formula>
    </cfRule>
  </conditionalFormatting>
  <conditionalFormatting sqref="J78:J83">
    <cfRule type="containsBlanks" dxfId="1760" priority="1758">
      <formula>LEN(TRIM(J78))=0</formula>
    </cfRule>
  </conditionalFormatting>
  <conditionalFormatting sqref="J59">
    <cfRule type="containsBlanks" dxfId="1759" priority="1764">
      <formula>LEN(TRIM(J59))=0</formula>
    </cfRule>
  </conditionalFormatting>
  <conditionalFormatting sqref="J59">
    <cfRule type="containsBlanks" dxfId="1758" priority="1763">
      <formula>LEN(TRIM(J59))=0</formula>
    </cfRule>
  </conditionalFormatting>
  <conditionalFormatting sqref="J387">
    <cfRule type="containsBlanks" dxfId="1757" priority="1745">
      <formula>LEN(TRIM(J387))=0</formula>
    </cfRule>
  </conditionalFormatting>
  <conditionalFormatting sqref="J554">
    <cfRule type="containsBlanks" dxfId="1756" priority="1742">
      <formula>LEN(TRIM(J554))=0</formula>
    </cfRule>
  </conditionalFormatting>
  <conditionalFormatting sqref="J554">
    <cfRule type="containsBlanks" dxfId="1755" priority="1741">
      <formula>LEN(TRIM(J554))=0</formula>
    </cfRule>
  </conditionalFormatting>
  <conditionalFormatting sqref="J525 J529:J530 J537">
    <cfRule type="containsBlanks" dxfId="1754" priority="1744">
      <formula>LEN(TRIM(J525))=0</formula>
    </cfRule>
  </conditionalFormatting>
  <conditionalFormatting sqref="J525 J529:J530 J537">
    <cfRule type="containsBlanks" dxfId="1753" priority="1743">
      <formula>LEN(TRIM(J525))=0</formula>
    </cfRule>
  </conditionalFormatting>
  <conditionalFormatting sqref="J605:J606 J608">
    <cfRule type="containsBlanks" dxfId="1752" priority="1738">
      <formula>LEN(TRIM(J605))=0</formula>
    </cfRule>
  </conditionalFormatting>
  <conditionalFormatting sqref="J605:J606 J608">
    <cfRule type="containsBlanks" dxfId="1751" priority="1737">
      <formula>LEN(TRIM(J605))=0</formula>
    </cfRule>
  </conditionalFormatting>
  <conditionalFormatting sqref="L529:L530 L537">
    <cfRule type="containsBlanks" dxfId="1750" priority="1718">
      <formula>LEN(TRIM(L529))=0</formula>
    </cfRule>
  </conditionalFormatting>
  <conditionalFormatting sqref="L529:L530 L537">
    <cfRule type="containsBlanks" dxfId="1749" priority="1717">
      <formula>LEN(TRIM(L529))=0</formula>
    </cfRule>
  </conditionalFormatting>
  <conditionalFormatting sqref="N520:N521 N608 N243 N264 N53:N54 N59:N63 N78:N83 N107:N108 N525 N545 N554 N578 N136:N137 N276 N529:N530 N206:N207 O157:P157 N547:N550">
    <cfRule type="containsBlanks" dxfId="1748" priority="1711">
      <formula>LEN(TRIM(N53))=0</formula>
    </cfRule>
  </conditionalFormatting>
  <conditionalFormatting sqref="L608 L605:L606">
    <cfRule type="containsBlanks" dxfId="1747" priority="1714">
      <formula>LEN(TRIM(L605))=0</formula>
    </cfRule>
  </conditionalFormatting>
  <conditionalFormatting sqref="L608 L605:L606">
    <cfRule type="containsBlanks" dxfId="1746" priority="1713">
      <formula>LEN(TRIM(L605))=0</formula>
    </cfRule>
  </conditionalFormatting>
  <conditionalFormatting sqref="L602">
    <cfRule type="containsBlanks" dxfId="1745" priority="1716">
      <formula>LEN(TRIM(L602))=0</formula>
    </cfRule>
  </conditionalFormatting>
  <conditionalFormatting sqref="L602">
    <cfRule type="containsBlanks" dxfId="1744" priority="1715">
      <formula>LEN(TRIM(L602))=0</formula>
    </cfRule>
  </conditionalFormatting>
  <conditionalFormatting sqref="O279:P294">
    <cfRule type="containsBlanks" dxfId="1743" priority="1622">
      <formula>LEN(TRIM(O279))=0</formula>
    </cfRule>
  </conditionalFormatting>
  <conditionalFormatting sqref="O279:P294">
    <cfRule type="containsBlanks" dxfId="1742" priority="1621">
      <formula>LEN(TRIM(O279))=0</formula>
    </cfRule>
  </conditionalFormatting>
  <conditionalFormatting sqref="H529">
    <cfRule type="containsBlanks" dxfId="1741" priority="1662">
      <formula>LEN(TRIM(H529))=0</formula>
    </cfRule>
  </conditionalFormatting>
  <conditionalFormatting sqref="J61:J63">
    <cfRule type="containsBlanks" dxfId="1740" priority="1762">
      <formula>LEN(TRIM(J61))=0</formula>
    </cfRule>
  </conditionalFormatting>
  <conditionalFormatting sqref="J61:J63">
    <cfRule type="containsBlanks" dxfId="1739" priority="1761">
      <formula>LEN(TRIM(J61))=0</formula>
    </cfRule>
  </conditionalFormatting>
  <conditionalFormatting sqref="L43">
    <cfRule type="containsBlanks" dxfId="1738" priority="1736">
      <formula>LEN(TRIM(L43))=0</formula>
    </cfRule>
  </conditionalFormatting>
  <conditionalFormatting sqref="L43">
    <cfRule type="containsBlanks" dxfId="1737" priority="1735">
      <formula>LEN(TRIM(L43))=0</formula>
    </cfRule>
  </conditionalFormatting>
  <conditionalFormatting sqref="J151:J155">
    <cfRule type="containsBlanks" dxfId="1736" priority="1752">
      <formula>LEN(TRIM(J151))=0</formula>
    </cfRule>
  </conditionalFormatting>
  <conditionalFormatting sqref="J68">
    <cfRule type="containsBlanks" dxfId="1735" priority="1759">
      <formula>LEN(TRIM(J68))=0</formula>
    </cfRule>
  </conditionalFormatting>
  <conditionalFormatting sqref="J107:J108">
    <cfRule type="containsBlanks" dxfId="1734" priority="1756">
      <formula>LEN(TRIM(J107))=0</formula>
    </cfRule>
  </conditionalFormatting>
  <conditionalFormatting sqref="J107:J108">
    <cfRule type="containsBlanks" dxfId="1733" priority="1755">
      <formula>LEN(TRIM(J107))=0</formula>
    </cfRule>
  </conditionalFormatting>
  <conditionalFormatting sqref="J148">
    <cfRule type="containsBlanks" dxfId="1732" priority="1754">
      <formula>LEN(TRIM(J148))=0</formula>
    </cfRule>
  </conditionalFormatting>
  <conditionalFormatting sqref="J148">
    <cfRule type="containsBlanks" dxfId="1731" priority="1753">
      <formula>LEN(TRIM(J148))=0</formula>
    </cfRule>
  </conditionalFormatting>
  <conditionalFormatting sqref="L78:L83">
    <cfRule type="containsBlanks" dxfId="1730" priority="1727">
      <formula>LEN(TRIM(L78))=0</formula>
    </cfRule>
  </conditionalFormatting>
  <conditionalFormatting sqref="J206:J207">
    <cfRule type="containsBlanks" dxfId="1729" priority="1750">
      <formula>LEN(TRIM(J206))=0</formula>
    </cfRule>
  </conditionalFormatting>
  <conditionalFormatting sqref="L107:L108">
    <cfRule type="containsBlanks" dxfId="1728" priority="1726">
      <formula>LEN(TRIM(L107))=0</formula>
    </cfRule>
  </conditionalFormatting>
  <conditionalFormatting sqref="L61:L63">
    <cfRule type="containsBlanks" dxfId="1727" priority="1732">
      <formula>LEN(TRIM(L61))=0</formula>
    </cfRule>
  </conditionalFormatting>
  <conditionalFormatting sqref="J276">
    <cfRule type="containsBlanks" dxfId="1726" priority="1748">
      <formula>LEN(TRIM(J276))=0</formula>
    </cfRule>
  </conditionalFormatting>
  <conditionalFormatting sqref="J276">
    <cfRule type="containsBlanks" dxfId="1725" priority="1747">
      <formula>LEN(TRIM(J276))=0</formula>
    </cfRule>
  </conditionalFormatting>
  <conditionalFormatting sqref="J387">
    <cfRule type="containsBlanks" dxfId="1724" priority="1746">
      <formula>LEN(TRIM(J387))=0</formula>
    </cfRule>
  </conditionalFormatting>
  <conditionalFormatting sqref="L68">
    <cfRule type="containsBlanks" dxfId="1723" priority="1730">
      <formula>LEN(TRIM(L68))=0</formula>
    </cfRule>
  </conditionalFormatting>
  <conditionalFormatting sqref="L68">
    <cfRule type="containsBlanks" dxfId="1722" priority="1729">
      <formula>LEN(TRIM(L68))=0</formula>
    </cfRule>
  </conditionalFormatting>
  <conditionalFormatting sqref="L276">
    <cfRule type="containsBlanks" dxfId="1721" priority="1720">
      <formula>LEN(TRIM(L276))=0</formula>
    </cfRule>
  </conditionalFormatting>
  <conditionalFormatting sqref="L78:L83">
    <cfRule type="containsBlanks" dxfId="1720" priority="1728">
      <formula>LEN(TRIM(L78))=0</formula>
    </cfRule>
  </conditionalFormatting>
  <conditionalFormatting sqref="L107:L108">
    <cfRule type="containsBlanks" dxfId="1719" priority="1725">
      <formula>LEN(TRIM(L107))=0</formula>
    </cfRule>
  </conditionalFormatting>
  <conditionalFormatting sqref="L59">
    <cfRule type="containsBlanks" dxfId="1718" priority="1734">
      <formula>LEN(TRIM(L59))=0</formula>
    </cfRule>
  </conditionalFormatting>
  <conditionalFormatting sqref="L59">
    <cfRule type="containsBlanks" dxfId="1717" priority="1733">
      <formula>LEN(TRIM(L59))=0</formula>
    </cfRule>
  </conditionalFormatting>
  <conditionalFormatting sqref="L61:L63">
    <cfRule type="containsBlanks" dxfId="1716" priority="1731">
      <formula>LEN(TRIM(L61))=0</formula>
    </cfRule>
  </conditionalFormatting>
  <conditionalFormatting sqref="L206:L207">
    <cfRule type="containsBlanks" dxfId="1715" priority="1721">
      <formula>LEN(TRIM(L206))=0</formula>
    </cfRule>
  </conditionalFormatting>
  <conditionalFormatting sqref="L206:L207">
    <cfRule type="containsBlanks" dxfId="1714" priority="1722">
      <formula>LEN(TRIM(L206))=0</formula>
    </cfRule>
  </conditionalFormatting>
  <conditionalFormatting sqref="L151:L155">
    <cfRule type="containsBlanks" dxfId="1713" priority="1724">
      <formula>LEN(TRIM(L151))=0</formula>
    </cfRule>
  </conditionalFormatting>
  <conditionalFormatting sqref="L151:L155">
    <cfRule type="containsBlanks" dxfId="1712" priority="1723">
      <formula>LEN(TRIM(L151))=0</formula>
    </cfRule>
  </conditionalFormatting>
  <conditionalFormatting sqref="O607:R607">
    <cfRule type="containsBlanks" dxfId="1711" priority="1701">
      <formula>LEN(TRIM(O607))=0</formula>
    </cfRule>
  </conditionalFormatting>
  <conditionalFormatting sqref="J607">
    <cfRule type="containsBlanks" dxfId="1710" priority="1700">
      <formula>LEN(TRIM(J607))=0</formula>
    </cfRule>
  </conditionalFormatting>
  <conditionalFormatting sqref="E156:E157">
    <cfRule type="containsBlanks" dxfId="1709" priority="1679">
      <formula>LEN(TRIM(E156))=0</formula>
    </cfRule>
  </conditionalFormatting>
  <conditionalFormatting sqref="A226:B226">
    <cfRule type="containsBlanks" dxfId="1708" priority="1710">
      <formula>LEN(TRIM(A226))=0</formula>
    </cfRule>
  </conditionalFormatting>
  <conditionalFormatting sqref="D226:F226">
    <cfRule type="containsBlanks" dxfId="1707" priority="1709">
      <formula>LEN(TRIM(D226))=0</formula>
    </cfRule>
  </conditionalFormatting>
  <conditionalFormatting sqref="T226">
    <cfRule type="containsBlanks" dxfId="1706" priority="1708">
      <formula>LEN(TRIM(T226))=0</formula>
    </cfRule>
  </conditionalFormatting>
  <conditionalFormatting sqref="J607">
    <cfRule type="containsBlanks" dxfId="1705" priority="1699">
      <formula>LEN(TRIM(J607))=0</formula>
    </cfRule>
  </conditionalFormatting>
  <conditionalFormatting sqref="L607">
    <cfRule type="containsBlanks" dxfId="1704" priority="1698">
      <formula>LEN(TRIM(L607))=0</formula>
    </cfRule>
  </conditionalFormatting>
  <conditionalFormatting sqref="J279:J294">
    <cfRule type="containsBlanks" dxfId="1703" priority="1620">
      <formula>LEN(TRIM(J279))=0</formula>
    </cfRule>
  </conditionalFormatting>
  <conditionalFormatting sqref="J279:J294">
    <cfRule type="containsBlanks" dxfId="1702" priority="1619">
      <formula>LEN(TRIM(J279))=0</formula>
    </cfRule>
  </conditionalFormatting>
  <conditionalFormatting sqref="A226:B226 T226 D226:F226">
    <cfRule type="containsBlanks" dxfId="1701" priority="1707">
      <formula>LEN(TRIM(A226))=0</formula>
    </cfRule>
  </conditionalFormatting>
  <conditionalFormatting sqref="N264 N434:N435 N520:N521 N608 N243 N311 N53:N54 N59:N63 N78:N83 N107:N108 N525 N545 N554 N578 N136:N137 N276 N529:N530 N206:N207 O157:P157 N547:N550">
    <cfRule type="containsBlanks" dxfId="1700" priority="1712">
      <formula>LEN(TRIM(N53))=0</formula>
    </cfRule>
  </conditionalFormatting>
  <conditionalFormatting sqref="N431 N434:N435">
    <cfRule type="containsBlanks" dxfId="1699" priority="1788">
      <formula>LEN(TRIM(N431))=0</formula>
    </cfRule>
  </conditionalFormatting>
  <conditionalFormatting sqref="F310">
    <cfRule type="containsBlanks" dxfId="1698" priority="1789">
      <formula>LEN(TRIM(F310))=0</formula>
    </cfRule>
  </conditionalFormatting>
  <conditionalFormatting sqref="H607 S607:S610">
    <cfRule type="containsBlanks" dxfId="1697" priority="1705">
      <formula>LEN(TRIM(H607))=0</formula>
    </cfRule>
  </conditionalFormatting>
  <conditionalFormatting sqref="D607">
    <cfRule type="containsBlanks" dxfId="1696" priority="1704">
      <formula>LEN(TRIM(D607))=0</formula>
    </cfRule>
  </conditionalFormatting>
  <conditionalFormatting sqref="F607">
    <cfRule type="containsBlanks" dxfId="1695" priority="1703">
      <formula>LEN(TRIM(F607))=0</formula>
    </cfRule>
  </conditionalFormatting>
  <conditionalFormatting sqref="O607:R607">
    <cfRule type="containsBlanks" dxfId="1694" priority="1790">
      <formula>LEN(TRIM(O607))=0</formula>
    </cfRule>
  </conditionalFormatting>
  <conditionalFormatting sqref="A72:B72 O72">
    <cfRule type="containsBlanks" dxfId="1693" priority="1541">
      <formula>LEN(TRIM(A72))=0</formula>
    </cfRule>
  </conditionalFormatting>
  <conditionalFormatting sqref="G607">
    <cfRule type="containsBlanks" dxfId="1692" priority="1702">
      <formula>LEN(TRIM(G607))=0</formula>
    </cfRule>
  </conditionalFormatting>
  <conditionalFormatting sqref="H607 S607:S610">
    <cfRule type="containsBlanks" dxfId="1691" priority="1706">
      <formula>LEN(TRIM(H607))=0</formula>
    </cfRule>
  </conditionalFormatting>
  <conditionalFormatting sqref="L607">
    <cfRule type="containsBlanks" dxfId="1690" priority="1697">
      <formula>LEN(TRIM(L607))=0</formula>
    </cfRule>
  </conditionalFormatting>
  <conditionalFormatting sqref="N607">
    <cfRule type="containsBlanks" dxfId="1689" priority="1695">
      <formula>LEN(TRIM(N607))=0</formula>
    </cfRule>
  </conditionalFormatting>
  <conditionalFormatting sqref="N607">
    <cfRule type="containsBlanks" dxfId="1688" priority="1696">
      <formula>LEN(TRIM(N607))=0</formula>
    </cfRule>
  </conditionalFormatting>
  <conditionalFormatting sqref="D607:D608 A243:B243 A264:B264 A311:B311 A387:B387 A434:B435 A430:B431 A59:B63 A78:B78 A107:B108 A148:B148 D148:E148 A525:B525 A545:B551 A554:B554 A578:B579 A53:B54 A136:B137 A276:B276 A520:B521 T59 T78:T83 T151:T155 T525 T554 A206:B207 L72:L75 H138 J148 A20 O148 A80:B83">
    <cfRule type="containsBlanks" dxfId="1687" priority="1694">
      <formula>LEN(TRIM(A20))=0</formula>
    </cfRule>
  </conditionalFormatting>
  <conditionalFormatting sqref="C608 C243 C264 C311 C387 C434:C435 C430:C431 C59:C63 C78 C107:C108 C148 C525 C545:C551 C554 C578:C579 C53:C54 C136:C137 C276 C520:C521 C206:C207 C80:C83">
    <cfRule type="containsBlanks" dxfId="1686" priority="1693">
      <formula>LEN(TRIM(C53))=0</formula>
    </cfRule>
  </conditionalFormatting>
  <conditionalFormatting sqref="C83 C107:C108 C148 C136:C137">
    <cfRule type="containsBlanks" dxfId="1685" priority="1692">
      <formula>LEN(TRIM(C83))=0</formula>
    </cfRule>
  </conditionalFormatting>
  <conditionalFormatting sqref="C606:C607">
    <cfRule type="containsBlanks" dxfId="1684" priority="1691">
      <formula>LEN(TRIM(C606))=0</formula>
    </cfRule>
  </conditionalFormatting>
  <conditionalFormatting sqref="H609:H610 H612:H613 H615:H619">
    <cfRule type="containsBlanks" dxfId="1683" priority="1689">
      <formula>LEN(TRIM(H609))=0</formula>
    </cfRule>
  </conditionalFormatting>
  <conditionalFormatting sqref="E539 E541">
    <cfRule type="containsBlanks" dxfId="1682" priority="1674">
      <formula>LEN(TRIM(E539))=0</formula>
    </cfRule>
  </conditionalFormatting>
  <conditionalFormatting sqref="E545 E547:E548">
    <cfRule type="containsBlanks" dxfId="1681" priority="1673">
      <formula>LEN(TRIM(E545))=0</formula>
    </cfRule>
  </conditionalFormatting>
  <conditionalFormatting sqref="H609:H610 H612:H613 H615:H619">
    <cfRule type="containsBlanks" dxfId="1680" priority="1690">
      <formula>LEN(TRIM(H609))=0</formula>
    </cfRule>
  </conditionalFormatting>
  <conditionalFormatting sqref="F609:F610 F612:F613 F615:F619">
    <cfRule type="containsBlanks" dxfId="1679" priority="1688">
      <formula>LEN(TRIM(F609))=0</formula>
    </cfRule>
  </conditionalFormatting>
  <conditionalFormatting sqref="E607:E608">
    <cfRule type="containsBlanks" dxfId="1678" priority="1667">
      <formula>LEN(TRIM(E607))=0</formula>
    </cfRule>
  </conditionalFormatting>
  <conditionalFormatting sqref="O609:R610 O612:R613 O611 O615:R619 O614">
    <cfRule type="containsBlanks" dxfId="1677" priority="1686">
      <formula>LEN(TRIM(O609))=0</formula>
    </cfRule>
  </conditionalFormatting>
  <conditionalFormatting sqref="O609:R610 O612:R613 O611 O615:R619 O614">
    <cfRule type="containsBlanks" dxfId="1676" priority="1687">
      <formula>LEN(TRIM(O609))=0</formula>
    </cfRule>
  </conditionalFormatting>
  <conditionalFormatting sqref="D609:D610 D611:E611 J611 J614 G611 D614:E614 L614 L611 N611:O611 N614:O614 J622">
    <cfRule type="containsBlanks" dxfId="1675" priority="1685">
      <formula>LEN(TRIM(D609))=0</formula>
    </cfRule>
  </conditionalFormatting>
  <conditionalFormatting sqref="E20:E31">
    <cfRule type="containsBlanks" dxfId="1674" priority="1684">
      <formula>LEN(TRIM(E20))=0</formula>
    </cfRule>
  </conditionalFormatting>
  <conditionalFormatting sqref="E53:E54">
    <cfRule type="containsBlanks" dxfId="1673" priority="1683">
      <formula>LEN(TRIM(E53))=0</formula>
    </cfRule>
  </conditionalFormatting>
  <conditionalFormatting sqref="E60">
    <cfRule type="containsBlanks" dxfId="1672" priority="1682">
      <formula>LEN(TRIM(E60))=0</formula>
    </cfRule>
  </conditionalFormatting>
  <conditionalFormatting sqref="E66">
    <cfRule type="containsBlanks" dxfId="1671" priority="1681">
      <formula>LEN(TRIM(E66))=0</formula>
    </cfRule>
  </conditionalFormatting>
  <conditionalFormatting sqref="E136:E137">
    <cfRule type="containsBlanks" dxfId="1670" priority="1680">
      <formula>LEN(TRIM(E136))=0</formula>
    </cfRule>
  </conditionalFormatting>
  <conditionalFormatting sqref="L353">
    <cfRule type="containsBlanks" dxfId="1669" priority="1595">
      <formula>LEN(TRIM(L353))=0</formula>
    </cfRule>
  </conditionalFormatting>
  <conditionalFormatting sqref="E243">
    <cfRule type="containsBlanks" dxfId="1668" priority="1678">
      <formula>LEN(TRIM(E243))=0</formula>
    </cfRule>
  </conditionalFormatting>
  <conditionalFormatting sqref="E264">
    <cfRule type="containsBlanks" dxfId="1667" priority="1677">
      <formula>LEN(TRIM(E264))=0</formula>
    </cfRule>
  </conditionalFormatting>
  <conditionalFormatting sqref="E271:E273">
    <cfRule type="containsBlanks" dxfId="1666" priority="1676">
      <formula>LEN(TRIM(E271))=0</formula>
    </cfRule>
  </conditionalFormatting>
  <conditionalFormatting sqref="E520:E521">
    <cfRule type="containsBlanks" dxfId="1665" priority="1675">
      <formula>LEN(TRIM(E520))=0</formula>
    </cfRule>
  </conditionalFormatting>
  <conditionalFormatting sqref="E578">
    <cfRule type="containsBlanks" dxfId="1664" priority="1671">
      <formula>LEN(TRIM(E578))=0</formula>
    </cfRule>
  </conditionalFormatting>
  <conditionalFormatting sqref="E612:E613">
    <cfRule type="containsBlanks" dxfId="1663" priority="1664">
      <formula>LEN(TRIM(E612))=0</formula>
    </cfRule>
  </conditionalFormatting>
  <conditionalFormatting sqref="E615:E619">
    <cfRule type="containsBlanks" dxfId="1662" priority="1663">
      <formula>LEN(TRIM(E615))=0</formula>
    </cfRule>
  </conditionalFormatting>
  <conditionalFormatting sqref="E549:E550">
    <cfRule type="containsBlanks" dxfId="1661" priority="1672">
      <formula>LEN(TRIM(E549))=0</formula>
    </cfRule>
  </conditionalFormatting>
  <conditionalFormatting sqref="E592:E605">
    <cfRule type="containsBlanks" dxfId="1660" priority="1670">
      <formula>LEN(TRIM(E592))=0</formula>
    </cfRule>
  </conditionalFormatting>
  <conditionalFormatting sqref="E608">
    <cfRule type="containsBlanks" dxfId="1659" priority="1669">
      <formula>LEN(TRIM(E608))=0</formula>
    </cfRule>
  </conditionalFormatting>
  <conditionalFormatting sqref="E607">
    <cfRule type="containsBlanks" dxfId="1658" priority="1668">
      <formula>LEN(TRIM(E607))=0</formula>
    </cfRule>
  </conditionalFormatting>
  <conditionalFormatting sqref="E609:E610">
    <cfRule type="containsBlanks" dxfId="1657" priority="1666">
      <formula>LEN(TRIM(E609))=0</formula>
    </cfRule>
  </conditionalFormatting>
  <conditionalFormatting sqref="E609:E610">
    <cfRule type="containsBlanks" dxfId="1656" priority="1665">
      <formula>LEN(TRIM(E609))=0</formula>
    </cfRule>
  </conditionalFormatting>
  <conditionalFormatting sqref="H239">
    <cfRule type="containsBlanks" dxfId="1655" priority="1639">
      <formula>LEN(TRIM(H239))=0</formula>
    </cfRule>
  </conditionalFormatting>
  <conditionalFormatting sqref="H606">
    <cfRule type="containsBlanks" dxfId="1654" priority="1661">
      <formula>LEN(TRIM(H606))=0</formula>
    </cfRule>
  </conditionalFormatting>
  <conditionalFormatting sqref="H239">
    <cfRule type="containsBlanks" dxfId="1653" priority="1640">
      <formula>LEN(TRIM(H239))=0</formula>
    </cfRule>
  </conditionalFormatting>
  <conditionalFormatting sqref="E253:E260">
    <cfRule type="containsBlanks" dxfId="1652" priority="1638">
      <formula>LEN(TRIM(E253))=0</formula>
    </cfRule>
  </conditionalFormatting>
  <conditionalFormatting sqref="T249">
    <cfRule type="containsBlanks" dxfId="1651" priority="1659">
      <formula>LEN(TRIM(T249))=0</formula>
    </cfRule>
  </conditionalFormatting>
  <conditionalFormatting sqref="N531">
    <cfRule type="containsBlanks" dxfId="1650" priority="1567">
      <formula>LEN(TRIM(N531))=0</formula>
    </cfRule>
  </conditionalFormatting>
  <conditionalFormatting sqref="N531">
    <cfRule type="containsBlanks" dxfId="1649" priority="1568">
      <formula>LEN(TRIM(N531))=0</formula>
    </cfRule>
  </conditionalFormatting>
  <conditionalFormatting sqref="O236:P242">
    <cfRule type="containsBlanks" dxfId="1648" priority="1652">
      <formula>LEN(TRIM(O236))=0</formula>
    </cfRule>
  </conditionalFormatting>
  <conditionalFormatting sqref="T249">
    <cfRule type="containsBlanks" dxfId="1647" priority="1660">
      <formula>LEN(TRIM(T249))=0</formula>
    </cfRule>
  </conditionalFormatting>
  <conditionalFormatting sqref="D236:D242">
    <cfRule type="containsBlanks" dxfId="1646" priority="1655">
      <formula>LEN(TRIM(D236))=0</formula>
    </cfRule>
  </conditionalFormatting>
  <conditionalFormatting sqref="T249">
    <cfRule type="containsBlanks" dxfId="1645" priority="1658">
      <formula>LEN(TRIM(T249))=0</formula>
    </cfRule>
  </conditionalFormatting>
  <conditionalFormatting sqref="T236:T242 E236:E242">
    <cfRule type="containsBlanks" dxfId="1644" priority="1791">
      <formula>LEN(TRIM(E236))=0</formula>
    </cfRule>
  </conditionalFormatting>
  <conditionalFormatting sqref="F236:F242">
    <cfRule type="containsBlanks" dxfId="1643" priority="1654">
      <formula>LEN(TRIM(F236))=0</formula>
    </cfRule>
  </conditionalFormatting>
  <conditionalFormatting sqref="G239">
    <cfRule type="containsBlanks" dxfId="1642" priority="1653">
      <formula>LEN(TRIM(G239))=0</formula>
    </cfRule>
  </conditionalFormatting>
  <conditionalFormatting sqref="H239">
    <cfRule type="containsBlanks" dxfId="1641" priority="1643">
      <formula>LEN(TRIM(H239))=0</formula>
    </cfRule>
  </conditionalFormatting>
  <conditionalFormatting sqref="O236:P242">
    <cfRule type="containsBlanks" dxfId="1640" priority="1651">
      <formula>LEN(TRIM(O236))=0</formula>
    </cfRule>
  </conditionalFormatting>
  <conditionalFormatting sqref="J236:J242">
    <cfRule type="containsBlanks" dxfId="1639" priority="1649">
      <formula>LEN(TRIM(J236))=0</formula>
    </cfRule>
  </conditionalFormatting>
  <conditionalFormatting sqref="A236:B242">
    <cfRule type="containsBlanks" dxfId="1638" priority="1656">
      <formula>LEN(TRIM(A236))=0</formula>
    </cfRule>
  </conditionalFormatting>
  <conditionalFormatting sqref="A236:B242 T236:T242">
    <cfRule type="containsBlanks" dxfId="1637" priority="1642">
      <formula>LEN(TRIM(A236))=0</formula>
    </cfRule>
  </conditionalFormatting>
  <conditionalFormatting sqref="J236:J242">
    <cfRule type="containsBlanks" dxfId="1636" priority="1650">
      <formula>LEN(TRIM(J236))=0</formula>
    </cfRule>
  </conditionalFormatting>
  <conditionalFormatting sqref="L236:L242">
    <cfRule type="containsBlanks" dxfId="1635" priority="1648">
      <formula>LEN(TRIM(L236))=0</formula>
    </cfRule>
  </conditionalFormatting>
  <conditionalFormatting sqref="L236:L242">
    <cfRule type="containsBlanks" dxfId="1634" priority="1647">
      <formula>LEN(TRIM(L236))=0</formula>
    </cfRule>
  </conditionalFormatting>
  <conditionalFormatting sqref="N236:N242">
    <cfRule type="containsBlanks" dxfId="1633" priority="1645">
      <formula>LEN(TRIM(N236))=0</formula>
    </cfRule>
  </conditionalFormatting>
  <conditionalFormatting sqref="N236:N242">
    <cfRule type="containsBlanks" dxfId="1632" priority="1646">
      <formula>LEN(TRIM(N236))=0</formula>
    </cfRule>
  </conditionalFormatting>
  <conditionalFormatting sqref="H239">
    <cfRule type="containsBlanks" dxfId="1631" priority="1644">
      <formula>LEN(TRIM(H239))=0</formula>
    </cfRule>
  </conditionalFormatting>
  <conditionalFormatting sqref="S134:T134 E134 J134 L134 H134 S135:S137">
    <cfRule type="containsBlanks" dxfId="1630" priority="1358">
      <formula>LEN(TRIM(E134))=0</formula>
    </cfRule>
  </conditionalFormatting>
  <conditionalFormatting sqref="C236:C242">
    <cfRule type="containsBlanks" dxfId="1629" priority="1641">
      <formula>LEN(TRIM(C236))=0</formula>
    </cfRule>
  </conditionalFormatting>
  <conditionalFormatting sqref="C109">
    <cfRule type="containsBlanks" dxfId="1628" priority="1360">
      <formula>LEN(TRIM(C109))=0</formula>
    </cfRule>
  </conditionalFormatting>
  <conditionalFormatting sqref="E109">
    <cfRule type="containsBlanks" dxfId="1627" priority="1359">
      <formula>LEN(TRIM(E109))=0</formula>
    </cfRule>
  </conditionalFormatting>
  <conditionalFormatting sqref="J253:J260">
    <cfRule type="containsBlanks" dxfId="1626" priority="1633">
      <formula>LEN(TRIM(J253))=0</formula>
    </cfRule>
  </conditionalFormatting>
  <conditionalFormatting sqref="D253:D260">
    <cfRule type="containsBlanks" dxfId="1625" priority="1637">
      <formula>LEN(TRIM(D253))=0</formula>
    </cfRule>
  </conditionalFormatting>
  <conditionalFormatting sqref="F253:F260">
    <cfRule type="containsBlanks" dxfId="1624" priority="1636">
      <formula>LEN(TRIM(F253))=0</formula>
    </cfRule>
  </conditionalFormatting>
  <conditionalFormatting sqref="C577">
    <cfRule type="containsBlanks" dxfId="1623" priority="1430">
      <formula>LEN(TRIM(C577))=0</formula>
    </cfRule>
  </conditionalFormatting>
  <conditionalFormatting sqref="L58">
    <cfRule type="containsBlanks" dxfId="1622" priority="1552">
      <formula>LEN(TRIM(L58))=0</formula>
    </cfRule>
  </conditionalFormatting>
  <conditionalFormatting sqref="O253:P260">
    <cfRule type="containsBlanks" dxfId="1621" priority="1634">
      <formula>LEN(TRIM(O253))=0</formula>
    </cfRule>
  </conditionalFormatting>
  <conditionalFormatting sqref="J253:J260">
    <cfRule type="containsBlanks" dxfId="1620" priority="1632">
      <formula>LEN(TRIM(J253))=0</formula>
    </cfRule>
  </conditionalFormatting>
  <conditionalFormatting sqref="E253:E260">
    <cfRule type="containsBlanks" dxfId="1619" priority="1792">
      <formula>LEN(TRIM(E253))=0</formula>
    </cfRule>
  </conditionalFormatting>
  <conditionalFormatting sqref="O253:P260">
    <cfRule type="containsBlanks" dxfId="1618" priority="1635">
      <formula>LEN(TRIM(O253))=0</formula>
    </cfRule>
  </conditionalFormatting>
  <conditionalFormatting sqref="L253:L260">
    <cfRule type="containsBlanks" dxfId="1617" priority="1631">
      <formula>LEN(TRIM(L253))=0</formula>
    </cfRule>
  </conditionalFormatting>
  <conditionalFormatting sqref="L253:L260">
    <cfRule type="containsBlanks" dxfId="1616" priority="1630">
      <formula>LEN(TRIM(L253))=0</formula>
    </cfRule>
  </conditionalFormatting>
  <conditionalFormatting sqref="N253:N260">
    <cfRule type="containsBlanks" dxfId="1615" priority="1628">
      <formula>LEN(TRIM(N253))=0</formula>
    </cfRule>
  </conditionalFormatting>
  <conditionalFormatting sqref="N253:N260">
    <cfRule type="containsBlanks" dxfId="1614" priority="1629">
      <formula>LEN(TRIM(N253))=0</formula>
    </cfRule>
  </conditionalFormatting>
  <conditionalFormatting sqref="T282:T284 E279:E294 T286 T290 T292:T293">
    <cfRule type="containsBlanks" dxfId="1613" priority="1627">
      <formula>LEN(TRIM(E279))=0</formula>
    </cfRule>
  </conditionalFormatting>
  <conditionalFormatting sqref="D279:D294">
    <cfRule type="containsBlanks" dxfId="1612" priority="1624">
      <formula>LEN(TRIM(D279))=0</formula>
    </cfRule>
  </conditionalFormatting>
  <conditionalFormatting sqref="F279:F294">
    <cfRule type="containsBlanks" dxfId="1611" priority="1623">
      <formula>LEN(TRIM(F279))=0</formula>
    </cfRule>
  </conditionalFormatting>
  <conditionalFormatting sqref="H72">
    <cfRule type="containsBlanks" dxfId="1610" priority="1542">
      <formula>LEN(TRIM(H72))=0</formula>
    </cfRule>
  </conditionalFormatting>
  <conditionalFormatting sqref="E279:E294 T282:T284 T286 T290 T292:T293">
    <cfRule type="containsBlanks" dxfId="1609" priority="1626">
      <formula>LEN(TRIM(E279))=0</formula>
    </cfRule>
  </conditionalFormatting>
  <conditionalFormatting sqref="A279:B294">
    <cfRule type="containsBlanks" dxfId="1608" priority="1625">
      <formula>LEN(TRIM(A279))=0</formula>
    </cfRule>
  </conditionalFormatting>
  <conditionalFormatting sqref="L279:L294">
    <cfRule type="containsBlanks" dxfId="1607" priority="1618">
      <formula>LEN(TRIM(L279))=0</formula>
    </cfRule>
  </conditionalFormatting>
  <conditionalFormatting sqref="L279:L294">
    <cfRule type="containsBlanks" dxfId="1606" priority="1617">
      <formula>LEN(TRIM(L279))=0</formula>
    </cfRule>
  </conditionalFormatting>
  <conditionalFormatting sqref="N279:N294">
    <cfRule type="containsBlanks" dxfId="1605" priority="1615">
      <formula>LEN(TRIM(N279))=0</formula>
    </cfRule>
  </conditionalFormatting>
  <conditionalFormatting sqref="N279:N294">
    <cfRule type="containsBlanks" dxfId="1604" priority="1616">
      <formula>LEN(TRIM(N279))=0</formula>
    </cfRule>
  </conditionalFormatting>
  <conditionalFormatting sqref="A279:B294 T282:T284 T286 T290 T292:T293">
    <cfRule type="containsBlanks" dxfId="1603" priority="1614">
      <formula>LEN(TRIM(A279))=0</formula>
    </cfRule>
  </conditionalFormatting>
  <conditionalFormatting sqref="C279:C294">
    <cfRule type="containsBlanks" dxfId="1602" priority="1613">
      <formula>LEN(TRIM(C279))=0</formula>
    </cfRule>
  </conditionalFormatting>
  <conditionalFormatting sqref="E310">
    <cfRule type="containsBlanks" dxfId="1601" priority="1612">
      <formula>LEN(TRIM(E310))=0</formula>
    </cfRule>
  </conditionalFormatting>
  <conditionalFormatting sqref="D310">
    <cfRule type="containsBlanks" dxfId="1600" priority="1609">
      <formula>LEN(TRIM(D310))=0</formula>
    </cfRule>
  </conditionalFormatting>
  <conditionalFormatting sqref="A64:B64">
    <cfRule type="containsBlanks" dxfId="1599" priority="1414">
      <formula>LEN(TRIM(A64))=0</formula>
    </cfRule>
  </conditionalFormatting>
  <conditionalFormatting sqref="O310:P310">
    <cfRule type="containsBlanks" dxfId="1598" priority="1607">
      <formula>LEN(TRIM(O310))=0</formula>
    </cfRule>
  </conditionalFormatting>
  <conditionalFormatting sqref="E310">
    <cfRule type="containsBlanks" dxfId="1597" priority="1611">
      <formula>LEN(TRIM(E310))=0</formula>
    </cfRule>
  </conditionalFormatting>
  <conditionalFormatting sqref="A310:B310">
    <cfRule type="containsBlanks" dxfId="1596" priority="1610">
      <formula>LEN(TRIM(A310))=0</formula>
    </cfRule>
  </conditionalFormatting>
  <conditionalFormatting sqref="O310:P310">
    <cfRule type="containsBlanks" dxfId="1595" priority="1608">
      <formula>LEN(TRIM(O310))=0</formula>
    </cfRule>
  </conditionalFormatting>
  <conditionalFormatting sqref="J310">
    <cfRule type="containsBlanks" dxfId="1594" priority="1606">
      <formula>LEN(TRIM(J310))=0</formula>
    </cfRule>
  </conditionalFormatting>
  <conditionalFormatting sqref="J310">
    <cfRule type="containsBlanks" dxfId="1593" priority="1605">
      <formula>LEN(TRIM(J310))=0</formula>
    </cfRule>
  </conditionalFormatting>
  <conditionalFormatting sqref="L310">
    <cfRule type="containsBlanks" dxfId="1592" priority="1604">
      <formula>LEN(TRIM(L310))=0</formula>
    </cfRule>
  </conditionalFormatting>
  <conditionalFormatting sqref="L310">
    <cfRule type="containsBlanks" dxfId="1591" priority="1603">
      <formula>LEN(TRIM(L310))=0</formula>
    </cfRule>
  </conditionalFormatting>
  <conditionalFormatting sqref="N310">
    <cfRule type="containsBlanks" dxfId="1590" priority="1601">
      <formula>LEN(TRIM(N310))=0</formula>
    </cfRule>
  </conditionalFormatting>
  <conditionalFormatting sqref="N310">
    <cfRule type="containsBlanks" dxfId="1589" priority="1602">
      <formula>LEN(TRIM(N310))=0</formula>
    </cfRule>
  </conditionalFormatting>
  <conditionalFormatting sqref="A310:B310">
    <cfRule type="containsBlanks" dxfId="1588" priority="1600">
      <formula>LEN(TRIM(A310))=0</formula>
    </cfRule>
  </conditionalFormatting>
  <conditionalFormatting sqref="C310">
    <cfRule type="containsBlanks" dxfId="1587" priority="1599">
      <formula>LEN(TRIM(C310))=0</formula>
    </cfRule>
  </conditionalFormatting>
  <conditionalFormatting sqref="L339:L343">
    <cfRule type="containsBlanks" dxfId="1586" priority="1597">
      <formula>LEN(TRIM(L339))=0</formula>
    </cfRule>
  </conditionalFormatting>
  <conditionalFormatting sqref="L339:L343">
    <cfRule type="containsBlanks" dxfId="1585" priority="1598">
      <formula>LEN(TRIM(L339))=0</formula>
    </cfRule>
  </conditionalFormatting>
  <conditionalFormatting sqref="T353 T355:T361">
    <cfRule type="containsBlanks" dxfId="1584" priority="1596">
      <formula>LEN(TRIM(T353))=0</formula>
    </cfRule>
  </conditionalFormatting>
  <conditionalFormatting sqref="L353">
    <cfRule type="containsBlanks" dxfId="1583" priority="1594">
      <formula>LEN(TRIM(L353))=0</formula>
    </cfRule>
  </conditionalFormatting>
  <conditionalFormatting sqref="T353 T355:T361">
    <cfRule type="containsBlanks" dxfId="1582" priority="1593">
      <formula>LEN(TRIM(T353))=0</formula>
    </cfRule>
  </conditionalFormatting>
  <conditionalFormatting sqref="T369:T371 T373:T378">
    <cfRule type="containsBlanks" dxfId="1581" priority="1592">
      <formula>LEN(TRIM(T369))=0</formula>
    </cfRule>
  </conditionalFormatting>
  <conditionalFormatting sqref="L371 L384:L385">
    <cfRule type="containsBlanks" dxfId="1580" priority="1591">
      <formula>LEN(TRIM(L371))=0</formula>
    </cfRule>
  </conditionalFormatting>
  <conditionalFormatting sqref="L371 L384:L385">
    <cfRule type="containsBlanks" dxfId="1579" priority="1590">
      <formula>LEN(TRIM(L371))=0</formula>
    </cfRule>
  </conditionalFormatting>
  <conditionalFormatting sqref="T369:T371 T373:T378">
    <cfRule type="containsBlanks" dxfId="1578" priority="1589">
      <formula>LEN(TRIM(T369))=0</formula>
    </cfRule>
  </conditionalFormatting>
  <conditionalFormatting sqref="T390:T391 T402:T404 T406">
    <cfRule type="containsBlanks" dxfId="1577" priority="1588">
      <formula>LEN(TRIM(T390))=0</formula>
    </cfRule>
  </conditionalFormatting>
  <conditionalFormatting sqref="L392:L401 L407">
    <cfRule type="containsBlanks" dxfId="1576" priority="1587">
      <formula>LEN(TRIM(L392))=0</formula>
    </cfRule>
  </conditionalFormatting>
  <conditionalFormatting sqref="L392:L401 L407">
    <cfRule type="containsBlanks" dxfId="1575" priority="1586">
      <formula>LEN(TRIM(L392))=0</formula>
    </cfRule>
  </conditionalFormatting>
  <conditionalFormatting sqref="T390:T391 T402:T404 T406">
    <cfRule type="containsBlanks" dxfId="1574" priority="1585">
      <formula>LEN(TRIM(T390))=0</formula>
    </cfRule>
  </conditionalFormatting>
  <conditionalFormatting sqref="A432:B433 T432">
    <cfRule type="containsBlanks" dxfId="1573" priority="1584">
      <formula>LEN(TRIM(A432))=0</formula>
    </cfRule>
  </conditionalFormatting>
  <conditionalFormatting sqref="A432:B433 T432">
    <cfRule type="containsBlanks" dxfId="1572" priority="1583">
      <formula>LEN(TRIM(A432))=0</formula>
    </cfRule>
  </conditionalFormatting>
  <conditionalFormatting sqref="C432:C433">
    <cfRule type="containsBlanks" dxfId="1571" priority="1582">
      <formula>LEN(TRIM(C432))=0</formula>
    </cfRule>
  </conditionalFormatting>
  <conditionalFormatting sqref="T440 T446 T500 T502:T506 T453">
    <cfRule type="containsBlanks" dxfId="1570" priority="1580">
      <formula>LEN(TRIM(T440))=0</formula>
    </cfRule>
  </conditionalFormatting>
  <conditionalFormatting sqref="T440 T446 T500 T502:T506 T453">
    <cfRule type="containsBlanks" dxfId="1569" priority="1581">
      <formula>LEN(TRIM(T440))=0</formula>
    </cfRule>
  </conditionalFormatting>
  <conditionalFormatting sqref="L427:L429 J427:J429">
    <cfRule type="containsBlanks" dxfId="1568" priority="1579">
      <formula>LEN(TRIM(J427))=0</formula>
    </cfRule>
  </conditionalFormatting>
  <conditionalFormatting sqref="N250:N252">
    <cfRule type="containsBlanks" dxfId="1567" priority="1253">
      <formula>LEN(TRIM(N250))=0</formula>
    </cfRule>
  </conditionalFormatting>
  <conditionalFormatting sqref="N265:N267">
    <cfRule type="containsBlanks" dxfId="1566" priority="1241">
      <formula>LEN(TRIM(N265))=0</formula>
    </cfRule>
  </conditionalFormatting>
  <conditionalFormatting sqref="O265:R267">
    <cfRule type="containsBlanks" dxfId="1565" priority="1242">
      <formula>LEN(TRIM(O265))=0</formula>
    </cfRule>
  </conditionalFormatting>
  <conditionalFormatting sqref="A265:B267">
    <cfRule type="containsBlanks" dxfId="1564" priority="1239">
      <formula>LEN(TRIM(A265))=0</formula>
    </cfRule>
  </conditionalFormatting>
  <conditionalFormatting sqref="G109">
    <cfRule type="containsBlanks" dxfId="1563" priority="1366">
      <formula>LEN(TRIM(G109))=0</formula>
    </cfRule>
  </conditionalFormatting>
  <conditionalFormatting sqref="C344:C345">
    <cfRule type="containsBlanks" dxfId="1562" priority="1159">
      <formula>LEN(TRIM(C344))=0</formula>
    </cfRule>
  </conditionalFormatting>
  <conditionalFormatting sqref="A134:B134">
    <cfRule type="containsBlanks" dxfId="1561" priority="1348">
      <formula>LEN(TRIM(A134))=0</formula>
    </cfRule>
  </conditionalFormatting>
  <conditionalFormatting sqref="E531">
    <cfRule type="containsBlanks" dxfId="1560" priority="1578">
      <formula>LEN(TRIM(E531))=0</formula>
    </cfRule>
  </conditionalFormatting>
  <conditionalFormatting sqref="D531">
    <cfRule type="containsBlanks" dxfId="1559" priority="1576">
      <formula>LEN(TRIM(D531))=0</formula>
    </cfRule>
  </conditionalFormatting>
  <conditionalFormatting sqref="F531">
    <cfRule type="containsBlanks" dxfId="1558" priority="1575">
      <formula>LEN(TRIM(F531))=0</formula>
    </cfRule>
  </conditionalFormatting>
  <conditionalFormatting sqref="O531:P531">
    <cfRule type="containsBlanks" dxfId="1557" priority="1573">
      <formula>LEN(TRIM(O531))=0</formula>
    </cfRule>
  </conditionalFormatting>
  <conditionalFormatting sqref="O509:R510">
    <cfRule type="containsBlanks" dxfId="1556" priority="1109">
      <formula>LEN(TRIM(O509))=0</formula>
    </cfRule>
  </conditionalFormatting>
  <conditionalFormatting sqref="T210:T212 H210:H212 E210:E212 L210:L212 J210:J212">
    <cfRule type="containsBlanks" dxfId="1555" priority="1293">
      <formula>LEN(TRIM(E210))=0</formula>
    </cfRule>
  </conditionalFormatting>
  <conditionalFormatting sqref="O531:P531">
    <cfRule type="containsBlanks" dxfId="1554" priority="1574">
      <formula>LEN(TRIM(O531))=0</formula>
    </cfRule>
  </conditionalFormatting>
  <conditionalFormatting sqref="E531">
    <cfRule type="containsBlanks" dxfId="1553" priority="1577">
      <formula>LEN(TRIM(E531))=0</formula>
    </cfRule>
  </conditionalFormatting>
  <conditionalFormatting sqref="J531">
    <cfRule type="containsBlanks" dxfId="1552" priority="1572">
      <formula>LEN(TRIM(J531))=0</formula>
    </cfRule>
  </conditionalFormatting>
  <conditionalFormatting sqref="J531">
    <cfRule type="containsBlanks" dxfId="1551" priority="1571">
      <formula>LEN(TRIM(J531))=0</formula>
    </cfRule>
  </conditionalFormatting>
  <conditionalFormatting sqref="L531">
    <cfRule type="containsBlanks" dxfId="1550" priority="1569">
      <formula>LEN(TRIM(L531))=0</formula>
    </cfRule>
  </conditionalFormatting>
  <conditionalFormatting sqref="L531">
    <cfRule type="containsBlanks" dxfId="1549" priority="1570">
      <formula>LEN(TRIM(L531))=0</formula>
    </cfRule>
  </conditionalFormatting>
  <conditionalFormatting sqref="F532">
    <cfRule type="containsBlanks" dxfId="1548" priority="1563">
      <formula>LEN(TRIM(F532))=0</formula>
    </cfRule>
  </conditionalFormatting>
  <conditionalFormatting sqref="D532">
    <cfRule type="containsBlanks" dxfId="1547" priority="1564">
      <formula>LEN(TRIM(D532))=0</formula>
    </cfRule>
  </conditionalFormatting>
  <conditionalFormatting sqref="E532">
    <cfRule type="containsBlanks" dxfId="1546" priority="1566">
      <formula>LEN(TRIM(E532))=0</formula>
    </cfRule>
  </conditionalFormatting>
  <conditionalFormatting sqref="O532:P532">
    <cfRule type="containsBlanks" dxfId="1545" priority="1561">
      <formula>LEN(TRIM(O532))=0</formula>
    </cfRule>
  </conditionalFormatting>
  <conditionalFormatting sqref="C526:C528">
    <cfRule type="containsBlanks" dxfId="1544" priority="1087">
      <formula>LEN(TRIM(C526))=0</formula>
    </cfRule>
  </conditionalFormatting>
  <conditionalFormatting sqref="O532:P532">
    <cfRule type="containsBlanks" dxfId="1543" priority="1562">
      <formula>LEN(TRIM(O532))=0</formula>
    </cfRule>
  </conditionalFormatting>
  <conditionalFormatting sqref="E532">
    <cfRule type="containsBlanks" dxfId="1542" priority="1565">
      <formula>LEN(TRIM(E532))=0</formula>
    </cfRule>
  </conditionalFormatting>
  <conditionalFormatting sqref="J532">
    <cfRule type="containsBlanks" dxfId="1541" priority="1560">
      <formula>LEN(TRIM(J532))=0</formula>
    </cfRule>
  </conditionalFormatting>
  <conditionalFormatting sqref="J532">
    <cfRule type="containsBlanks" dxfId="1540" priority="1559">
      <formula>LEN(TRIM(J532))=0</formula>
    </cfRule>
  </conditionalFormatting>
  <conditionalFormatting sqref="N532">
    <cfRule type="containsBlanks" dxfId="1539" priority="1555">
      <formula>LEN(TRIM(N532))=0</formula>
    </cfRule>
  </conditionalFormatting>
  <conditionalFormatting sqref="L532">
    <cfRule type="containsBlanks" dxfId="1538" priority="1557">
      <formula>LEN(TRIM(L532))=0</formula>
    </cfRule>
  </conditionalFormatting>
  <conditionalFormatting sqref="L532">
    <cfRule type="containsBlanks" dxfId="1537" priority="1558">
      <formula>LEN(TRIM(L532))=0</formula>
    </cfRule>
  </conditionalFormatting>
  <conditionalFormatting sqref="N532">
    <cfRule type="containsBlanks" dxfId="1536" priority="1556">
      <formula>LEN(TRIM(N532))=0</formula>
    </cfRule>
  </conditionalFormatting>
  <conditionalFormatting sqref="A58:B58 O58:P58 J58 T58 E58:F58">
    <cfRule type="containsBlanks" dxfId="1535" priority="1554">
      <formula>LEN(TRIM(A58))=0</formula>
    </cfRule>
  </conditionalFormatting>
  <conditionalFormatting sqref="A58:B58 O58:P58 J58 T58 E58:F58">
    <cfRule type="containsBlanks" dxfId="1534" priority="1553">
      <formula>LEN(TRIM(A58))=0</formula>
    </cfRule>
  </conditionalFormatting>
  <conditionalFormatting sqref="L58">
    <cfRule type="containsBlanks" dxfId="1533" priority="1551">
      <formula>LEN(TRIM(L58))=0</formula>
    </cfRule>
  </conditionalFormatting>
  <conditionalFormatting sqref="N58">
    <cfRule type="containsBlanks" dxfId="1532" priority="1549">
      <formula>LEN(TRIM(N58))=0</formula>
    </cfRule>
  </conditionalFormatting>
  <conditionalFormatting sqref="N58">
    <cfRule type="containsBlanks" dxfId="1531" priority="1550">
      <formula>LEN(TRIM(N58))=0</formula>
    </cfRule>
  </conditionalFormatting>
  <conditionalFormatting sqref="A58:B58 T58">
    <cfRule type="containsBlanks" dxfId="1530" priority="1548">
      <formula>LEN(TRIM(A58))=0</formula>
    </cfRule>
  </conditionalFormatting>
  <conditionalFormatting sqref="C58">
    <cfRule type="containsBlanks" dxfId="1529" priority="1547">
      <formula>LEN(TRIM(C58))=0</formula>
    </cfRule>
  </conditionalFormatting>
  <conditionalFormatting sqref="F58">
    <cfRule type="containsBlanks" dxfId="1528" priority="1546">
      <formula>LEN(TRIM(F58))=0</formula>
    </cfRule>
  </conditionalFormatting>
  <conditionalFormatting sqref="A72:B72 O72 J72 E72">
    <cfRule type="containsBlanks" dxfId="1527" priority="1544">
      <formula>LEN(TRIM(A72))=0</formula>
    </cfRule>
  </conditionalFormatting>
  <conditionalFormatting sqref="A72:B72 O72 J72 E72">
    <cfRule type="containsBlanks" dxfId="1526" priority="1545">
      <formula>LEN(TRIM(A72))=0</formula>
    </cfRule>
  </conditionalFormatting>
  <conditionalFormatting sqref="H72">
    <cfRule type="containsBlanks" dxfId="1525" priority="1543">
      <formula>LEN(TRIM(H72))=0</formula>
    </cfRule>
  </conditionalFormatting>
  <conditionalFormatting sqref="C72">
    <cfRule type="containsBlanks" dxfId="1524" priority="1540">
      <formula>LEN(TRIM(C72))=0</formula>
    </cfRule>
  </conditionalFormatting>
  <conditionalFormatting sqref="H72">
    <cfRule type="containsBlanks" dxfId="1523" priority="1538">
      <formula>LEN(TRIM(H72))=0</formula>
    </cfRule>
  </conditionalFormatting>
  <conditionalFormatting sqref="H72">
    <cfRule type="containsBlanks" dxfId="1522" priority="1539">
      <formula>LEN(TRIM(H72))=0</formula>
    </cfRule>
  </conditionalFormatting>
  <conditionalFormatting sqref="A73:B75 J73:J75 E73:E75 O73:O75">
    <cfRule type="containsBlanks" dxfId="1521" priority="1537">
      <formula>LEN(TRIM(A73))=0</formula>
    </cfRule>
  </conditionalFormatting>
  <conditionalFormatting sqref="A73:B75 J73:J75 E73:E75 O73:O75">
    <cfRule type="containsBlanks" dxfId="1520" priority="1536">
      <formula>LEN(TRIM(A73))=0</formula>
    </cfRule>
  </conditionalFormatting>
  <conditionalFormatting sqref="A73:B75 O73:O75">
    <cfRule type="containsBlanks" dxfId="1519" priority="1535">
      <formula>LEN(TRIM(A73))=0</formula>
    </cfRule>
  </conditionalFormatting>
  <conditionalFormatting sqref="C73:C75">
    <cfRule type="containsBlanks" dxfId="1518" priority="1534">
      <formula>LEN(TRIM(C73))=0</formula>
    </cfRule>
  </conditionalFormatting>
  <conditionalFormatting sqref="T84:T85">
    <cfRule type="containsBlanks" dxfId="1517" priority="1532">
      <formula>LEN(TRIM(T84))=0</formula>
    </cfRule>
  </conditionalFormatting>
  <conditionalFormatting sqref="A84:B85">
    <cfRule type="containsBlanks" dxfId="1516" priority="1530">
      <formula>LEN(TRIM(A84))=0</formula>
    </cfRule>
  </conditionalFormatting>
  <conditionalFormatting sqref="E84:E85 T84:T85">
    <cfRule type="containsBlanks" dxfId="1515" priority="1531">
      <formula>LEN(TRIM(E84))=0</formula>
    </cfRule>
  </conditionalFormatting>
  <conditionalFormatting sqref="E84:E85">
    <cfRule type="containsBlanks" dxfId="1514" priority="1533">
      <formula>LEN(TRIM(E84))=0</formula>
    </cfRule>
  </conditionalFormatting>
  <conditionalFormatting sqref="D84:D85">
    <cfRule type="containsBlanks" dxfId="1513" priority="1529">
      <formula>LEN(TRIM(D84))=0</formula>
    </cfRule>
  </conditionalFormatting>
  <conditionalFormatting sqref="O84:P85">
    <cfRule type="containsBlanks" dxfId="1512" priority="1528">
      <formula>LEN(TRIM(O84))=0</formula>
    </cfRule>
  </conditionalFormatting>
  <conditionalFormatting sqref="N332">
    <cfRule type="containsBlanks" dxfId="1511" priority="1188">
      <formula>LEN(TRIM(N332))=0</formula>
    </cfRule>
  </conditionalFormatting>
  <conditionalFormatting sqref="O84:P85">
    <cfRule type="containsBlanks" dxfId="1510" priority="1527">
      <formula>LEN(TRIM(O84))=0</formula>
    </cfRule>
  </conditionalFormatting>
  <conditionalFormatting sqref="J84:J85">
    <cfRule type="containsBlanks" dxfId="1509" priority="1526">
      <formula>LEN(TRIM(J84))=0</formula>
    </cfRule>
  </conditionalFormatting>
  <conditionalFormatting sqref="N84:N85">
    <cfRule type="containsBlanks" dxfId="1508" priority="1521">
      <formula>LEN(TRIM(N84))=0</formula>
    </cfRule>
  </conditionalFormatting>
  <conditionalFormatting sqref="J84:J85">
    <cfRule type="containsBlanks" dxfId="1507" priority="1525">
      <formula>LEN(TRIM(J84))=0</formula>
    </cfRule>
  </conditionalFormatting>
  <conditionalFormatting sqref="L84:L85">
    <cfRule type="containsBlanks" dxfId="1506" priority="1523">
      <formula>LEN(TRIM(L84))=0</formula>
    </cfRule>
  </conditionalFormatting>
  <conditionalFormatting sqref="L84:L85">
    <cfRule type="containsBlanks" dxfId="1505" priority="1524">
      <formula>LEN(TRIM(L84))=0</formula>
    </cfRule>
  </conditionalFormatting>
  <conditionalFormatting sqref="N84:N85">
    <cfRule type="containsBlanks" dxfId="1504" priority="1522">
      <formula>LEN(TRIM(N84))=0</formula>
    </cfRule>
  </conditionalFormatting>
  <conditionalFormatting sqref="A84:B85 T84:T85">
    <cfRule type="containsBlanks" dxfId="1503" priority="1520">
      <formula>LEN(TRIM(A84))=0</formula>
    </cfRule>
  </conditionalFormatting>
  <conditionalFormatting sqref="C84:C85">
    <cfRule type="containsBlanks" dxfId="1502" priority="1519">
      <formula>LEN(TRIM(C84))=0</formula>
    </cfRule>
  </conditionalFormatting>
  <conditionalFormatting sqref="C84:C85">
    <cfRule type="containsBlanks" dxfId="1501" priority="1518">
      <formula>LEN(TRIM(C84))=0</formula>
    </cfRule>
  </conditionalFormatting>
  <conditionalFormatting sqref="E335:E336">
    <cfRule type="containsBlanks" dxfId="1500" priority="1171">
      <formula>LEN(TRIM(E335))=0</formula>
    </cfRule>
  </conditionalFormatting>
  <conditionalFormatting sqref="E138">
    <cfRule type="containsBlanks" dxfId="1499" priority="1517">
      <formula>LEN(TRIM(E138))=0</formula>
    </cfRule>
  </conditionalFormatting>
  <conditionalFormatting sqref="D138">
    <cfRule type="containsBlanks" dxfId="1498" priority="1513">
      <formula>LEN(TRIM(D138))=0</formula>
    </cfRule>
  </conditionalFormatting>
  <conditionalFormatting sqref="F363">
    <cfRule type="containsBlanks" dxfId="1497" priority="1153">
      <formula>LEN(TRIM(F363))=0</formula>
    </cfRule>
  </conditionalFormatting>
  <conditionalFormatting sqref="O138">
    <cfRule type="containsBlanks" dxfId="1496" priority="1511">
      <formula>LEN(TRIM(O138))=0</formula>
    </cfRule>
  </conditionalFormatting>
  <conditionalFormatting sqref="T138">
    <cfRule type="containsBlanks" dxfId="1495" priority="1516">
      <formula>LEN(TRIM(T138))=0</formula>
    </cfRule>
  </conditionalFormatting>
  <conditionalFormatting sqref="O138">
    <cfRule type="containsBlanks" dxfId="1494" priority="1512">
      <formula>LEN(TRIM(O138))=0</formula>
    </cfRule>
  </conditionalFormatting>
  <conditionalFormatting sqref="E138 T138">
    <cfRule type="containsBlanks" dxfId="1493" priority="1515">
      <formula>LEN(TRIM(E138))=0</formula>
    </cfRule>
  </conditionalFormatting>
  <conditionalFormatting sqref="A138:B138">
    <cfRule type="containsBlanks" dxfId="1492" priority="1514">
      <formula>LEN(TRIM(A138))=0</formula>
    </cfRule>
  </conditionalFormatting>
  <conditionalFormatting sqref="J138">
    <cfRule type="containsBlanks" dxfId="1491" priority="1510">
      <formula>LEN(TRIM(J138))=0</formula>
    </cfRule>
  </conditionalFormatting>
  <conditionalFormatting sqref="J138">
    <cfRule type="containsBlanks" dxfId="1490" priority="1509">
      <formula>LEN(TRIM(J138))=0</formula>
    </cfRule>
  </conditionalFormatting>
  <conditionalFormatting sqref="D138:E138 A138:B138 T138 J138 O138">
    <cfRule type="containsBlanks" dxfId="1489" priority="1508">
      <formula>LEN(TRIM(A138))=0</formula>
    </cfRule>
  </conditionalFormatting>
  <conditionalFormatting sqref="C138">
    <cfRule type="containsBlanks" dxfId="1488" priority="1507">
      <formula>LEN(TRIM(C138))=0</formula>
    </cfRule>
  </conditionalFormatting>
  <conditionalFormatting sqref="C138">
    <cfRule type="containsBlanks" dxfId="1487" priority="1506">
      <formula>LEN(TRIM(C138))=0</formula>
    </cfRule>
  </conditionalFormatting>
  <conditionalFormatting sqref="E145">
    <cfRule type="containsBlanks" dxfId="1486" priority="1505">
      <formula>LEN(TRIM(E145))=0</formula>
    </cfRule>
  </conditionalFormatting>
  <conditionalFormatting sqref="D145">
    <cfRule type="containsBlanks" dxfId="1485" priority="1501">
      <formula>LEN(TRIM(D145))=0</formula>
    </cfRule>
  </conditionalFormatting>
  <conditionalFormatting sqref="F145">
    <cfRule type="containsBlanks" dxfId="1484" priority="1500">
      <formula>LEN(TRIM(F145))=0</formula>
    </cfRule>
  </conditionalFormatting>
  <conditionalFormatting sqref="O145:P145">
    <cfRule type="containsBlanks" dxfId="1483" priority="1498">
      <formula>LEN(TRIM(O145))=0</formula>
    </cfRule>
  </conditionalFormatting>
  <conditionalFormatting sqref="T145">
    <cfRule type="containsBlanks" dxfId="1482" priority="1504">
      <formula>LEN(TRIM(T145))=0</formula>
    </cfRule>
  </conditionalFormatting>
  <conditionalFormatting sqref="O145:P145">
    <cfRule type="containsBlanks" dxfId="1481" priority="1499">
      <formula>LEN(TRIM(O145))=0</formula>
    </cfRule>
  </conditionalFormatting>
  <conditionalFormatting sqref="E145 T145">
    <cfRule type="containsBlanks" dxfId="1480" priority="1503">
      <formula>LEN(TRIM(E145))=0</formula>
    </cfRule>
  </conditionalFormatting>
  <conditionalFormatting sqref="A145:B145">
    <cfRule type="containsBlanks" dxfId="1479" priority="1502">
      <formula>LEN(TRIM(A145))=0</formula>
    </cfRule>
  </conditionalFormatting>
  <conditionalFormatting sqref="N145">
    <cfRule type="containsBlanks" dxfId="1478" priority="1492">
      <formula>LEN(TRIM(N145))=0</formula>
    </cfRule>
  </conditionalFormatting>
  <conditionalFormatting sqref="J145">
    <cfRule type="containsBlanks" dxfId="1477" priority="1497">
      <formula>LEN(TRIM(J145))=0</formula>
    </cfRule>
  </conditionalFormatting>
  <conditionalFormatting sqref="J145">
    <cfRule type="containsBlanks" dxfId="1476" priority="1496">
      <formula>LEN(TRIM(J145))=0</formula>
    </cfRule>
  </conditionalFormatting>
  <conditionalFormatting sqref="L145">
    <cfRule type="containsBlanks" dxfId="1475" priority="1495">
      <formula>LEN(TRIM(L145))=0</formula>
    </cfRule>
  </conditionalFormatting>
  <conditionalFormatting sqref="L145">
    <cfRule type="containsBlanks" dxfId="1474" priority="1494">
      <formula>LEN(TRIM(L145))=0</formula>
    </cfRule>
  </conditionalFormatting>
  <conditionalFormatting sqref="N145">
    <cfRule type="containsBlanks" dxfId="1473" priority="1493">
      <formula>LEN(TRIM(N145))=0</formula>
    </cfRule>
  </conditionalFormatting>
  <conditionalFormatting sqref="A145:B145 T145">
    <cfRule type="containsBlanks" dxfId="1472" priority="1491">
      <formula>LEN(TRIM(A145))=0</formula>
    </cfRule>
  </conditionalFormatting>
  <conditionalFormatting sqref="C145">
    <cfRule type="containsBlanks" dxfId="1471" priority="1490">
      <formula>LEN(TRIM(C145))=0</formula>
    </cfRule>
  </conditionalFormatting>
  <conditionalFormatting sqref="C145">
    <cfRule type="containsBlanks" dxfId="1470" priority="1489">
      <formula>LEN(TRIM(C145))=0</formula>
    </cfRule>
  </conditionalFormatting>
  <conditionalFormatting sqref="E147">
    <cfRule type="containsBlanks" dxfId="1469" priority="1488">
      <formula>LEN(TRIM(E147))=0</formula>
    </cfRule>
  </conditionalFormatting>
  <conditionalFormatting sqref="D147">
    <cfRule type="containsBlanks" dxfId="1468" priority="1485">
      <formula>LEN(TRIM(D147))=0</formula>
    </cfRule>
  </conditionalFormatting>
  <conditionalFormatting sqref="O147:P147">
    <cfRule type="containsBlanks" dxfId="1467" priority="1484">
      <formula>LEN(TRIM(O147))=0</formula>
    </cfRule>
  </conditionalFormatting>
  <conditionalFormatting sqref="E420">
    <cfRule type="containsBlanks" dxfId="1466" priority="1127">
      <formula>LEN(TRIM(E420))=0</formula>
    </cfRule>
  </conditionalFormatting>
  <conditionalFormatting sqref="O147:P147">
    <cfRule type="containsBlanks" dxfId="1465" priority="1483">
      <formula>LEN(TRIM(O147))=0</formula>
    </cfRule>
  </conditionalFormatting>
  <conditionalFormatting sqref="E147">
    <cfRule type="containsBlanks" dxfId="1464" priority="1487">
      <formula>LEN(TRIM(E147))=0</formula>
    </cfRule>
  </conditionalFormatting>
  <conditionalFormatting sqref="A147:B147">
    <cfRule type="containsBlanks" dxfId="1463" priority="1486">
      <formula>LEN(TRIM(A147))=0</formula>
    </cfRule>
  </conditionalFormatting>
  <conditionalFormatting sqref="N147">
    <cfRule type="containsBlanks" dxfId="1462" priority="1477">
      <formula>LEN(TRIM(N147))=0</formula>
    </cfRule>
  </conditionalFormatting>
  <conditionalFormatting sqref="J147">
    <cfRule type="containsBlanks" dxfId="1461" priority="1482">
      <formula>LEN(TRIM(J147))=0</formula>
    </cfRule>
  </conditionalFormatting>
  <conditionalFormatting sqref="J147">
    <cfRule type="containsBlanks" dxfId="1460" priority="1481">
      <formula>LEN(TRIM(J147))=0</formula>
    </cfRule>
  </conditionalFormatting>
  <conditionalFormatting sqref="L147">
    <cfRule type="containsBlanks" dxfId="1459" priority="1480">
      <formula>LEN(TRIM(L147))=0</formula>
    </cfRule>
  </conditionalFormatting>
  <conditionalFormatting sqref="L147">
    <cfRule type="containsBlanks" dxfId="1458" priority="1479">
      <formula>LEN(TRIM(L147))=0</formula>
    </cfRule>
  </conditionalFormatting>
  <conditionalFormatting sqref="N147">
    <cfRule type="containsBlanks" dxfId="1457" priority="1478">
      <formula>LEN(TRIM(N147))=0</formula>
    </cfRule>
  </conditionalFormatting>
  <conditionalFormatting sqref="A147:B147">
    <cfRule type="containsBlanks" dxfId="1456" priority="1476">
      <formula>LEN(TRIM(A147))=0</formula>
    </cfRule>
  </conditionalFormatting>
  <conditionalFormatting sqref="C147">
    <cfRule type="containsBlanks" dxfId="1455" priority="1475">
      <formula>LEN(TRIM(C147))=0</formula>
    </cfRule>
  </conditionalFormatting>
  <conditionalFormatting sqref="C147">
    <cfRule type="containsBlanks" dxfId="1454" priority="1474">
      <formula>LEN(TRIM(C147))=0</formula>
    </cfRule>
  </conditionalFormatting>
  <conditionalFormatting sqref="E150">
    <cfRule type="containsBlanks" dxfId="1453" priority="1473">
      <formula>LEN(TRIM(E150))=0</formula>
    </cfRule>
  </conditionalFormatting>
  <conditionalFormatting sqref="D150">
    <cfRule type="containsBlanks" dxfId="1452" priority="1469">
      <formula>LEN(TRIM(D150))=0</formula>
    </cfRule>
  </conditionalFormatting>
  <conditionalFormatting sqref="F150">
    <cfRule type="containsBlanks" dxfId="1451" priority="1468">
      <formula>LEN(TRIM(F150))=0</formula>
    </cfRule>
  </conditionalFormatting>
  <conditionalFormatting sqref="O150:P150">
    <cfRule type="containsBlanks" dxfId="1450" priority="1466">
      <formula>LEN(TRIM(O150))=0</formula>
    </cfRule>
  </conditionalFormatting>
  <conditionalFormatting sqref="T150">
    <cfRule type="containsBlanks" dxfId="1449" priority="1472">
      <formula>LEN(TRIM(T150))=0</formula>
    </cfRule>
  </conditionalFormatting>
  <conditionalFormatting sqref="O150:P150">
    <cfRule type="containsBlanks" dxfId="1448" priority="1467">
      <formula>LEN(TRIM(O150))=0</formula>
    </cfRule>
  </conditionalFormatting>
  <conditionalFormatting sqref="E150 T150">
    <cfRule type="containsBlanks" dxfId="1447" priority="1471">
      <formula>LEN(TRIM(E150))=0</formula>
    </cfRule>
  </conditionalFormatting>
  <conditionalFormatting sqref="A150:B150">
    <cfRule type="containsBlanks" dxfId="1446" priority="1470">
      <formula>LEN(TRIM(A150))=0</formula>
    </cfRule>
  </conditionalFormatting>
  <conditionalFormatting sqref="N150">
    <cfRule type="containsBlanks" dxfId="1445" priority="1460">
      <formula>LEN(TRIM(N150))=0</formula>
    </cfRule>
  </conditionalFormatting>
  <conditionalFormatting sqref="J150">
    <cfRule type="containsBlanks" dxfId="1444" priority="1465">
      <formula>LEN(TRIM(J150))=0</formula>
    </cfRule>
  </conditionalFormatting>
  <conditionalFormatting sqref="J150">
    <cfRule type="containsBlanks" dxfId="1443" priority="1464">
      <formula>LEN(TRIM(J150))=0</formula>
    </cfRule>
  </conditionalFormatting>
  <conditionalFormatting sqref="L150">
    <cfRule type="containsBlanks" dxfId="1442" priority="1463">
      <formula>LEN(TRIM(L150))=0</formula>
    </cfRule>
  </conditionalFormatting>
  <conditionalFormatting sqref="L150">
    <cfRule type="containsBlanks" dxfId="1441" priority="1462">
      <formula>LEN(TRIM(L150))=0</formula>
    </cfRule>
  </conditionalFormatting>
  <conditionalFormatting sqref="N150">
    <cfRule type="containsBlanks" dxfId="1440" priority="1461">
      <formula>LEN(TRIM(N150))=0</formula>
    </cfRule>
  </conditionalFormatting>
  <conditionalFormatting sqref="A150:B150 T150">
    <cfRule type="containsBlanks" dxfId="1439" priority="1459">
      <formula>LEN(TRIM(A150))=0</formula>
    </cfRule>
  </conditionalFormatting>
  <conditionalFormatting sqref="C150">
    <cfRule type="containsBlanks" dxfId="1438" priority="1458">
      <formula>LEN(TRIM(C150))=0</formula>
    </cfRule>
  </conditionalFormatting>
  <conditionalFormatting sqref="C150">
    <cfRule type="containsBlanks" dxfId="1437" priority="1457">
      <formula>LEN(TRIM(C150))=0</formula>
    </cfRule>
  </conditionalFormatting>
  <conditionalFormatting sqref="A523:B523 T523">
    <cfRule type="containsBlanks" dxfId="1436" priority="1456">
      <formula>LEN(TRIM(A523))=0</formula>
    </cfRule>
  </conditionalFormatting>
  <conditionalFormatting sqref="A523:B523 T523">
    <cfRule type="containsBlanks" dxfId="1435" priority="1455">
      <formula>LEN(TRIM(A523))=0</formula>
    </cfRule>
  </conditionalFormatting>
  <conditionalFormatting sqref="C523">
    <cfRule type="containsBlanks" dxfId="1434" priority="1454">
      <formula>LEN(TRIM(C523))=0</formula>
    </cfRule>
  </conditionalFormatting>
  <conditionalFormatting sqref="A524:B524 T524">
    <cfRule type="containsBlanks" dxfId="1433" priority="1452">
      <formula>LEN(TRIM(A524))=0</formula>
    </cfRule>
  </conditionalFormatting>
  <conditionalFormatting sqref="A524:B524 T524">
    <cfRule type="containsBlanks" dxfId="1432" priority="1453">
      <formula>LEN(TRIM(A524))=0</formula>
    </cfRule>
  </conditionalFormatting>
  <conditionalFormatting sqref="C524">
    <cfRule type="containsBlanks" dxfId="1431" priority="1451">
      <formula>LEN(TRIM(C524))=0</formula>
    </cfRule>
  </conditionalFormatting>
  <conditionalFormatting sqref="A544:B544 T544">
    <cfRule type="containsBlanks" dxfId="1430" priority="1450">
      <formula>LEN(TRIM(A544))=0</formula>
    </cfRule>
  </conditionalFormatting>
  <conditionalFormatting sqref="A544:B544 T544">
    <cfRule type="containsBlanks" dxfId="1429" priority="1449">
      <formula>LEN(TRIM(A544))=0</formula>
    </cfRule>
  </conditionalFormatting>
  <conditionalFormatting sqref="C544">
    <cfRule type="containsBlanks" dxfId="1428" priority="1448">
      <formula>LEN(TRIM(C544))=0</formula>
    </cfRule>
  </conditionalFormatting>
  <conditionalFormatting sqref="A552:B553 T552:T553">
    <cfRule type="containsBlanks" dxfId="1427" priority="1447">
      <formula>LEN(TRIM(A552))=0</formula>
    </cfRule>
  </conditionalFormatting>
  <conditionalFormatting sqref="A552:B553 T552:T553">
    <cfRule type="containsBlanks" dxfId="1426" priority="1446">
      <formula>LEN(TRIM(A552))=0</formula>
    </cfRule>
  </conditionalFormatting>
  <conditionalFormatting sqref="C552:C553">
    <cfRule type="containsBlanks" dxfId="1425" priority="1445">
      <formula>LEN(TRIM(C552))=0</formula>
    </cfRule>
  </conditionalFormatting>
  <conditionalFormatting sqref="E577">
    <cfRule type="containsBlanks" dxfId="1424" priority="1444">
      <formula>LEN(TRIM(E577))=0</formula>
    </cfRule>
  </conditionalFormatting>
  <conditionalFormatting sqref="D577">
    <cfRule type="containsBlanks" dxfId="1423" priority="1441">
      <formula>LEN(TRIM(D577))=0</formula>
    </cfRule>
  </conditionalFormatting>
  <conditionalFormatting sqref="F577">
    <cfRule type="containsBlanks" dxfId="1422" priority="1440">
      <formula>LEN(TRIM(F577))=0</formula>
    </cfRule>
  </conditionalFormatting>
  <conditionalFormatting sqref="O577:P577">
    <cfRule type="containsBlanks" dxfId="1421" priority="1438">
      <formula>LEN(TRIM(O577))=0</formula>
    </cfRule>
  </conditionalFormatting>
  <conditionalFormatting sqref="O577:P577">
    <cfRule type="containsBlanks" dxfId="1420" priority="1439">
      <formula>LEN(TRIM(O577))=0</formula>
    </cfRule>
  </conditionalFormatting>
  <conditionalFormatting sqref="E577">
    <cfRule type="containsBlanks" dxfId="1419" priority="1443">
      <formula>LEN(TRIM(E577))=0</formula>
    </cfRule>
  </conditionalFormatting>
  <conditionalFormatting sqref="A577:B577">
    <cfRule type="containsBlanks" dxfId="1418" priority="1442">
      <formula>LEN(TRIM(A577))=0</formula>
    </cfRule>
  </conditionalFormatting>
  <conditionalFormatting sqref="J577">
    <cfRule type="containsBlanks" dxfId="1417" priority="1437">
      <formula>LEN(TRIM(J577))=0</formula>
    </cfRule>
  </conditionalFormatting>
  <conditionalFormatting sqref="J577">
    <cfRule type="containsBlanks" dxfId="1416" priority="1436">
      <formula>LEN(TRIM(J577))=0</formula>
    </cfRule>
  </conditionalFormatting>
  <conditionalFormatting sqref="L577">
    <cfRule type="containsBlanks" dxfId="1415" priority="1435">
      <formula>LEN(TRIM(L577))=0</formula>
    </cfRule>
  </conditionalFormatting>
  <conditionalFormatting sqref="L577">
    <cfRule type="containsBlanks" dxfId="1414" priority="1434">
      <formula>LEN(TRIM(L577))=0</formula>
    </cfRule>
  </conditionalFormatting>
  <conditionalFormatting sqref="N577">
    <cfRule type="containsBlanks" dxfId="1413" priority="1432">
      <formula>LEN(TRIM(N577))=0</formula>
    </cfRule>
  </conditionalFormatting>
  <conditionalFormatting sqref="N577">
    <cfRule type="containsBlanks" dxfId="1412" priority="1433">
      <formula>LEN(TRIM(N577))=0</formula>
    </cfRule>
  </conditionalFormatting>
  <conditionalFormatting sqref="A577:B577">
    <cfRule type="containsBlanks" dxfId="1411" priority="1431">
      <formula>LEN(TRIM(A577))=0</formula>
    </cfRule>
  </conditionalFormatting>
  <conditionalFormatting sqref="T52 E52 J52 L52 H52">
    <cfRule type="containsBlanks" dxfId="1410" priority="1429">
      <formula>LEN(TRIM(E52))=0</formula>
    </cfRule>
  </conditionalFormatting>
  <conditionalFormatting sqref="D52">
    <cfRule type="containsBlanks" dxfId="1409" priority="1426">
      <formula>LEN(TRIM(D52))=0</formula>
    </cfRule>
  </conditionalFormatting>
  <conditionalFormatting sqref="F52">
    <cfRule type="containsBlanks" dxfId="1408" priority="1425">
      <formula>LEN(TRIM(F52))=0</formula>
    </cfRule>
  </conditionalFormatting>
  <conditionalFormatting sqref="G52">
    <cfRule type="containsBlanks" dxfId="1407" priority="1424">
      <formula>LEN(TRIM(G52))=0</formula>
    </cfRule>
  </conditionalFormatting>
  <conditionalFormatting sqref="O52:R52">
    <cfRule type="containsBlanks" dxfId="1406" priority="1422">
      <formula>LEN(TRIM(O52))=0</formula>
    </cfRule>
  </conditionalFormatting>
  <conditionalFormatting sqref="O52:R52">
    <cfRule type="containsBlanks" dxfId="1405" priority="1423">
      <formula>LEN(TRIM(O52))=0</formula>
    </cfRule>
  </conditionalFormatting>
  <conditionalFormatting sqref="T52 E52 J52 L52 H52">
    <cfRule type="containsBlanks" dxfId="1404" priority="1428">
      <formula>LEN(TRIM(E52))=0</formula>
    </cfRule>
  </conditionalFormatting>
  <conditionalFormatting sqref="A52:B52">
    <cfRule type="containsBlanks" dxfId="1403" priority="1427">
      <formula>LEN(TRIM(A52))=0</formula>
    </cfRule>
  </conditionalFormatting>
  <conditionalFormatting sqref="N52">
    <cfRule type="containsBlanks" dxfId="1402" priority="1420">
      <formula>LEN(TRIM(N52))=0</formula>
    </cfRule>
  </conditionalFormatting>
  <conditionalFormatting sqref="N52">
    <cfRule type="containsBlanks" dxfId="1401" priority="1421">
      <formula>LEN(TRIM(N52))=0</formula>
    </cfRule>
  </conditionalFormatting>
  <conditionalFormatting sqref="A52:B52">
    <cfRule type="containsBlanks" dxfId="1400" priority="1419">
      <formula>LEN(TRIM(A52))=0</formula>
    </cfRule>
  </conditionalFormatting>
  <conditionalFormatting sqref="C52">
    <cfRule type="containsBlanks" dxfId="1399" priority="1418">
      <formula>LEN(TRIM(C52))=0</formula>
    </cfRule>
  </conditionalFormatting>
  <conditionalFormatting sqref="E52">
    <cfRule type="containsBlanks" dxfId="1398" priority="1417">
      <formula>LEN(TRIM(E52))=0</formula>
    </cfRule>
  </conditionalFormatting>
  <conditionalFormatting sqref="T64 E64 J64 L64 H64">
    <cfRule type="containsBlanks" dxfId="1397" priority="1416">
      <formula>LEN(TRIM(E64))=0</formula>
    </cfRule>
  </conditionalFormatting>
  <conditionalFormatting sqref="D64">
    <cfRule type="containsBlanks" dxfId="1396" priority="1413">
      <formula>LEN(TRIM(D64))=0</formula>
    </cfRule>
  </conditionalFormatting>
  <conditionalFormatting sqref="F64">
    <cfRule type="containsBlanks" dxfId="1395" priority="1412">
      <formula>LEN(TRIM(F64))=0</formula>
    </cfRule>
  </conditionalFormatting>
  <conditionalFormatting sqref="G64">
    <cfRule type="containsBlanks" dxfId="1394" priority="1411">
      <formula>LEN(TRIM(G64))=0</formula>
    </cfRule>
  </conditionalFormatting>
  <conditionalFormatting sqref="O64:R64">
    <cfRule type="containsBlanks" dxfId="1393" priority="1409">
      <formula>LEN(TRIM(O64))=0</formula>
    </cfRule>
  </conditionalFormatting>
  <conditionalFormatting sqref="O64:R64">
    <cfRule type="containsBlanks" dxfId="1392" priority="1410">
      <formula>LEN(TRIM(O64))=0</formula>
    </cfRule>
  </conditionalFormatting>
  <conditionalFormatting sqref="T64 E64 J64 L64 H64">
    <cfRule type="containsBlanks" dxfId="1391" priority="1415">
      <formula>LEN(TRIM(E64))=0</formula>
    </cfRule>
  </conditionalFormatting>
  <conditionalFormatting sqref="N64">
    <cfRule type="containsBlanks" dxfId="1390" priority="1407">
      <formula>LEN(TRIM(N64))=0</formula>
    </cfRule>
  </conditionalFormatting>
  <conditionalFormatting sqref="N64">
    <cfRule type="containsBlanks" dxfId="1389" priority="1408">
      <formula>LEN(TRIM(N64))=0</formula>
    </cfRule>
  </conditionalFormatting>
  <conditionalFormatting sqref="A64:B64">
    <cfRule type="containsBlanks" dxfId="1388" priority="1406">
      <formula>LEN(TRIM(A64))=0</formula>
    </cfRule>
  </conditionalFormatting>
  <conditionalFormatting sqref="C64">
    <cfRule type="containsBlanks" dxfId="1387" priority="1405">
      <formula>LEN(TRIM(C64))=0</formula>
    </cfRule>
  </conditionalFormatting>
  <conditionalFormatting sqref="E64">
    <cfRule type="containsBlanks" dxfId="1386" priority="1404">
      <formula>LEN(TRIM(E64))=0</formula>
    </cfRule>
  </conditionalFormatting>
  <conditionalFormatting sqref="T76:T77 E76:E77 J76:J77 L76:L77 H76:H77">
    <cfRule type="containsBlanks" dxfId="1385" priority="1403">
      <formula>LEN(TRIM(E76))=0</formula>
    </cfRule>
  </conditionalFormatting>
  <conditionalFormatting sqref="D76:D77 J77 L77 N77:R77 E77:H77">
    <cfRule type="containsBlanks" dxfId="1384" priority="1400">
      <formula>LEN(TRIM(D76))=0</formula>
    </cfRule>
  </conditionalFormatting>
  <conditionalFormatting sqref="F76:F77">
    <cfRule type="containsBlanks" dxfId="1383" priority="1399">
      <formula>LEN(TRIM(F76))=0</formula>
    </cfRule>
  </conditionalFormatting>
  <conditionalFormatting sqref="G76:G77">
    <cfRule type="containsBlanks" dxfId="1382" priority="1398">
      <formula>LEN(TRIM(G76))=0</formula>
    </cfRule>
  </conditionalFormatting>
  <conditionalFormatting sqref="O76:R77">
    <cfRule type="containsBlanks" dxfId="1381" priority="1396">
      <formula>LEN(TRIM(O76))=0</formula>
    </cfRule>
  </conditionalFormatting>
  <conditionalFormatting sqref="O76:R77">
    <cfRule type="containsBlanks" dxfId="1380" priority="1397">
      <formula>LEN(TRIM(O76))=0</formula>
    </cfRule>
  </conditionalFormatting>
  <conditionalFormatting sqref="T76:T77 E76:E77 J76:J77 L76:L77 H76:H77">
    <cfRule type="containsBlanks" dxfId="1379" priority="1402">
      <formula>LEN(TRIM(E76))=0</formula>
    </cfRule>
  </conditionalFormatting>
  <conditionalFormatting sqref="A76:B77">
    <cfRule type="containsBlanks" dxfId="1378" priority="1401">
      <formula>LEN(TRIM(A76))=0</formula>
    </cfRule>
  </conditionalFormatting>
  <conditionalFormatting sqref="N76:N77">
    <cfRule type="containsBlanks" dxfId="1377" priority="1394">
      <formula>LEN(TRIM(N76))=0</formula>
    </cfRule>
  </conditionalFormatting>
  <conditionalFormatting sqref="N76:N77">
    <cfRule type="containsBlanks" dxfId="1376" priority="1395">
      <formula>LEN(TRIM(N76))=0</formula>
    </cfRule>
  </conditionalFormatting>
  <conditionalFormatting sqref="A76:B77">
    <cfRule type="containsBlanks" dxfId="1375" priority="1393">
      <formula>LEN(TRIM(A76))=0</formula>
    </cfRule>
  </conditionalFormatting>
  <conditionalFormatting sqref="C76:C77">
    <cfRule type="containsBlanks" dxfId="1374" priority="1392">
      <formula>LEN(TRIM(C76))=0</formula>
    </cfRule>
  </conditionalFormatting>
  <conditionalFormatting sqref="E76:E77">
    <cfRule type="containsBlanks" dxfId="1373" priority="1391">
      <formula>LEN(TRIM(E76))=0</formula>
    </cfRule>
  </conditionalFormatting>
  <conditionalFormatting sqref="T90 E90 J90 L90 H90">
    <cfRule type="containsBlanks" dxfId="1372" priority="1390">
      <formula>LEN(TRIM(E90))=0</formula>
    </cfRule>
  </conditionalFormatting>
  <conditionalFormatting sqref="D90">
    <cfRule type="containsBlanks" dxfId="1371" priority="1387">
      <formula>LEN(TRIM(D90))=0</formula>
    </cfRule>
  </conditionalFormatting>
  <conditionalFormatting sqref="F90">
    <cfRule type="containsBlanks" dxfId="1370" priority="1386">
      <formula>LEN(TRIM(F90))=0</formula>
    </cfRule>
  </conditionalFormatting>
  <conditionalFormatting sqref="G90">
    <cfRule type="containsBlanks" dxfId="1369" priority="1385">
      <formula>LEN(TRIM(G90))=0</formula>
    </cfRule>
  </conditionalFormatting>
  <conditionalFormatting sqref="O90:R90">
    <cfRule type="containsBlanks" dxfId="1368" priority="1383">
      <formula>LEN(TRIM(O90))=0</formula>
    </cfRule>
  </conditionalFormatting>
  <conditionalFormatting sqref="O90:R90">
    <cfRule type="containsBlanks" dxfId="1367" priority="1384">
      <formula>LEN(TRIM(O90))=0</formula>
    </cfRule>
  </conditionalFormatting>
  <conditionalFormatting sqref="T90 E90 J90 L90 H90">
    <cfRule type="containsBlanks" dxfId="1366" priority="1389">
      <formula>LEN(TRIM(E90))=0</formula>
    </cfRule>
  </conditionalFormatting>
  <conditionalFormatting sqref="A90:B90">
    <cfRule type="containsBlanks" dxfId="1365" priority="1388">
      <formula>LEN(TRIM(A90))=0</formula>
    </cfRule>
  </conditionalFormatting>
  <conditionalFormatting sqref="N90">
    <cfRule type="containsBlanks" dxfId="1364" priority="1381">
      <formula>LEN(TRIM(N90))=0</formula>
    </cfRule>
  </conditionalFormatting>
  <conditionalFormatting sqref="N90">
    <cfRule type="containsBlanks" dxfId="1363" priority="1382">
      <formula>LEN(TRIM(N90))=0</formula>
    </cfRule>
  </conditionalFormatting>
  <conditionalFormatting sqref="A90:B90">
    <cfRule type="containsBlanks" dxfId="1362" priority="1380">
      <formula>LEN(TRIM(A90))=0</formula>
    </cfRule>
  </conditionalFormatting>
  <conditionalFormatting sqref="C90">
    <cfRule type="containsBlanks" dxfId="1361" priority="1379">
      <formula>LEN(TRIM(C90))=0</formula>
    </cfRule>
  </conditionalFormatting>
  <conditionalFormatting sqref="E90">
    <cfRule type="containsBlanks" dxfId="1360" priority="1378">
      <formula>LEN(TRIM(E90))=0</formula>
    </cfRule>
  </conditionalFormatting>
  <conditionalFormatting sqref="T91">
    <cfRule type="containsBlanks" dxfId="1359" priority="1377">
      <formula>LEN(TRIM(T91))=0</formula>
    </cfRule>
  </conditionalFormatting>
  <conditionalFormatting sqref="D91:R91">
    <cfRule type="containsBlanks" dxfId="1358" priority="1374">
      <formula>LEN(TRIM(D91))=0</formula>
    </cfRule>
  </conditionalFormatting>
  <conditionalFormatting sqref="C91">
    <cfRule type="containsBlanks" dxfId="1357" priority="1372">
      <formula>LEN(TRIM(C91))=0</formula>
    </cfRule>
  </conditionalFormatting>
  <conditionalFormatting sqref="A91:B91">
    <cfRule type="containsBlanks" dxfId="1356" priority="1373">
      <formula>LEN(TRIM(A91))=0</formula>
    </cfRule>
  </conditionalFormatting>
  <conditionalFormatting sqref="T91">
    <cfRule type="containsBlanks" dxfId="1355" priority="1376">
      <formula>LEN(TRIM(T91))=0</formula>
    </cfRule>
  </conditionalFormatting>
  <conditionalFormatting sqref="A91:B91">
    <cfRule type="containsBlanks" dxfId="1354" priority="1375">
      <formula>LEN(TRIM(A91))=0</formula>
    </cfRule>
  </conditionalFormatting>
  <conditionalFormatting sqref="T109 E109 J109 L109 H109">
    <cfRule type="containsBlanks" dxfId="1353" priority="1371">
      <formula>LEN(TRIM(E109))=0</formula>
    </cfRule>
  </conditionalFormatting>
  <conditionalFormatting sqref="D109">
    <cfRule type="containsBlanks" dxfId="1352" priority="1368">
      <formula>LEN(TRIM(D109))=0</formula>
    </cfRule>
  </conditionalFormatting>
  <conditionalFormatting sqref="F109">
    <cfRule type="containsBlanks" dxfId="1351" priority="1367">
      <formula>LEN(TRIM(F109))=0</formula>
    </cfRule>
  </conditionalFormatting>
  <conditionalFormatting sqref="O109:R109">
    <cfRule type="containsBlanks" dxfId="1350" priority="1364">
      <formula>LEN(TRIM(O109))=0</formula>
    </cfRule>
  </conditionalFormatting>
  <conditionalFormatting sqref="O109:R109">
    <cfRule type="containsBlanks" dxfId="1349" priority="1365">
      <formula>LEN(TRIM(O109))=0</formula>
    </cfRule>
  </conditionalFormatting>
  <conditionalFormatting sqref="T109 E109 J109 L109 H109">
    <cfRule type="containsBlanks" dxfId="1348" priority="1370">
      <formula>LEN(TRIM(E109))=0</formula>
    </cfRule>
  </conditionalFormatting>
  <conditionalFormatting sqref="A109:B109">
    <cfRule type="containsBlanks" dxfId="1347" priority="1369">
      <formula>LEN(TRIM(A109))=0</formula>
    </cfRule>
  </conditionalFormatting>
  <conditionalFormatting sqref="N109">
    <cfRule type="containsBlanks" dxfId="1346" priority="1362">
      <formula>LEN(TRIM(N109))=0</formula>
    </cfRule>
  </conditionalFormatting>
  <conditionalFormatting sqref="N109">
    <cfRule type="containsBlanks" dxfId="1345" priority="1363">
      <formula>LEN(TRIM(N109))=0</formula>
    </cfRule>
  </conditionalFormatting>
  <conditionalFormatting sqref="A109:B109">
    <cfRule type="containsBlanks" dxfId="1344" priority="1361">
      <formula>LEN(TRIM(A109))=0</formula>
    </cfRule>
  </conditionalFormatting>
  <conditionalFormatting sqref="D134">
    <cfRule type="containsBlanks" dxfId="1343" priority="1355">
      <formula>LEN(TRIM(D134))=0</formula>
    </cfRule>
  </conditionalFormatting>
  <conditionalFormatting sqref="F134">
    <cfRule type="containsBlanks" dxfId="1342" priority="1354">
      <formula>LEN(TRIM(F134))=0</formula>
    </cfRule>
  </conditionalFormatting>
  <conditionalFormatting sqref="G134">
    <cfRule type="containsBlanks" dxfId="1341" priority="1353">
      <formula>LEN(TRIM(G134))=0</formula>
    </cfRule>
  </conditionalFormatting>
  <conditionalFormatting sqref="O134:R134">
    <cfRule type="containsBlanks" dxfId="1340" priority="1351">
      <formula>LEN(TRIM(O134))=0</formula>
    </cfRule>
  </conditionalFormatting>
  <conditionalFormatting sqref="O134:R134">
    <cfRule type="containsBlanks" dxfId="1339" priority="1352">
      <formula>LEN(TRIM(O134))=0</formula>
    </cfRule>
  </conditionalFormatting>
  <conditionalFormatting sqref="S134:T134 E134 J134 L134 H134 S135:S137">
    <cfRule type="containsBlanks" dxfId="1338" priority="1357">
      <formula>LEN(TRIM(E134))=0</formula>
    </cfRule>
  </conditionalFormatting>
  <conditionalFormatting sqref="A134:B134">
    <cfRule type="containsBlanks" dxfId="1337" priority="1356">
      <formula>LEN(TRIM(A134))=0</formula>
    </cfRule>
  </conditionalFormatting>
  <conditionalFormatting sqref="N134">
    <cfRule type="containsBlanks" dxfId="1336" priority="1349">
      <formula>LEN(TRIM(N134))=0</formula>
    </cfRule>
  </conditionalFormatting>
  <conditionalFormatting sqref="N134">
    <cfRule type="containsBlanks" dxfId="1335" priority="1350">
      <formula>LEN(TRIM(N134))=0</formula>
    </cfRule>
  </conditionalFormatting>
  <conditionalFormatting sqref="C134">
    <cfRule type="containsBlanks" dxfId="1334" priority="1347">
      <formula>LEN(TRIM(C134))=0</formula>
    </cfRule>
  </conditionalFormatting>
  <conditionalFormatting sqref="E134">
    <cfRule type="containsBlanks" dxfId="1333" priority="1346">
      <formula>LEN(TRIM(E134))=0</formula>
    </cfRule>
  </conditionalFormatting>
  <conditionalFormatting sqref="S135:T135 E135 J135 L135 H135">
    <cfRule type="containsBlanks" dxfId="1332" priority="1345">
      <formula>LEN(TRIM(E135))=0</formula>
    </cfRule>
  </conditionalFormatting>
  <conditionalFormatting sqref="D135">
    <cfRule type="containsBlanks" dxfId="1331" priority="1342">
      <formula>LEN(TRIM(D135))=0</formula>
    </cfRule>
  </conditionalFormatting>
  <conditionalFormatting sqref="F135">
    <cfRule type="containsBlanks" dxfId="1330" priority="1341">
      <formula>LEN(TRIM(F135))=0</formula>
    </cfRule>
  </conditionalFormatting>
  <conditionalFormatting sqref="G135">
    <cfRule type="containsBlanks" dxfId="1329" priority="1340">
      <formula>LEN(TRIM(G135))=0</formula>
    </cfRule>
  </conditionalFormatting>
  <conditionalFormatting sqref="O135:R135">
    <cfRule type="containsBlanks" dxfId="1328" priority="1338">
      <formula>LEN(TRIM(O135))=0</formula>
    </cfRule>
  </conditionalFormatting>
  <conditionalFormatting sqref="O135:R135">
    <cfRule type="containsBlanks" dxfId="1327" priority="1339">
      <formula>LEN(TRIM(O135))=0</formula>
    </cfRule>
  </conditionalFormatting>
  <conditionalFormatting sqref="S135:T135 E135 J135 L135 H135">
    <cfRule type="containsBlanks" dxfId="1326" priority="1344">
      <formula>LEN(TRIM(E135))=0</formula>
    </cfRule>
  </conditionalFormatting>
  <conditionalFormatting sqref="A135:B135">
    <cfRule type="containsBlanks" dxfId="1325" priority="1343">
      <formula>LEN(TRIM(A135))=0</formula>
    </cfRule>
  </conditionalFormatting>
  <conditionalFormatting sqref="N135">
    <cfRule type="containsBlanks" dxfId="1324" priority="1336">
      <formula>LEN(TRIM(N135))=0</formula>
    </cfRule>
  </conditionalFormatting>
  <conditionalFormatting sqref="N135">
    <cfRule type="containsBlanks" dxfId="1323" priority="1337">
      <formula>LEN(TRIM(N135))=0</formula>
    </cfRule>
  </conditionalFormatting>
  <conditionalFormatting sqref="A135:B135">
    <cfRule type="containsBlanks" dxfId="1322" priority="1335">
      <formula>LEN(TRIM(A135))=0</formula>
    </cfRule>
  </conditionalFormatting>
  <conditionalFormatting sqref="C135">
    <cfRule type="containsBlanks" dxfId="1321" priority="1334">
      <formula>LEN(TRIM(C135))=0</formula>
    </cfRule>
  </conditionalFormatting>
  <conditionalFormatting sqref="E135">
    <cfRule type="containsBlanks" dxfId="1320" priority="1333">
      <formula>LEN(TRIM(E135))=0</formula>
    </cfRule>
  </conditionalFormatting>
  <conditionalFormatting sqref="T146 H146 E146 L146 J146">
    <cfRule type="containsBlanks" dxfId="1319" priority="1332">
      <formula>LEN(TRIM(E146))=0</formula>
    </cfRule>
  </conditionalFormatting>
  <conditionalFormatting sqref="F146">
    <cfRule type="containsBlanks" dxfId="1318" priority="1329">
      <formula>LEN(TRIM(F146))=0</formula>
    </cfRule>
  </conditionalFormatting>
  <conditionalFormatting sqref="G146">
    <cfRule type="containsBlanks" dxfId="1317" priority="1328">
      <formula>LEN(TRIM(G146))=0</formula>
    </cfRule>
  </conditionalFormatting>
  <conditionalFormatting sqref="O146:R146">
    <cfRule type="containsBlanks" dxfId="1316" priority="1326">
      <formula>LEN(TRIM(O146))=0</formula>
    </cfRule>
  </conditionalFormatting>
  <conditionalFormatting sqref="O146:R146">
    <cfRule type="containsBlanks" dxfId="1315" priority="1327">
      <formula>LEN(TRIM(O146))=0</formula>
    </cfRule>
  </conditionalFormatting>
  <conditionalFormatting sqref="H146 T146 E146 L146 J146">
    <cfRule type="containsBlanks" dxfId="1314" priority="1331">
      <formula>LEN(TRIM(E146))=0</formula>
    </cfRule>
  </conditionalFormatting>
  <conditionalFormatting sqref="A146:B146">
    <cfRule type="containsBlanks" dxfId="1313" priority="1330">
      <formula>LEN(TRIM(A146))=0</formula>
    </cfRule>
  </conditionalFormatting>
  <conditionalFormatting sqref="N146">
    <cfRule type="containsBlanks" dxfId="1312" priority="1324">
      <formula>LEN(TRIM(N146))=0</formula>
    </cfRule>
  </conditionalFormatting>
  <conditionalFormatting sqref="N146">
    <cfRule type="containsBlanks" dxfId="1311" priority="1325">
      <formula>LEN(TRIM(N146))=0</formula>
    </cfRule>
  </conditionalFormatting>
  <conditionalFormatting sqref="A146:B146">
    <cfRule type="containsBlanks" dxfId="1310" priority="1323">
      <formula>LEN(TRIM(A146))=0</formula>
    </cfRule>
  </conditionalFormatting>
  <conditionalFormatting sqref="C146">
    <cfRule type="containsBlanks" dxfId="1309" priority="1322">
      <formula>LEN(TRIM(C146))=0</formula>
    </cfRule>
  </conditionalFormatting>
  <conditionalFormatting sqref="C146">
    <cfRule type="containsBlanks" dxfId="1308" priority="1321">
      <formula>LEN(TRIM(C146))=0</formula>
    </cfRule>
  </conditionalFormatting>
  <conditionalFormatting sqref="E146">
    <cfRule type="containsBlanks" dxfId="1307" priority="1320">
      <formula>LEN(TRIM(E146))=0</formula>
    </cfRule>
  </conditionalFormatting>
  <conditionalFormatting sqref="T149 H149 E149 L149 J149">
    <cfRule type="containsBlanks" dxfId="1306" priority="1319">
      <formula>LEN(TRIM(E149))=0</formula>
    </cfRule>
  </conditionalFormatting>
  <conditionalFormatting sqref="F149">
    <cfRule type="containsBlanks" dxfId="1305" priority="1316">
      <formula>LEN(TRIM(F149))=0</formula>
    </cfRule>
  </conditionalFormatting>
  <conditionalFormatting sqref="G149">
    <cfRule type="containsBlanks" dxfId="1304" priority="1315">
      <formula>LEN(TRIM(G149))=0</formula>
    </cfRule>
  </conditionalFormatting>
  <conditionalFormatting sqref="O149:R149">
    <cfRule type="containsBlanks" dxfId="1303" priority="1313">
      <formula>LEN(TRIM(O149))=0</formula>
    </cfRule>
  </conditionalFormatting>
  <conditionalFormatting sqref="O149:R149">
    <cfRule type="containsBlanks" dxfId="1302" priority="1314">
      <formula>LEN(TRIM(O149))=0</formula>
    </cfRule>
  </conditionalFormatting>
  <conditionalFormatting sqref="H149 T149 E149 L149 J149">
    <cfRule type="containsBlanks" dxfId="1301" priority="1318">
      <formula>LEN(TRIM(E149))=0</formula>
    </cfRule>
  </conditionalFormatting>
  <conditionalFormatting sqref="A149:B149">
    <cfRule type="containsBlanks" dxfId="1300" priority="1317">
      <formula>LEN(TRIM(A149))=0</formula>
    </cfRule>
  </conditionalFormatting>
  <conditionalFormatting sqref="N149">
    <cfRule type="containsBlanks" dxfId="1299" priority="1311">
      <formula>LEN(TRIM(N149))=0</formula>
    </cfRule>
  </conditionalFormatting>
  <conditionalFormatting sqref="N149">
    <cfRule type="containsBlanks" dxfId="1298" priority="1312">
      <formula>LEN(TRIM(N149))=0</formula>
    </cfRule>
  </conditionalFormatting>
  <conditionalFormatting sqref="A149:B149">
    <cfRule type="containsBlanks" dxfId="1297" priority="1310">
      <formula>LEN(TRIM(A149))=0</formula>
    </cfRule>
  </conditionalFormatting>
  <conditionalFormatting sqref="C149">
    <cfRule type="containsBlanks" dxfId="1296" priority="1309">
      <formula>LEN(TRIM(C149))=0</formula>
    </cfRule>
  </conditionalFormatting>
  <conditionalFormatting sqref="C149">
    <cfRule type="containsBlanks" dxfId="1295" priority="1308">
      <formula>LEN(TRIM(C149))=0</formula>
    </cfRule>
  </conditionalFormatting>
  <conditionalFormatting sqref="E149">
    <cfRule type="containsBlanks" dxfId="1294" priority="1307">
      <formula>LEN(TRIM(E149))=0</formula>
    </cfRule>
  </conditionalFormatting>
  <conditionalFormatting sqref="T208:T209 H208:H209 E208:E209 L208:L209 J208:J209">
    <cfRule type="containsBlanks" dxfId="1293" priority="1306">
      <formula>LEN(TRIM(E208))=0</formula>
    </cfRule>
  </conditionalFormatting>
  <conditionalFormatting sqref="F208:F209">
    <cfRule type="containsBlanks" dxfId="1292" priority="1303">
      <formula>LEN(TRIM(F208))=0</formula>
    </cfRule>
  </conditionalFormatting>
  <conditionalFormatting sqref="G208:G209">
    <cfRule type="containsBlanks" dxfId="1291" priority="1302">
      <formula>LEN(TRIM(G208))=0</formula>
    </cfRule>
  </conditionalFormatting>
  <conditionalFormatting sqref="O208:R209">
    <cfRule type="containsBlanks" dxfId="1290" priority="1300">
      <formula>LEN(TRIM(O208))=0</formula>
    </cfRule>
  </conditionalFormatting>
  <conditionalFormatting sqref="O208:R209">
    <cfRule type="containsBlanks" dxfId="1289" priority="1301">
      <formula>LEN(TRIM(O208))=0</formula>
    </cfRule>
  </conditionalFormatting>
  <conditionalFormatting sqref="H208:H209 T208:T209 E208:E209 L208:L209 J208:J209">
    <cfRule type="containsBlanks" dxfId="1288" priority="1305">
      <formula>LEN(TRIM(E208))=0</formula>
    </cfRule>
  </conditionalFormatting>
  <conditionalFormatting sqref="A208:B209">
    <cfRule type="containsBlanks" dxfId="1287" priority="1304">
      <formula>LEN(TRIM(A208))=0</formula>
    </cfRule>
  </conditionalFormatting>
  <conditionalFormatting sqref="N208:N209">
    <cfRule type="containsBlanks" dxfId="1286" priority="1298">
      <formula>LEN(TRIM(N208))=0</formula>
    </cfRule>
  </conditionalFormatting>
  <conditionalFormatting sqref="N208:N209">
    <cfRule type="containsBlanks" dxfId="1285" priority="1299">
      <formula>LEN(TRIM(N208))=0</formula>
    </cfRule>
  </conditionalFormatting>
  <conditionalFormatting sqref="A208:B209">
    <cfRule type="containsBlanks" dxfId="1284" priority="1297">
      <formula>LEN(TRIM(A208))=0</formula>
    </cfRule>
  </conditionalFormatting>
  <conditionalFormatting sqref="C208:C209">
    <cfRule type="containsBlanks" dxfId="1283" priority="1296">
      <formula>LEN(TRIM(C208))=0</formula>
    </cfRule>
  </conditionalFormatting>
  <conditionalFormatting sqref="C208:C209">
    <cfRule type="containsBlanks" dxfId="1282" priority="1295">
      <formula>LEN(TRIM(C208))=0</formula>
    </cfRule>
  </conditionalFormatting>
  <conditionalFormatting sqref="E208:E209">
    <cfRule type="containsBlanks" dxfId="1281" priority="1294">
      <formula>LEN(TRIM(E208))=0</formula>
    </cfRule>
  </conditionalFormatting>
  <conditionalFormatting sqref="F210:F212">
    <cfRule type="containsBlanks" dxfId="1280" priority="1290">
      <formula>LEN(TRIM(F210))=0</formula>
    </cfRule>
  </conditionalFormatting>
  <conditionalFormatting sqref="G210:G212">
    <cfRule type="containsBlanks" dxfId="1279" priority="1289">
      <formula>LEN(TRIM(G210))=0</formula>
    </cfRule>
  </conditionalFormatting>
  <conditionalFormatting sqref="O210:R212">
    <cfRule type="containsBlanks" dxfId="1278" priority="1287">
      <formula>LEN(TRIM(O210))=0</formula>
    </cfRule>
  </conditionalFormatting>
  <conditionalFormatting sqref="O210:R212">
    <cfRule type="containsBlanks" dxfId="1277" priority="1288">
      <formula>LEN(TRIM(O210))=0</formula>
    </cfRule>
  </conditionalFormatting>
  <conditionalFormatting sqref="H210:H212 T210:T212 E210:E212 L210:L212 J210:J212">
    <cfRule type="containsBlanks" dxfId="1276" priority="1292">
      <formula>LEN(TRIM(E210))=0</formula>
    </cfRule>
  </conditionalFormatting>
  <conditionalFormatting sqref="A210:B212">
    <cfRule type="containsBlanks" dxfId="1275" priority="1291">
      <formula>LEN(TRIM(A210))=0</formula>
    </cfRule>
  </conditionalFormatting>
  <conditionalFormatting sqref="N210:N212">
    <cfRule type="containsBlanks" dxfId="1274" priority="1285">
      <formula>LEN(TRIM(N210))=0</formula>
    </cfRule>
  </conditionalFormatting>
  <conditionalFormatting sqref="N210:N212">
    <cfRule type="containsBlanks" dxfId="1273" priority="1286">
      <formula>LEN(TRIM(N210))=0</formula>
    </cfRule>
  </conditionalFormatting>
  <conditionalFormatting sqref="A210:B212">
    <cfRule type="containsBlanks" dxfId="1272" priority="1284">
      <formula>LEN(TRIM(A210))=0</formula>
    </cfRule>
  </conditionalFormatting>
  <conditionalFormatting sqref="C210:C212">
    <cfRule type="containsBlanks" dxfId="1271" priority="1283">
      <formula>LEN(TRIM(C210))=0</formula>
    </cfRule>
  </conditionalFormatting>
  <conditionalFormatting sqref="C210:C212">
    <cfRule type="containsBlanks" dxfId="1270" priority="1282">
      <formula>LEN(TRIM(C210))=0</formula>
    </cfRule>
  </conditionalFormatting>
  <conditionalFormatting sqref="E210:E212">
    <cfRule type="containsBlanks" dxfId="1269" priority="1281">
      <formula>LEN(TRIM(E210))=0</formula>
    </cfRule>
  </conditionalFormatting>
  <conditionalFormatting sqref="H227:H228 E227:E228 L227:L228 J227:J228 J230:J231 L230:L231 E230:E231 H231 E233 L233 J233 J235 L235 E235 T227:T235">
    <cfRule type="containsBlanks" dxfId="1268" priority="1280">
      <formula>LEN(TRIM(E227))=0</formula>
    </cfRule>
  </conditionalFormatting>
  <conditionalFormatting sqref="F227:F228 F230:F231 F233 F235">
    <cfRule type="containsBlanks" dxfId="1267" priority="1277">
      <formula>LEN(TRIM(F227))=0</formula>
    </cfRule>
  </conditionalFormatting>
  <conditionalFormatting sqref="G227:G228 G231">
    <cfRule type="containsBlanks" dxfId="1266" priority="1276">
      <formula>LEN(TRIM(G227))=0</formula>
    </cfRule>
  </conditionalFormatting>
  <conditionalFormatting sqref="O227:R228 O231:R231 O233:P233 O235:P235 O230:P230">
    <cfRule type="containsBlanks" dxfId="1265" priority="1274">
      <formula>LEN(TRIM(O227))=0</formula>
    </cfRule>
  </conditionalFormatting>
  <conditionalFormatting sqref="O227:R228 O231:R231 O233:P233 O235:P235 O230:P230">
    <cfRule type="containsBlanks" dxfId="1264" priority="1275">
      <formula>LEN(TRIM(O227))=0</formula>
    </cfRule>
  </conditionalFormatting>
  <conditionalFormatting sqref="H227:H228 E227:E228 L227:L228 J227:J228 J230:J231 L230:L231 E230:E231 H231 E233 L233 J233 J235 L235 E235 T227:T235">
    <cfRule type="containsBlanks" dxfId="1263" priority="1279">
      <formula>LEN(TRIM(E227))=0</formula>
    </cfRule>
  </conditionalFormatting>
  <conditionalFormatting sqref="A227:B235">
    <cfRule type="containsBlanks" dxfId="1262" priority="1278">
      <formula>LEN(TRIM(A227))=0</formula>
    </cfRule>
  </conditionalFormatting>
  <conditionalFormatting sqref="N227:N228 N230:N231 N233 N235">
    <cfRule type="containsBlanks" dxfId="1261" priority="1272">
      <formula>LEN(TRIM(N227))=0</formula>
    </cfRule>
  </conditionalFormatting>
  <conditionalFormatting sqref="N227:N228 N230:N231 N233 N235">
    <cfRule type="containsBlanks" dxfId="1260" priority="1273">
      <formula>LEN(TRIM(N227))=0</formula>
    </cfRule>
  </conditionalFormatting>
  <conditionalFormatting sqref="A227:B235">
    <cfRule type="containsBlanks" dxfId="1259" priority="1271">
      <formula>LEN(TRIM(A227))=0</formula>
    </cfRule>
  </conditionalFormatting>
  <conditionalFormatting sqref="C227:C235">
    <cfRule type="containsBlanks" dxfId="1258" priority="1270">
      <formula>LEN(TRIM(C227))=0</formula>
    </cfRule>
  </conditionalFormatting>
  <conditionalFormatting sqref="C227:C235">
    <cfRule type="containsBlanks" dxfId="1257" priority="1269">
      <formula>LEN(TRIM(C227))=0</formula>
    </cfRule>
  </conditionalFormatting>
  <conditionalFormatting sqref="E227:E228 E230:E231 E233 E235">
    <cfRule type="containsBlanks" dxfId="1256" priority="1268">
      <formula>LEN(TRIM(E227))=0</formula>
    </cfRule>
  </conditionalFormatting>
  <conditionalFormatting sqref="T244">
    <cfRule type="containsBlanks" dxfId="1255" priority="1267">
      <formula>LEN(TRIM(T244))=0</formula>
    </cfRule>
  </conditionalFormatting>
  <conditionalFormatting sqref="C244">
    <cfRule type="containsBlanks" dxfId="1254" priority="1263">
      <formula>LEN(TRIM(C244))=0</formula>
    </cfRule>
  </conditionalFormatting>
  <conditionalFormatting sqref="A244:B244">
    <cfRule type="containsBlanks" dxfId="1253" priority="1264">
      <formula>LEN(TRIM(A244))=0</formula>
    </cfRule>
  </conditionalFormatting>
  <conditionalFormatting sqref="T244">
    <cfRule type="containsBlanks" dxfId="1252" priority="1266">
      <formula>LEN(TRIM(T244))=0</formula>
    </cfRule>
  </conditionalFormatting>
  <conditionalFormatting sqref="A244:B244">
    <cfRule type="containsBlanks" dxfId="1251" priority="1265">
      <formula>LEN(TRIM(A244))=0</formula>
    </cfRule>
  </conditionalFormatting>
  <conditionalFormatting sqref="C244">
    <cfRule type="containsBlanks" dxfId="1250" priority="1262">
      <formula>LEN(TRIM(C244))=0</formula>
    </cfRule>
  </conditionalFormatting>
  <conditionalFormatting sqref="T250:T252 H250:H252 E250:E252 L250:L252 J250:J252">
    <cfRule type="containsBlanks" dxfId="1249" priority="1261">
      <formula>LEN(TRIM(E250))=0</formula>
    </cfRule>
  </conditionalFormatting>
  <conditionalFormatting sqref="F250:F252">
    <cfRule type="containsBlanks" dxfId="1248" priority="1258">
      <formula>LEN(TRIM(F250))=0</formula>
    </cfRule>
  </conditionalFormatting>
  <conditionalFormatting sqref="G250:G252">
    <cfRule type="containsBlanks" dxfId="1247" priority="1257">
      <formula>LEN(TRIM(G250))=0</formula>
    </cfRule>
  </conditionalFormatting>
  <conditionalFormatting sqref="O250:R252">
    <cfRule type="containsBlanks" dxfId="1246" priority="1255">
      <formula>LEN(TRIM(O250))=0</formula>
    </cfRule>
  </conditionalFormatting>
  <conditionalFormatting sqref="O250:R252">
    <cfRule type="containsBlanks" dxfId="1245" priority="1256">
      <formula>LEN(TRIM(O250))=0</formula>
    </cfRule>
  </conditionalFormatting>
  <conditionalFormatting sqref="H250:H252 T250:T252 E250:E252 L250:L252 J250:J252">
    <cfRule type="containsBlanks" dxfId="1244" priority="1260">
      <formula>LEN(TRIM(E250))=0</formula>
    </cfRule>
  </conditionalFormatting>
  <conditionalFormatting sqref="A250:B252">
    <cfRule type="containsBlanks" dxfId="1243" priority="1259">
      <formula>LEN(TRIM(A250))=0</formula>
    </cfRule>
  </conditionalFormatting>
  <conditionalFormatting sqref="N250:N252">
    <cfRule type="containsBlanks" dxfId="1242" priority="1254">
      <formula>LEN(TRIM(N250))=0</formula>
    </cfRule>
  </conditionalFormatting>
  <conditionalFormatting sqref="A250:B252">
    <cfRule type="containsBlanks" dxfId="1241" priority="1252">
      <formula>LEN(TRIM(A250))=0</formula>
    </cfRule>
  </conditionalFormatting>
  <conditionalFormatting sqref="C250:C252">
    <cfRule type="containsBlanks" dxfId="1240" priority="1251">
      <formula>LEN(TRIM(C250))=0</formula>
    </cfRule>
  </conditionalFormatting>
  <conditionalFormatting sqref="C250:C252">
    <cfRule type="containsBlanks" dxfId="1239" priority="1250">
      <formula>LEN(TRIM(C250))=0</formula>
    </cfRule>
  </conditionalFormatting>
  <conditionalFormatting sqref="E250:E252">
    <cfRule type="containsBlanks" dxfId="1238" priority="1249">
      <formula>LEN(TRIM(E250))=0</formula>
    </cfRule>
  </conditionalFormatting>
  <conditionalFormatting sqref="H265:H267 E265:E267 L265:L267 J265:J267 S265:T267">
    <cfRule type="containsBlanks" dxfId="1237" priority="1248">
      <formula>LEN(TRIM(E265))=0</formula>
    </cfRule>
  </conditionalFormatting>
  <conditionalFormatting sqref="F265:F267">
    <cfRule type="containsBlanks" dxfId="1236" priority="1245">
      <formula>LEN(TRIM(F265))=0</formula>
    </cfRule>
  </conditionalFormatting>
  <conditionalFormatting sqref="G265:G267">
    <cfRule type="containsBlanks" dxfId="1235" priority="1244">
      <formula>LEN(TRIM(G265))=0</formula>
    </cfRule>
  </conditionalFormatting>
  <conditionalFormatting sqref="O265:R267">
    <cfRule type="containsBlanks" dxfId="1234" priority="1243">
      <formula>LEN(TRIM(O265))=0</formula>
    </cfRule>
  </conditionalFormatting>
  <conditionalFormatting sqref="H265:H267 E265:E267 L265:L267 J265:J267 S265:T267">
    <cfRule type="containsBlanks" dxfId="1233" priority="1247">
      <formula>LEN(TRIM(E265))=0</formula>
    </cfRule>
  </conditionalFormatting>
  <conditionalFormatting sqref="A265:B267">
    <cfRule type="containsBlanks" dxfId="1232" priority="1246">
      <formula>LEN(TRIM(A265))=0</formula>
    </cfRule>
  </conditionalFormatting>
  <conditionalFormatting sqref="N265:N267">
    <cfRule type="containsBlanks" dxfId="1231" priority="1240">
      <formula>LEN(TRIM(N265))=0</formula>
    </cfRule>
  </conditionalFormatting>
  <conditionalFormatting sqref="C265:C267">
    <cfRule type="containsBlanks" dxfId="1230" priority="1238">
      <formula>LEN(TRIM(C265))=0</formula>
    </cfRule>
  </conditionalFormatting>
  <conditionalFormatting sqref="C265:C267">
    <cfRule type="containsBlanks" dxfId="1229" priority="1237">
      <formula>LEN(TRIM(C265))=0</formula>
    </cfRule>
  </conditionalFormatting>
  <conditionalFormatting sqref="E265:E267">
    <cfRule type="containsBlanks" dxfId="1228" priority="1236">
      <formula>LEN(TRIM(E265))=0</formula>
    </cfRule>
  </conditionalFormatting>
  <conditionalFormatting sqref="J274:J275 L274:L275 H274:H275 E274:E275 T274:T275">
    <cfRule type="containsBlanks" dxfId="1227" priority="1235">
      <formula>LEN(TRIM(E274))=0</formula>
    </cfRule>
  </conditionalFormatting>
  <conditionalFormatting sqref="D274:D275">
    <cfRule type="containsBlanks" dxfId="1226" priority="1232">
      <formula>LEN(TRIM(D274))=0</formula>
    </cfRule>
  </conditionalFormatting>
  <conditionalFormatting sqref="F274:F275">
    <cfRule type="containsBlanks" dxfId="1225" priority="1231">
      <formula>LEN(TRIM(F274))=0</formula>
    </cfRule>
  </conditionalFormatting>
  <conditionalFormatting sqref="G274:G275">
    <cfRule type="containsBlanks" dxfId="1224" priority="1230">
      <formula>LEN(TRIM(G274))=0</formula>
    </cfRule>
  </conditionalFormatting>
  <conditionalFormatting sqref="O274:R275">
    <cfRule type="containsBlanks" dxfId="1223" priority="1228">
      <formula>LEN(TRIM(O274))=0</formula>
    </cfRule>
  </conditionalFormatting>
  <conditionalFormatting sqref="O274:R275">
    <cfRule type="containsBlanks" dxfId="1222" priority="1229">
      <formula>LEN(TRIM(O274))=0</formula>
    </cfRule>
  </conditionalFormatting>
  <conditionalFormatting sqref="J274:J275 L274:L275 H274:H275 T274:T275 E274:E275">
    <cfRule type="containsBlanks" dxfId="1221" priority="1234">
      <formula>LEN(TRIM(E274))=0</formula>
    </cfRule>
  </conditionalFormatting>
  <conditionalFormatting sqref="A274:B275">
    <cfRule type="containsBlanks" dxfId="1220" priority="1233">
      <formula>LEN(TRIM(A274))=0</formula>
    </cfRule>
  </conditionalFormatting>
  <conditionalFormatting sqref="N274:N275">
    <cfRule type="containsBlanks" dxfId="1219" priority="1226">
      <formula>LEN(TRIM(N274))=0</formula>
    </cfRule>
  </conditionalFormatting>
  <conditionalFormatting sqref="N274:N275">
    <cfRule type="containsBlanks" dxfId="1218" priority="1227">
      <formula>LEN(TRIM(N274))=0</formula>
    </cfRule>
  </conditionalFormatting>
  <conditionalFormatting sqref="A274:B275">
    <cfRule type="containsBlanks" dxfId="1217" priority="1225">
      <formula>LEN(TRIM(A274))=0</formula>
    </cfRule>
  </conditionalFormatting>
  <conditionalFormatting sqref="C274:C275">
    <cfRule type="containsBlanks" dxfId="1216" priority="1224">
      <formula>LEN(TRIM(C274))=0</formula>
    </cfRule>
  </conditionalFormatting>
  <conditionalFormatting sqref="E274:E275">
    <cfRule type="containsBlanks" dxfId="1215" priority="1223">
      <formula>LEN(TRIM(E274))=0</formula>
    </cfRule>
  </conditionalFormatting>
  <conditionalFormatting sqref="J277 L277 H277 E277 T277:T278">
    <cfRule type="containsBlanks" dxfId="1214" priority="1222">
      <formula>LEN(TRIM(E277))=0</formula>
    </cfRule>
  </conditionalFormatting>
  <conditionalFormatting sqref="D277:D278 E278:R278">
    <cfRule type="containsBlanks" dxfId="1213" priority="1219">
      <formula>LEN(TRIM(D277))=0</formula>
    </cfRule>
  </conditionalFormatting>
  <conditionalFormatting sqref="F277">
    <cfRule type="containsBlanks" dxfId="1212" priority="1218">
      <formula>LEN(TRIM(F277))=0</formula>
    </cfRule>
  </conditionalFormatting>
  <conditionalFormatting sqref="G277">
    <cfRule type="containsBlanks" dxfId="1211" priority="1217">
      <formula>LEN(TRIM(G277))=0</formula>
    </cfRule>
  </conditionalFormatting>
  <conditionalFormatting sqref="O277:R277">
    <cfRule type="containsBlanks" dxfId="1210" priority="1215">
      <formula>LEN(TRIM(O277))=0</formula>
    </cfRule>
  </conditionalFormatting>
  <conditionalFormatting sqref="O277:R277">
    <cfRule type="containsBlanks" dxfId="1209" priority="1216">
      <formula>LEN(TRIM(O277))=0</formula>
    </cfRule>
  </conditionalFormatting>
  <conditionalFormatting sqref="J277 L277 H277 T277:T278 E277">
    <cfRule type="containsBlanks" dxfId="1208" priority="1221">
      <formula>LEN(TRIM(E277))=0</formula>
    </cfRule>
  </conditionalFormatting>
  <conditionalFormatting sqref="A277:B278">
    <cfRule type="containsBlanks" dxfId="1207" priority="1220">
      <formula>LEN(TRIM(A277))=0</formula>
    </cfRule>
  </conditionalFormatting>
  <conditionalFormatting sqref="N277">
    <cfRule type="containsBlanks" dxfId="1206" priority="1213">
      <formula>LEN(TRIM(N277))=0</formula>
    </cfRule>
  </conditionalFormatting>
  <conditionalFormatting sqref="N277">
    <cfRule type="containsBlanks" dxfId="1205" priority="1214">
      <formula>LEN(TRIM(N277))=0</formula>
    </cfRule>
  </conditionalFormatting>
  <conditionalFormatting sqref="A277:B278">
    <cfRule type="containsBlanks" dxfId="1204" priority="1212">
      <formula>LEN(TRIM(A277))=0</formula>
    </cfRule>
  </conditionalFormatting>
  <conditionalFormatting sqref="C277:C278">
    <cfRule type="containsBlanks" dxfId="1203" priority="1211">
      <formula>LEN(TRIM(C277))=0</formula>
    </cfRule>
  </conditionalFormatting>
  <conditionalFormatting sqref="E277">
    <cfRule type="containsBlanks" dxfId="1202" priority="1210">
      <formula>LEN(TRIM(E277))=0</formula>
    </cfRule>
  </conditionalFormatting>
  <conditionalFormatting sqref="J330:J331 L330:L331 H330:H331 E330:E331 T330:T331">
    <cfRule type="containsBlanks" dxfId="1201" priority="1209">
      <formula>LEN(TRIM(E330))=0</formula>
    </cfRule>
  </conditionalFormatting>
  <conditionalFormatting sqref="D330:D331">
    <cfRule type="containsBlanks" dxfId="1200" priority="1206">
      <formula>LEN(TRIM(D330))=0</formula>
    </cfRule>
  </conditionalFormatting>
  <conditionalFormatting sqref="F330:F331">
    <cfRule type="containsBlanks" dxfId="1199" priority="1205">
      <formula>LEN(TRIM(F330))=0</formula>
    </cfRule>
  </conditionalFormatting>
  <conditionalFormatting sqref="G330:G331">
    <cfRule type="containsBlanks" dxfId="1198" priority="1204">
      <formula>LEN(TRIM(G330))=0</formula>
    </cfRule>
  </conditionalFormatting>
  <conditionalFormatting sqref="O330:R331">
    <cfRule type="containsBlanks" dxfId="1197" priority="1202">
      <formula>LEN(TRIM(O330))=0</formula>
    </cfRule>
  </conditionalFormatting>
  <conditionalFormatting sqref="O330:R331">
    <cfRule type="containsBlanks" dxfId="1196" priority="1203">
      <formula>LEN(TRIM(O330))=0</formula>
    </cfRule>
  </conditionalFormatting>
  <conditionalFormatting sqref="J330:J331 L330:L331 H330:H331 T330:T331 E330:E331">
    <cfRule type="containsBlanks" dxfId="1195" priority="1208">
      <formula>LEN(TRIM(E330))=0</formula>
    </cfRule>
  </conditionalFormatting>
  <conditionalFormatting sqref="A330:B331">
    <cfRule type="containsBlanks" dxfId="1194" priority="1207">
      <formula>LEN(TRIM(A330))=0</formula>
    </cfRule>
  </conditionalFormatting>
  <conditionalFormatting sqref="N330:N331">
    <cfRule type="containsBlanks" dxfId="1193" priority="1200">
      <formula>LEN(TRIM(N330))=0</formula>
    </cfRule>
  </conditionalFormatting>
  <conditionalFormatting sqref="N330:N331">
    <cfRule type="containsBlanks" dxfId="1192" priority="1201">
      <formula>LEN(TRIM(N330))=0</formula>
    </cfRule>
  </conditionalFormatting>
  <conditionalFormatting sqref="A330:B331">
    <cfRule type="containsBlanks" dxfId="1191" priority="1199">
      <formula>LEN(TRIM(A330))=0</formula>
    </cfRule>
  </conditionalFormatting>
  <conditionalFormatting sqref="C330:C331">
    <cfRule type="containsBlanks" dxfId="1190" priority="1198">
      <formula>LEN(TRIM(C330))=0</formula>
    </cfRule>
  </conditionalFormatting>
  <conditionalFormatting sqref="E330:E331">
    <cfRule type="containsBlanks" dxfId="1189" priority="1197">
      <formula>LEN(TRIM(E330))=0</formula>
    </cfRule>
  </conditionalFormatting>
  <conditionalFormatting sqref="J332 L332 H332 E332 T332">
    <cfRule type="containsBlanks" dxfId="1188" priority="1196">
      <formula>LEN(TRIM(E332))=0</formula>
    </cfRule>
  </conditionalFormatting>
  <conditionalFormatting sqref="D332">
    <cfRule type="containsBlanks" dxfId="1187" priority="1193">
      <formula>LEN(TRIM(D332))=0</formula>
    </cfRule>
  </conditionalFormatting>
  <conditionalFormatting sqref="F332">
    <cfRule type="containsBlanks" dxfId="1186" priority="1192">
      <formula>LEN(TRIM(F332))=0</formula>
    </cfRule>
  </conditionalFormatting>
  <conditionalFormatting sqref="G332">
    <cfRule type="containsBlanks" dxfId="1185" priority="1191">
      <formula>LEN(TRIM(G332))=0</formula>
    </cfRule>
  </conditionalFormatting>
  <conditionalFormatting sqref="O332:R332">
    <cfRule type="containsBlanks" dxfId="1184" priority="1189">
      <formula>LEN(TRIM(O332))=0</formula>
    </cfRule>
  </conditionalFormatting>
  <conditionalFormatting sqref="O332:R332">
    <cfRule type="containsBlanks" dxfId="1183" priority="1190">
      <formula>LEN(TRIM(O332))=0</formula>
    </cfRule>
  </conditionalFormatting>
  <conditionalFormatting sqref="J332 L332 H332 T332 E332">
    <cfRule type="containsBlanks" dxfId="1182" priority="1195">
      <formula>LEN(TRIM(E332))=0</formula>
    </cfRule>
  </conditionalFormatting>
  <conditionalFormatting sqref="A332:B332">
    <cfRule type="containsBlanks" dxfId="1181" priority="1194">
      <formula>LEN(TRIM(A332))=0</formula>
    </cfRule>
  </conditionalFormatting>
  <conditionalFormatting sqref="N332">
    <cfRule type="containsBlanks" dxfId="1180" priority="1187">
      <formula>LEN(TRIM(N332))=0</formula>
    </cfRule>
  </conditionalFormatting>
  <conditionalFormatting sqref="A332:B332">
    <cfRule type="containsBlanks" dxfId="1179" priority="1186">
      <formula>LEN(TRIM(A332))=0</formula>
    </cfRule>
  </conditionalFormatting>
  <conditionalFormatting sqref="C332">
    <cfRule type="containsBlanks" dxfId="1178" priority="1185">
      <formula>LEN(TRIM(C332))=0</formula>
    </cfRule>
  </conditionalFormatting>
  <conditionalFormatting sqref="E332">
    <cfRule type="containsBlanks" dxfId="1177" priority="1184">
      <formula>LEN(TRIM(E332))=0</formula>
    </cfRule>
  </conditionalFormatting>
  <conditionalFormatting sqref="J335:J336 L335:L336 H335:H336 E335:E336 T335:T337">
    <cfRule type="containsBlanks" dxfId="1176" priority="1183">
      <formula>LEN(TRIM(E335))=0</formula>
    </cfRule>
  </conditionalFormatting>
  <conditionalFormatting sqref="D335:D337 E337:R337">
    <cfRule type="containsBlanks" dxfId="1175" priority="1180">
      <formula>LEN(TRIM(D335))=0</formula>
    </cfRule>
  </conditionalFormatting>
  <conditionalFormatting sqref="F335:F336">
    <cfRule type="containsBlanks" dxfId="1174" priority="1179">
      <formula>LEN(TRIM(F335))=0</formula>
    </cfRule>
  </conditionalFormatting>
  <conditionalFormatting sqref="G335:G336">
    <cfRule type="containsBlanks" dxfId="1173" priority="1178">
      <formula>LEN(TRIM(G335))=0</formula>
    </cfRule>
  </conditionalFormatting>
  <conditionalFormatting sqref="O335:R336">
    <cfRule type="containsBlanks" dxfId="1172" priority="1176">
      <formula>LEN(TRIM(O335))=0</formula>
    </cfRule>
  </conditionalFormatting>
  <conditionalFormatting sqref="O335:R336">
    <cfRule type="containsBlanks" dxfId="1171" priority="1177">
      <formula>LEN(TRIM(O335))=0</formula>
    </cfRule>
  </conditionalFormatting>
  <conditionalFormatting sqref="J335:J336 L335:L336 H335:H336 T335:T337 E335:E336">
    <cfRule type="containsBlanks" dxfId="1170" priority="1182">
      <formula>LEN(TRIM(E335))=0</formula>
    </cfRule>
  </conditionalFormatting>
  <conditionalFormatting sqref="A335:B337">
    <cfRule type="containsBlanks" dxfId="1169" priority="1181">
      <formula>LEN(TRIM(A335))=0</formula>
    </cfRule>
  </conditionalFormatting>
  <conditionalFormatting sqref="N335:N336">
    <cfRule type="containsBlanks" dxfId="1168" priority="1174">
      <formula>LEN(TRIM(N335))=0</formula>
    </cfRule>
  </conditionalFormatting>
  <conditionalFormatting sqref="N335:N336">
    <cfRule type="containsBlanks" dxfId="1167" priority="1175">
      <formula>LEN(TRIM(N335))=0</formula>
    </cfRule>
  </conditionalFormatting>
  <conditionalFormatting sqref="A335:B337">
    <cfRule type="containsBlanks" dxfId="1166" priority="1173">
      <formula>LEN(TRIM(A335))=0</formula>
    </cfRule>
  </conditionalFormatting>
  <conditionalFormatting sqref="C335:C337">
    <cfRule type="containsBlanks" dxfId="1165" priority="1172">
      <formula>LEN(TRIM(C335))=0</formula>
    </cfRule>
  </conditionalFormatting>
  <conditionalFormatting sqref="J344:J345 L344:L345 H344:H345 E344:E345 T344:T345">
    <cfRule type="containsBlanks" dxfId="1164" priority="1170">
      <formula>LEN(TRIM(E344))=0</formula>
    </cfRule>
  </conditionalFormatting>
  <conditionalFormatting sqref="D344:D345">
    <cfRule type="containsBlanks" dxfId="1163" priority="1167">
      <formula>LEN(TRIM(D344))=0</formula>
    </cfRule>
  </conditionalFormatting>
  <conditionalFormatting sqref="F344:F345">
    <cfRule type="containsBlanks" dxfId="1162" priority="1166">
      <formula>LEN(TRIM(F344))=0</formula>
    </cfRule>
  </conditionalFormatting>
  <conditionalFormatting sqref="G344:G345">
    <cfRule type="containsBlanks" dxfId="1161" priority="1165">
      <formula>LEN(TRIM(G344))=0</formula>
    </cfRule>
  </conditionalFormatting>
  <conditionalFormatting sqref="O344:R345">
    <cfRule type="containsBlanks" dxfId="1160" priority="1163">
      <formula>LEN(TRIM(O344))=0</formula>
    </cfRule>
  </conditionalFormatting>
  <conditionalFormatting sqref="O344:R345">
    <cfRule type="containsBlanks" dxfId="1159" priority="1164">
      <formula>LEN(TRIM(O344))=0</formula>
    </cfRule>
  </conditionalFormatting>
  <conditionalFormatting sqref="J344:J345 L344:L345 H344:H345 T344:T345 E344:E345">
    <cfRule type="containsBlanks" dxfId="1158" priority="1169">
      <formula>LEN(TRIM(E344))=0</formula>
    </cfRule>
  </conditionalFormatting>
  <conditionalFormatting sqref="A344:B345">
    <cfRule type="containsBlanks" dxfId="1157" priority="1168">
      <formula>LEN(TRIM(A344))=0</formula>
    </cfRule>
  </conditionalFormatting>
  <conditionalFormatting sqref="N344:N345">
    <cfRule type="containsBlanks" dxfId="1156" priority="1161">
      <formula>LEN(TRIM(N344))=0</formula>
    </cfRule>
  </conditionalFormatting>
  <conditionalFormatting sqref="N344:N345">
    <cfRule type="containsBlanks" dxfId="1155" priority="1162">
      <formula>LEN(TRIM(N344))=0</formula>
    </cfRule>
  </conditionalFormatting>
  <conditionalFormatting sqref="A344:B345">
    <cfRule type="containsBlanks" dxfId="1154" priority="1160">
      <formula>LEN(TRIM(A344))=0</formula>
    </cfRule>
  </conditionalFormatting>
  <conditionalFormatting sqref="E344:E345">
    <cfRule type="containsBlanks" dxfId="1153" priority="1158">
      <formula>LEN(TRIM(E344))=0</formula>
    </cfRule>
  </conditionalFormatting>
  <conditionalFormatting sqref="J363 L363 E363 T362:T364">
    <cfRule type="containsBlanks" dxfId="1152" priority="1157">
      <formula>LEN(TRIM(E362))=0</formula>
    </cfRule>
  </conditionalFormatting>
  <conditionalFormatting sqref="D362:D364 E362:R362 E364:R364">
    <cfRule type="containsBlanks" dxfId="1151" priority="1154">
      <formula>LEN(TRIM(D362))=0</formula>
    </cfRule>
  </conditionalFormatting>
  <conditionalFormatting sqref="O363:P363">
    <cfRule type="containsBlanks" dxfId="1150" priority="1151">
      <formula>LEN(TRIM(O363))=0</formula>
    </cfRule>
  </conditionalFormatting>
  <conditionalFormatting sqref="O363:P363">
    <cfRule type="containsBlanks" dxfId="1149" priority="1152">
      <formula>LEN(TRIM(O363))=0</formula>
    </cfRule>
  </conditionalFormatting>
  <conditionalFormatting sqref="J363 L363 E363 T362:T364">
    <cfRule type="containsBlanks" dxfId="1148" priority="1156">
      <formula>LEN(TRIM(E362))=0</formula>
    </cfRule>
  </conditionalFormatting>
  <conditionalFormatting sqref="A362:B364">
    <cfRule type="containsBlanks" dxfId="1147" priority="1155">
      <formula>LEN(TRIM(A362))=0</formula>
    </cfRule>
  </conditionalFormatting>
  <conditionalFormatting sqref="N363">
    <cfRule type="containsBlanks" dxfId="1146" priority="1149">
      <formula>LEN(TRIM(N363))=0</formula>
    </cfRule>
  </conditionalFormatting>
  <conditionalFormatting sqref="N363">
    <cfRule type="containsBlanks" dxfId="1145" priority="1150">
      <formula>LEN(TRIM(N363))=0</formula>
    </cfRule>
  </conditionalFormatting>
  <conditionalFormatting sqref="A362:B364">
    <cfRule type="containsBlanks" dxfId="1144" priority="1148">
      <formula>LEN(TRIM(A362))=0</formula>
    </cfRule>
  </conditionalFormatting>
  <conditionalFormatting sqref="C362:C364">
    <cfRule type="containsBlanks" dxfId="1143" priority="1147">
      <formula>LEN(TRIM(C362))=0</formula>
    </cfRule>
  </conditionalFormatting>
  <conditionalFormatting sqref="E363">
    <cfRule type="containsBlanks" dxfId="1142" priority="1146">
      <formula>LEN(TRIM(E363))=0</formula>
    </cfRule>
  </conditionalFormatting>
  <conditionalFormatting sqref="T386">
    <cfRule type="containsBlanks" dxfId="1141" priority="1145">
      <formula>LEN(TRIM(T386))=0</formula>
    </cfRule>
  </conditionalFormatting>
  <conditionalFormatting sqref="D386:R386">
    <cfRule type="containsBlanks" dxfId="1140" priority="1142">
      <formula>LEN(TRIM(D386))=0</formula>
    </cfRule>
  </conditionalFormatting>
  <conditionalFormatting sqref="T386">
    <cfRule type="containsBlanks" dxfId="1139" priority="1144">
      <formula>LEN(TRIM(T386))=0</formula>
    </cfRule>
  </conditionalFormatting>
  <conditionalFormatting sqref="A386:B386">
    <cfRule type="containsBlanks" dxfId="1138" priority="1143">
      <formula>LEN(TRIM(A386))=0</formula>
    </cfRule>
  </conditionalFormatting>
  <conditionalFormatting sqref="A386:B386">
    <cfRule type="containsBlanks" dxfId="1137" priority="1141">
      <formula>LEN(TRIM(A386))=0</formula>
    </cfRule>
  </conditionalFormatting>
  <conditionalFormatting sqref="C386">
    <cfRule type="containsBlanks" dxfId="1136" priority="1140">
      <formula>LEN(TRIM(C386))=0</formula>
    </cfRule>
  </conditionalFormatting>
  <conditionalFormatting sqref="J420 L420 H420 E420 T420">
    <cfRule type="containsBlanks" dxfId="1135" priority="1139">
      <formula>LEN(TRIM(E420))=0</formula>
    </cfRule>
  </conditionalFormatting>
  <conditionalFormatting sqref="D420">
    <cfRule type="containsBlanks" dxfId="1134" priority="1136">
      <formula>LEN(TRIM(D420))=0</formula>
    </cfRule>
  </conditionalFormatting>
  <conditionalFormatting sqref="F420">
    <cfRule type="containsBlanks" dxfId="1133" priority="1135">
      <formula>LEN(TRIM(F420))=0</formula>
    </cfRule>
  </conditionalFormatting>
  <conditionalFormatting sqref="G420">
    <cfRule type="containsBlanks" dxfId="1132" priority="1134">
      <formula>LEN(TRIM(G420))=0</formula>
    </cfRule>
  </conditionalFormatting>
  <conditionalFormatting sqref="O420:R420">
    <cfRule type="containsBlanks" dxfId="1131" priority="1132">
      <formula>LEN(TRIM(O420))=0</formula>
    </cfRule>
  </conditionalFormatting>
  <conditionalFormatting sqref="O420:R420">
    <cfRule type="containsBlanks" dxfId="1130" priority="1133">
      <formula>LEN(TRIM(O420))=0</formula>
    </cfRule>
  </conditionalFormatting>
  <conditionalFormatting sqref="J420 L420 H420 T420 E420">
    <cfRule type="containsBlanks" dxfId="1129" priority="1138">
      <formula>LEN(TRIM(E420))=0</formula>
    </cfRule>
  </conditionalFormatting>
  <conditionalFormatting sqref="A420:B420">
    <cfRule type="containsBlanks" dxfId="1128" priority="1137">
      <formula>LEN(TRIM(A420))=0</formula>
    </cfRule>
  </conditionalFormatting>
  <conditionalFormatting sqref="N420">
    <cfRule type="containsBlanks" dxfId="1127" priority="1130">
      <formula>LEN(TRIM(N420))=0</formula>
    </cfRule>
  </conditionalFormatting>
  <conditionalFormatting sqref="N420">
    <cfRule type="containsBlanks" dxfId="1126" priority="1131">
      <formula>LEN(TRIM(N420))=0</formula>
    </cfRule>
  </conditionalFormatting>
  <conditionalFormatting sqref="A420:B420">
    <cfRule type="containsBlanks" dxfId="1125" priority="1129">
      <formula>LEN(TRIM(A420))=0</formula>
    </cfRule>
  </conditionalFormatting>
  <conditionalFormatting sqref="C420">
    <cfRule type="containsBlanks" dxfId="1124" priority="1128">
      <formula>LEN(TRIM(C420))=0</formula>
    </cfRule>
  </conditionalFormatting>
  <conditionalFormatting sqref="J421:J423 L421:L423 H421:H423 E421:E423 T421:T423">
    <cfRule type="containsBlanks" dxfId="1123" priority="1126">
      <formula>LEN(TRIM(E421))=0</formula>
    </cfRule>
  </conditionalFormatting>
  <conditionalFormatting sqref="D421:D423">
    <cfRule type="containsBlanks" dxfId="1122" priority="1123">
      <formula>LEN(TRIM(D421))=0</formula>
    </cfRule>
  </conditionalFormatting>
  <conditionalFormatting sqref="F421:F423">
    <cfRule type="containsBlanks" dxfId="1121" priority="1122">
      <formula>LEN(TRIM(F421))=0</formula>
    </cfRule>
  </conditionalFormatting>
  <conditionalFormatting sqref="G421:G423">
    <cfRule type="containsBlanks" dxfId="1120" priority="1121">
      <formula>LEN(TRIM(G421))=0</formula>
    </cfRule>
  </conditionalFormatting>
  <conditionalFormatting sqref="O421:R423">
    <cfRule type="containsBlanks" dxfId="1119" priority="1119">
      <formula>LEN(TRIM(O421))=0</formula>
    </cfRule>
  </conditionalFormatting>
  <conditionalFormatting sqref="O421:R423">
    <cfRule type="containsBlanks" dxfId="1118" priority="1120">
      <formula>LEN(TRIM(O421))=0</formula>
    </cfRule>
  </conditionalFormatting>
  <conditionalFormatting sqref="J421:J423 L421:L423 H421:H423 T421:T423 E421:E423">
    <cfRule type="containsBlanks" dxfId="1117" priority="1125">
      <formula>LEN(TRIM(E421))=0</formula>
    </cfRule>
  </conditionalFormatting>
  <conditionalFormatting sqref="A421:B423">
    <cfRule type="containsBlanks" dxfId="1116" priority="1124">
      <formula>LEN(TRIM(A421))=0</formula>
    </cfRule>
  </conditionalFormatting>
  <conditionalFormatting sqref="N421:N423">
    <cfRule type="containsBlanks" dxfId="1115" priority="1117">
      <formula>LEN(TRIM(N421))=0</formula>
    </cfRule>
  </conditionalFormatting>
  <conditionalFormatting sqref="N421:N423">
    <cfRule type="containsBlanks" dxfId="1114" priority="1118">
      <formula>LEN(TRIM(N421))=0</formula>
    </cfRule>
  </conditionalFormatting>
  <conditionalFormatting sqref="A421:B423">
    <cfRule type="containsBlanks" dxfId="1113" priority="1116">
      <formula>LEN(TRIM(A421))=0</formula>
    </cfRule>
  </conditionalFormatting>
  <conditionalFormatting sqref="C421:C423">
    <cfRule type="containsBlanks" dxfId="1112" priority="1115">
      <formula>LEN(TRIM(C421))=0</formula>
    </cfRule>
  </conditionalFormatting>
  <conditionalFormatting sqref="E421:E423">
    <cfRule type="containsBlanks" dxfId="1111" priority="1114">
      <formula>LEN(TRIM(E421))=0</formula>
    </cfRule>
  </conditionalFormatting>
  <conditionalFormatting sqref="A509:B510">
    <cfRule type="containsBlanks" dxfId="1110" priority="1113">
      <formula>LEN(TRIM(A509))=0</formula>
    </cfRule>
  </conditionalFormatting>
  <conditionalFormatting sqref="T509:T510 L509:L510 J509:J510 H509:H510 E509:E510">
    <cfRule type="containsBlanks" dxfId="1109" priority="1112">
      <formula>LEN(TRIM(E509))=0</formula>
    </cfRule>
  </conditionalFormatting>
  <conditionalFormatting sqref="O509:R510">
    <cfRule type="containsBlanks" dxfId="1108" priority="1110">
      <formula>LEN(TRIM(O509))=0</formula>
    </cfRule>
  </conditionalFormatting>
  <conditionalFormatting sqref="L509:L510 J509:J510">
    <cfRule type="containsBlanks" dxfId="1107" priority="1111">
      <formula>LEN(TRIM(J509))=0</formula>
    </cfRule>
  </conditionalFormatting>
  <conditionalFormatting sqref="N509:N510">
    <cfRule type="containsBlanks" dxfId="1106" priority="1108">
      <formula>LEN(TRIM(N509))=0</formula>
    </cfRule>
  </conditionalFormatting>
  <conditionalFormatting sqref="N509:N510">
    <cfRule type="containsBlanks" dxfId="1105" priority="1107">
      <formula>LEN(TRIM(N509))=0</formula>
    </cfRule>
  </conditionalFormatting>
  <conditionalFormatting sqref="A509:B510">
    <cfRule type="containsBlanks" dxfId="1104" priority="1106">
      <formula>LEN(TRIM(A509))=0</formula>
    </cfRule>
  </conditionalFormatting>
  <conditionalFormatting sqref="C509:C510">
    <cfRule type="containsBlanks" dxfId="1103" priority="1105">
      <formula>LEN(TRIM(C509))=0</formula>
    </cfRule>
  </conditionalFormatting>
  <conditionalFormatting sqref="A519:B519">
    <cfRule type="containsBlanks" dxfId="1102" priority="1104">
      <formula>LEN(TRIM(A519))=0</formula>
    </cfRule>
  </conditionalFormatting>
  <conditionalFormatting sqref="O519:R519">
    <cfRule type="containsBlanks" dxfId="1101" priority="1102">
      <formula>LEN(TRIM(O519))=0</formula>
    </cfRule>
  </conditionalFormatting>
  <conditionalFormatting sqref="J519 L519">
    <cfRule type="containsBlanks" dxfId="1100" priority="1103">
      <formula>LEN(TRIM(J519))=0</formula>
    </cfRule>
  </conditionalFormatting>
  <conditionalFormatting sqref="N519">
    <cfRule type="containsBlanks" dxfId="1099" priority="1101">
      <formula>LEN(TRIM(N519))=0</formula>
    </cfRule>
  </conditionalFormatting>
  <conditionalFormatting sqref="A519:B519">
    <cfRule type="containsBlanks" dxfId="1098" priority="1100">
      <formula>LEN(TRIM(A519))=0</formula>
    </cfRule>
  </conditionalFormatting>
  <conditionalFormatting sqref="C519">
    <cfRule type="containsBlanks" dxfId="1097" priority="1099">
      <formula>LEN(TRIM(C519))=0</formula>
    </cfRule>
  </conditionalFormatting>
  <conditionalFormatting sqref="A522:B522">
    <cfRule type="containsBlanks" dxfId="1096" priority="1098">
      <formula>LEN(TRIM(A522))=0</formula>
    </cfRule>
  </conditionalFormatting>
  <conditionalFormatting sqref="O522:R522">
    <cfRule type="containsBlanks" dxfId="1095" priority="1096">
      <formula>LEN(TRIM(O522))=0</formula>
    </cfRule>
  </conditionalFormatting>
  <conditionalFormatting sqref="J522 L522">
    <cfRule type="containsBlanks" dxfId="1094" priority="1097">
      <formula>LEN(TRIM(J522))=0</formula>
    </cfRule>
  </conditionalFormatting>
  <conditionalFormatting sqref="N522">
    <cfRule type="containsBlanks" dxfId="1093" priority="1095">
      <formula>LEN(TRIM(N522))=0</formula>
    </cfRule>
  </conditionalFormatting>
  <conditionalFormatting sqref="A522:B522">
    <cfRule type="containsBlanks" dxfId="1092" priority="1094">
      <formula>LEN(TRIM(A522))=0</formula>
    </cfRule>
  </conditionalFormatting>
  <conditionalFormatting sqref="C522">
    <cfRule type="containsBlanks" dxfId="1091" priority="1093">
      <formula>LEN(TRIM(C522))=0</formula>
    </cfRule>
  </conditionalFormatting>
  <conditionalFormatting sqref="A526:B528">
    <cfRule type="containsBlanks" dxfId="1090" priority="1092">
      <formula>LEN(TRIM(A526))=0</formula>
    </cfRule>
  </conditionalFormatting>
  <conditionalFormatting sqref="O526:R528">
    <cfRule type="containsBlanks" dxfId="1089" priority="1090">
      <formula>LEN(TRIM(O526))=0</formula>
    </cfRule>
  </conditionalFormatting>
  <conditionalFormatting sqref="J526:J528 L526:L528">
    <cfRule type="containsBlanks" dxfId="1088" priority="1091">
      <formula>LEN(TRIM(J526))=0</formula>
    </cfRule>
  </conditionalFormatting>
  <conditionalFormatting sqref="N526:N528">
    <cfRule type="containsBlanks" dxfId="1087" priority="1089">
      <formula>LEN(TRIM(N526))=0</formula>
    </cfRule>
  </conditionalFormatting>
  <conditionalFormatting sqref="A526:B528">
    <cfRule type="containsBlanks" dxfId="1086" priority="1088">
      <formula>LEN(TRIM(A526))=0</formula>
    </cfRule>
  </conditionalFormatting>
  <conditionalFormatting sqref="D158">
    <cfRule type="containsBlanks" dxfId="1085" priority="972">
      <formula>LEN(TRIM(D158))=0</formula>
    </cfRule>
  </conditionalFormatting>
  <conditionalFormatting sqref="L525">
    <cfRule type="containsBlanks" dxfId="1084" priority="1086">
      <formula>LEN(TRIM(L525))=0</formula>
    </cfRule>
  </conditionalFormatting>
  <conditionalFormatting sqref="L525">
    <cfRule type="containsBlanks" dxfId="1083" priority="1085">
      <formula>LEN(TRIM(L525))=0</formula>
    </cfRule>
  </conditionalFormatting>
  <conditionalFormatting sqref="L525">
    <cfRule type="containsBlanks" dxfId="1082" priority="1084">
      <formula>LEN(TRIM(L525))=0</formula>
    </cfRule>
  </conditionalFormatting>
  <conditionalFormatting sqref="F544">
    <cfRule type="containsBlanks" dxfId="1081" priority="1032">
      <formula>LEN(TRIM(F544))=0</formula>
    </cfRule>
  </conditionalFormatting>
  <conditionalFormatting sqref="G157">
    <cfRule type="containsBlanks" dxfId="1080" priority="1083">
      <formula>LEN(TRIM(G157))=0</formula>
    </cfRule>
  </conditionalFormatting>
  <conditionalFormatting sqref="F157">
    <cfRule type="containsBlanks" dxfId="1079" priority="1082">
      <formula>LEN(TRIM(F157))=0</formula>
    </cfRule>
  </conditionalFormatting>
  <conditionalFormatting sqref="D157:R157">
    <cfRule type="containsBlanks" dxfId="1078" priority="1081">
      <formula>LEN(TRIM(D157))=0</formula>
    </cfRule>
  </conditionalFormatting>
  <conditionalFormatting sqref="F23">
    <cfRule type="containsBlanks" dxfId="1077" priority="1075">
      <formula>LEN(TRIM(F23))=0</formula>
    </cfRule>
  </conditionalFormatting>
  <conditionalFormatting sqref="F97">
    <cfRule type="containsBlanks" dxfId="1076" priority="1072">
      <formula>LEN(TRIM(F97))=0</formula>
    </cfRule>
  </conditionalFormatting>
  <conditionalFormatting sqref="F96">
    <cfRule type="containsBlanks" dxfId="1075" priority="1073">
      <formula>LEN(TRIM(F96))=0</formula>
    </cfRule>
  </conditionalFormatting>
  <conditionalFormatting sqref="F92:F95">
    <cfRule type="containsBlanks" dxfId="1074" priority="1074">
      <formula>LEN(TRIM(F92))=0</formula>
    </cfRule>
  </conditionalFormatting>
  <conditionalFormatting sqref="F98">
    <cfRule type="containsBlanks" dxfId="1073" priority="1071">
      <formula>LEN(TRIM(F98))=0</formula>
    </cfRule>
  </conditionalFormatting>
  <conditionalFormatting sqref="F99">
    <cfRule type="containsBlanks" dxfId="1072" priority="1070">
      <formula>LEN(TRIM(F99))=0</formula>
    </cfRule>
  </conditionalFormatting>
  <conditionalFormatting sqref="A424:B426">
    <cfRule type="containsBlanks" dxfId="1071" priority="828">
      <formula>LEN(TRIM(A424))=0</formula>
    </cfRule>
  </conditionalFormatting>
  <conditionalFormatting sqref="G424:G426">
    <cfRule type="containsBlanks" dxfId="1070" priority="825">
      <formula>LEN(TRIM(G424))=0</formula>
    </cfRule>
  </conditionalFormatting>
  <conditionalFormatting sqref="F424:F426">
    <cfRule type="containsBlanks" dxfId="1069" priority="826">
      <formula>LEN(TRIM(F424))=0</formula>
    </cfRule>
  </conditionalFormatting>
  <conditionalFormatting sqref="D424:D426">
    <cfRule type="containsBlanks" dxfId="1068" priority="827">
      <formula>LEN(TRIM(D424))=0</formula>
    </cfRule>
  </conditionalFormatting>
  <conditionalFormatting sqref="Q424:R426">
    <cfRule type="containsBlanks" dxfId="1067" priority="824">
      <formula>LEN(TRIM(Q424))=0</formula>
    </cfRule>
  </conditionalFormatting>
  <conditionalFormatting sqref="Q424:R426">
    <cfRule type="containsBlanks" dxfId="1066" priority="823">
      <formula>LEN(TRIM(Q424))=0</formula>
    </cfRule>
  </conditionalFormatting>
  <conditionalFormatting sqref="A424:B426">
    <cfRule type="containsBlanks" dxfId="1065" priority="822">
      <formula>LEN(TRIM(A424))=0</formula>
    </cfRule>
  </conditionalFormatting>
  <conditionalFormatting sqref="O437 D437 J437">
    <cfRule type="containsBlanks" dxfId="1064" priority="819">
      <formula>LEN(TRIM(D437))=0</formula>
    </cfRule>
  </conditionalFormatting>
  <conditionalFormatting sqref="E424:E426">
    <cfRule type="containsBlanks" dxfId="1063" priority="820">
      <formula>LEN(TRIM(E424))=0</formula>
    </cfRule>
  </conditionalFormatting>
  <conditionalFormatting sqref="C424:C426">
    <cfRule type="containsBlanks" dxfId="1062" priority="821">
      <formula>LEN(TRIM(C424))=0</formula>
    </cfRule>
  </conditionalFormatting>
  <conditionalFormatting sqref="C437">
    <cfRule type="containsBlanks" dxfId="1061" priority="818">
      <formula>LEN(TRIM(C437))=0</formula>
    </cfRule>
  </conditionalFormatting>
  <conditionalFormatting sqref="D437">
    <cfRule type="containsBlanks" dxfId="1060" priority="817">
      <formula>LEN(TRIM(D437))=0</formula>
    </cfRule>
  </conditionalFormatting>
  <conditionalFormatting sqref="F58">
    <cfRule type="containsBlanks" dxfId="1059" priority="1080">
      <formula>LEN(TRIM(F58))=0</formula>
    </cfRule>
  </conditionalFormatting>
  <conditionalFormatting sqref="F27">
    <cfRule type="containsBlanks" dxfId="1058" priority="1079">
      <formula>LEN(TRIM(F27))=0</formula>
    </cfRule>
  </conditionalFormatting>
  <conditionalFormatting sqref="F26">
    <cfRule type="containsBlanks" dxfId="1057" priority="1078">
      <formula>LEN(TRIM(F26))=0</formula>
    </cfRule>
  </conditionalFormatting>
  <conditionalFormatting sqref="F25">
    <cfRule type="containsBlanks" dxfId="1056" priority="1077">
      <formula>LEN(TRIM(F25))=0</formula>
    </cfRule>
  </conditionalFormatting>
  <conditionalFormatting sqref="F24">
    <cfRule type="containsBlanks" dxfId="1055" priority="1076">
      <formula>LEN(TRIM(F24))=0</formula>
    </cfRule>
  </conditionalFormatting>
  <conditionalFormatting sqref="O437">
    <cfRule type="containsBlanks" dxfId="1054" priority="815">
      <formula>LEN(TRIM(O437))=0</formula>
    </cfRule>
  </conditionalFormatting>
  <conditionalFormatting sqref="J437">
    <cfRule type="containsBlanks" dxfId="1053" priority="814">
      <formula>LEN(TRIM(J437))=0</formula>
    </cfRule>
  </conditionalFormatting>
  <conditionalFormatting sqref="J437">
    <cfRule type="containsBlanks" dxfId="1052" priority="813">
      <formula>LEN(TRIM(J437))=0</formula>
    </cfRule>
  </conditionalFormatting>
  <conditionalFormatting sqref="F102:F103">
    <cfRule type="containsBlanks" dxfId="1051" priority="1069">
      <formula>LEN(TRIM(F102))=0</formula>
    </cfRule>
  </conditionalFormatting>
  <conditionalFormatting sqref="F100:F101">
    <cfRule type="containsBlanks" dxfId="1050" priority="1068">
      <formula>LEN(TRIM(F100))=0</formula>
    </cfRule>
  </conditionalFormatting>
  <conditionalFormatting sqref="F104">
    <cfRule type="containsBlanks" dxfId="1049" priority="1067">
      <formula>LEN(TRIM(F104))=0</formula>
    </cfRule>
  </conditionalFormatting>
  <conditionalFormatting sqref="F105">
    <cfRule type="containsBlanks" dxfId="1048" priority="1066">
      <formula>LEN(TRIM(F105))=0</formula>
    </cfRule>
  </conditionalFormatting>
  <conditionalFormatting sqref="F106">
    <cfRule type="containsBlanks" dxfId="1047" priority="1065">
      <formula>LEN(TRIM(F106))=0</formula>
    </cfRule>
  </conditionalFormatting>
  <conditionalFormatting sqref="F150">
    <cfRule type="containsBlanks" dxfId="1046" priority="1063">
      <formula>LEN(TRIM(F150))=0</formula>
    </cfRule>
  </conditionalFormatting>
  <conditionalFormatting sqref="F145">
    <cfRule type="containsBlanks" dxfId="1045" priority="1064">
      <formula>LEN(TRIM(F145))=0</formula>
    </cfRule>
  </conditionalFormatting>
  <conditionalFormatting sqref="F236">
    <cfRule type="containsBlanks" dxfId="1044" priority="1061">
      <formula>LEN(TRIM(F236))=0</formula>
    </cfRule>
  </conditionalFormatting>
  <conditionalFormatting sqref="F237">
    <cfRule type="containsBlanks" dxfId="1043" priority="1060">
      <formula>LEN(TRIM(F237))=0</formula>
    </cfRule>
  </conditionalFormatting>
  <conditionalFormatting sqref="F226">
    <cfRule type="containsBlanks" dxfId="1042" priority="1062">
      <formula>LEN(TRIM(F226))=0</formula>
    </cfRule>
  </conditionalFormatting>
  <conditionalFormatting sqref="F238">
    <cfRule type="containsBlanks" dxfId="1041" priority="1059">
      <formula>LEN(TRIM(F238))=0</formula>
    </cfRule>
  </conditionalFormatting>
  <conditionalFormatting sqref="F239">
    <cfRule type="containsBlanks" dxfId="1040" priority="1058">
      <formula>LEN(TRIM(F239))=0</formula>
    </cfRule>
  </conditionalFormatting>
  <conditionalFormatting sqref="F240:F242">
    <cfRule type="containsBlanks" dxfId="1039" priority="1057">
      <formula>LEN(TRIM(F240))=0</formula>
    </cfRule>
  </conditionalFormatting>
  <conditionalFormatting sqref="F245">
    <cfRule type="containsBlanks" dxfId="1038" priority="1056">
      <formula>LEN(TRIM(F245))=0</formula>
    </cfRule>
  </conditionalFormatting>
  <conditionalFormatting sqref="F246:F247">
    <cfRule type="containsBlanks" dxfId="1037" priority="1055">
      <formula>LEN(TRIM(F246))=0</formula>
    </cfRule>
  </conditionalFormatting>
  <conditionalFormatting sqref="F248">
    <cfRule type="containsBlanks" dxfId="1036" priority="1054">
      <formula>LEN(TRIM(F248))=0</formula>
    </cfRule>
  </conditionalFormatting>
  <conditionalFormatting sqref="F249">
    <cfRule type="containsBlanks" dxfId="1035" priority="1053">
      <formula>LEN(TRIM(F249))=0</formula>
    </cfRule>
  </conditionalFormatting>
  <conditionalFormatting sqref="F253">
    <cfRule type="containsBlanks" dxfId="1034" priority="1052">
      <formula>LEN(TRIM(F253))=0</formula>
    </cfRule>
  </conditionalFormatting>
  <conditionalFormatting sqref="F254">
    <cfRule type="containsBlanks" dxfId="1033" priority="1051">
      <formula>LEN(TRIM(F254))=0</formula>
    </cfRule>
  </conditionalFormatting>
  <conditionalFormatting sqref="F255:F260">
    <cfRule type="containsBlanks" dxfId="1032" priority="1050">
      <formula>LEN(TRIM(F255))=0</formula>
    </cfRule>
  </conditionalFormatting>
  <conditionalFormatting sqref="F261">
    <cfRule type="containsBlanks" dxfId="1031" priority="1049">
      <formula>LEN(TRIM(F261))=0</formula>
    </cfRule>
  </conditionalFormatting>
  <conditionalFormatting sqref="F262">
    <cfRule type="containsBlanks" dxfId="1030" priority="1048">
      <formula>LEN(TRIM(F262))=0</formula>
    </cfRule>
  </conditionalFormatting>
  <conditionalFormatting sqref="F263">
    <cfRule type="containsBlanks" dxfId="1029" priority="1047">
      <formula>LEN(TRIM(F263))=0</formula>
    </cfRule>
  </conditionalFormatting>
  <conditionalFormatting sqref="F279">
    <cfRule type="containsBlanks" dxfId="1028" priority="1046">
      <formula>LEN(TRIM(F279))=0</formula>
    </cfRule>
  </conditionalFormatting>
  <conditionalFormatting sqref="F281">
    <cfRule type="containsBlanks" dxfId="1027" priority="1045">
      <formula>LEN(TRIM(F281))=0</formula>
    </cfRule>
  </conditionalFormatting>
  <conditionalFormatting sqref="F280">
    <cfRule type="containsBlanks" dxfId="1026" priority="1044">
      <formula>LEN(TRIM(F280))=0</formula>
    </cfRule>
  </conditionalFormatting>
  <conditionalFormatting sqref="F282">
    <cfRule type="containsBlanks" dxfId="1025" priority="1043">
      <formula>LEN(TRIM(F282))=0</formula>
    </cfRule>
  </conditionalFormatting>
  <conditionalFormatting sqref="F283">
    <cfRule type="containsBlanks" dxfId="1024" priority="1042">
      <formula>LEN(TRIM(F283))=0</formula>
    </cfRule>
  </conditionalFormatting>
  <conditionalFormatting sqref="F284">
    <cfRule type="containsBlanks" dxfId="1023" priority="1041">
      <formula>LEN(TRIM(F284))=0</formula>
    </cfRule>
  </conditionalFormatting>
  <conditionalFormatting sqref="F285:F289">
    <cfRule type="containsBlanks" dxfId="1022" priority="1040">
      <formula>LEN(TRIM(F285))=0</formula>
    </cfRule>
  </conditionalFormatting>
  <conditionalFormatting sqref="F290:F294">
    <cfRule type="containsBlanks" dxfId="1021" priority="1039">
      <formula>LEN(TRIM(F290))=0</formula>
    </cfRule>
  </conditionalFormatting>
  <conditionalFormatting sqref="F310">
    <cfRule type="containsBlanks" dxfId="1020" priority="1038">
      <formula>LEN(TRIM(F310))=0</formula>
    </cfRule>
  </conditionalFormatting>
  <conditionalFormatting sqref="F333">
    <cfRule type="containsBlanks" dxfId="1019" priority="1037">
      <formula>LEN(TRIM(F333))=0</formula>
    </cfRule>
  </conditionalFormatting>
  <conditionalFormatting sqref="F334">
    <cfRule type="containsBlanks" dxfId="1018" priority="1036">
      <formula>LEN(TRIM(F334))=0</formula>
    </cfRule>
  </conditionalFormatting>
  <conditionalFormatting sqref="F432">
    <cfRule type="containsBlanks" dxfId="1017" priority="1035">
      <formula>LEN(TRIM(F432))=0</formula>
    </cfRule>
  </conditionalFormatting>
  <conditionalFormatting sqref="F433">
    <cfRule type="containsBlanks" dxfId="1016" priority="1034">
      <formula>LEN(TRIM(F433))=0</formula>
    </cfRule>
  </conditionalFormatting>
  <conditionalFormatting sqref="O639">
    <cfRule type="containsBlanks" dxfId="1015" priority="758">
      <formula>LEN(TRIM(O639))=0</formula>
    </cfRule>
  </conditionalFormatting>
  <conditionalFormatting sqref="F542:F543">
    <cfRule type="containsBlanks" dxfId="1014" priority="1033">
      <formula>LEN(TRIM(F542))=0</formula>
    </cfRule>
  </conditionalFormatting>
  <conditionalFormatting sqref="F577">
    <cfRule type="containsBlanks" dxfId="1013" priority="1031">
      <formula>LEN(TRIM(F577))=0</formula>
    </cfRule>
  </conditionalFormatting>
  <conditionalFormatting sqref="D187">
    <cfRule type="containsBlanks" dxfId="1012" priority="1030">
      <formula>LEN(TRIM(D187))=0</formula>
    </cfRule>
  </conditionalFormatting>
  <conditionalFormatting sqref="E187">
    <cfRule type="containsBlanks" dxfId="1011" priority="1029">
      <formula>LEN(TRIM(E187))=0</formula>
    </cfRule>
  </conditionalFormatting>
  <conditionalFormatting sqref="L413">
    <cfRule type="containsBlanks" dxfId="1010" priority="1028">
      <formula>LEN(TRIM(L413))=0</formula>
    </cfRule>
  </conditionalFormatting>
  <conditionalFormatting sqref="T226">
    <cfRule type="containsBlanks" dxfId="1009" priority="1027">
      <formula>LEN(TRIM(T226))=0</formula>
    </cfRule>
  </conditionalFormatting>
  <conditionalFormatting sqref="T248">
    <cfRule type="containsBlanks" dxfId="1008" priority="1026">
      <formula>LEN(TRIM(T248))=0</formula>
    </cfRule>
  </conditionalFormatting>
  <conditionalFormatting sqref="T248">
    <cfRule type="containsBlanks" dxfId="1007" priority="1025">
      <formula>LEN(TRIM(T248))=0</formula>
    </cfRule>
  </conditionalFormatting>
  <conditionalFormatting sqref="T279">
    <cfRule type="containsBlanks" dxfId="1006" priority="1024">
      <formula>LEN(TRIM(T279))=0</formula>
    </cfRule>
  </conditionalFormatting>
  <conditionalFormatting sqref="T279">
    <cfRule type="containsBlanks" dxfId="1005" priority="1023">
      <formula>LEN(TRIM(T279))=0</formula>
    </cfRule>
  </conditionalFormatting>
  <conditionalFormatting sqref="T280">
    <cfRule type="containsBlanks" dxfId="1004" priority="1022">
      <formula>LEN(TRIM(T280))=0</formula>
    </cfRule>
  </conditionalFormatting>
  <conditionalFormatting sqref="T280">
    <cfRule type="containsBlanks" dxfId="1003" priority="1021">
      <formula>LEN(TRIM(T280))=0</formula>
    </cfRule>
  </conditionalFormatting>
  <conditionalFormatting sqref="T281">
    <cfRule type="containsBlanks" dxfId="1002" priority="1020">
      <formula>LEN(TRIM(T281))=0</formula>
    </cfRule>
  </conditionalFormatting>
  <conditionalFormatting sqref="T281">
    <cfRule type="containsBlanks" dxfId="1001" priority="1019">
      <formula>LEN(TRIM(T281))=0</formula>
    </cfRule>
  </conditionalFormatting>
  <conditionalFormatting sqref="T285">
    <cfRule type="containsBlanks" dxfId="1000" priority="1018">
      <formula>LEN(TRIM(T285))=0</formula>
    </cfRule>
  </conditionalFormatting>
  <conditionalFormatting sqref="T285">
    <cfRule type="containsBlanks" dxfId="999" priority="1017">
      <formula>LEN(TRIM(T285))=0</formula>
    </cfRule>
  </conditionalFormatting>
  <conditionalFormatting sqref="T288">
    <cfRule type="containsBlanks" dxfId="998" priority="1016">
      <formula>LEN(TRIM(T288))=0</formula>
    </cfRule>
  </conditionalFormatting>
  <conditionalFormatting sqref="T288">
    <cfRule type="containsBlanks" dxfId="997" priority="1015">
      <formula>LEN(TRIM(T288))=0</formula>
    </cfRule>
  </conditionalFormatting>
  <conditionalFormatting sqref="T287">
    <cfRule type="containsBlanks" dxfId="996" priority="1014">
      <formula>LEN(TRIM(T287))=0</formula>
    </cfRule>
  </conditionalFormatting>
  <conditionalFormatting sqref="T287">
    <cfRule type="containsBlanks" dxfId="995" priority="1013">
      <formula>LEN(TRIM(T287))=0</formula>
    </cfRule>
  </conditionalFormatting>
  <conditionalFormatting sqref="T289">
    <cfRule type="containsBlanks" dxfId="994" priority="1012">
      <formula>LEN(TRIM(T289))=0</formula>
    </cfRule>
  </conditionalFormatting>
  <conditionalFormatting sqref="T289">
    <cfRule type="containsBlanks" dxfId="993" priority="1011">
      <formula>LEN(TRIM(T289))=0</formula>
    </cfRule>
  </conditionalFormatting>
  <conditionalFormatting sqref="T291">
    <cfRule type="containsBlanks" dxfId="992" priority="1010">
      <formula>LEN(TRIM(T291))=0</formula>
    </cfRule>
  </conditionalFormatting>
  <conditionalFormatting sqref="T291">
    <cfRule type="containsBlanks" dxfId="991" priority="1009">
      <formula>LEN(TRIM(T291))=0</formula>
    </cfRule>
  </conditionalFormatting>
  <conditionalFormatting sqref="T294">
    <cfRule type="containsBlanks" dxfId="990" priority="1008">
      <formula>LEN(TRIM(T294))=0</formula>
    </cfRule>
  </conditionalFormatting>
  <conditionalFormatting sqref="T294">
    <cfRule type="containsBlanks" dxfId="989" priority="1007">
      <formula>LEN(TRIM(T294))=0</formula>
    </cfRule>
  </conditionalFormatting>
  <conditionalFormatting sqref="T384">
    <cfRule type="containsBlanks" dxfId="988" priority="999">
      <formula>LEN(TRIM(T384))=0</formula>
    </cfRule>
  </conditionalFormatting>
  <conditionalFormatting sqref="T340:T343">
    <cfRule type="containsBlanks" dxfId="987" priority="1006">
      <formula>LEN(TRIM(T340))=0</formula>
    </cfRule>
  </conditionalFormatting>
  <conditionalFormatting sqref="T340:T343">
    <cfRule type="containsBlanks" dxfId="986" priority="1005">
      <formula>LEN(TRIM(T340))=0</formula>
    </cfRule>
  </conditionalFormatting>
  <conditionalFormatting sqref="T357">
    <cfRule type="containsBlanks" dxfId="985" priority="1004">
      <formula>LEN(TRIM(T357))=0</formula>
    </cfRule>
  </conditionalFormatting>
  <conditionalFormatting sqref="T361">
    <cfRule type="containsBlanks" dxfId="984" priority="1003">
      <formula>LEN(TRIM(T361))=0</formula>
    </cfRule>
  </conditionalFormatting>
  <conditionalFormatting sqref="T359:T360">
    <cfRule type="containsBlanks" dxfId="983" priority="1002">
      <formula>LEN(TRIM(T359))=0</formula>
    </cfRule>
  </conditionalFormatting>
  <conditionalFormatting sqref="T368">
    <cfRule type="containsBlanks" dxfId="982" priority="1001">
      <formula>LEN(TRIM(T368))=0</formula>
    </cfRule>
  </conditionalFormatting>
  <conditionalFormatting sqref="T368">
    <cfRule type="containsBlanks" dxfId="981" priority="1000">
      <formula>LEN(TRIM(T368))=0</formula>
    </cfRule>
  </conditionalFormatting>
  <conditionalFormatting sqref="T384">
    <cfRule type="containsBlanks" dxfId="980" priority="998">
      <formula>LEN(TRIM(T384))=0</formula>
    </cfRule>
  </conditionalFormatting>
  <conditionalFormatting sqref="T392:T400">
    <cfRule type="containsBlanks" dxfId="979" priority="997">
      <formula>LEN(TRIM(T392))=0</formula>
    </cfRule>
  </conditionalFormatting>
  <conditionalFormatting sqref="T392:T400">
    <cfRule type="containsBlanks" dxfId="978" priority="996">
      <formula>LEN(TRIM(T392))=0</formula>
    </cfRule>
  </conditionalFormatting>
  <conditionalFormatting sqref="T407">
    <cfRule type="containsBlanks" dxfId="977" priority="995">
      <formula>LEN(TRIM(T407))=0</formula>
    </cfRule>
  </conditionalFormatting>
  <conditionalFormatting sqref="T407">
    <cfRule type="containsBlanks" dxfId="976" priority="994">
      <formula>LEN(TRIM(T407))=0</formula>
    </cfRule>
  </conditionalFormatting>
  <conditionalFormatting sqref="T442">
    <cfRule type="containsBlanks" dxfId="975" priority="993">
      <formula>LEN(TRIM(T442))=0</formula>
    </cfRule>
  </conditionalFormatting>
  <conditionalFormatting sqref="T442">
    <cfRule type="containsBlanks" dxfId="974" priority="992">
      <formula>LEN(TRIM(T442))=0</formula>
    </cfRule>
  </conditionalFormatting>
  <conditionalFormatting sqref="T444">
    <cfRule type="containsBlanks" dxfId="973" priority="991">
      <formula>LEN(TRIM(T444))=0</formula>
    </cfRule>
  </conditionalFormatting>
  <conditionalFormatting sqref="T444">
    <cfRule type="containsBlanks" dxfId="972" priority="990">
      <formula>LEN(TRIM(T444))=0</formula>
    </cfRule>
  </conditionalFormatting>
  <conditionalFormatting sqref="T445">
    <cfRule type="containsBlanks" dxfId="971" priority="989">
      <formula>LEN(TRIM(T445))=0</formula>
    </cfRule>
  </conditionalFormatting>
  <conditionalFormatting sqref="T445">
    <cfRule type="containsBlanks" dxfId="970" priority="988">
      <formula>LEN(TRIM(T445))=0</formula>
    </cfRule>
  </conditionalFormatting>
  <conditionalFormatting sqref="T454">
    <cfRule type="containsBlanks" dxfId="969" priority="987">
      <formula>LEN(TRIM(T454))=0</formula>
    </cfRule>
  </conditionalFormatting>
  <conditionalFormatting sqref="T454">
    <cfRule type="containsBlanks" dxfId="968" priority="986">
      <formula>LEN(TRIM(T454))=0</formula>
    </cfRule>
  </conditionalFormatting>
  <conditionalFormatting sqref="T499">
    <cfRule type="containsBlanks" dxfId="967" priority="985">
      <formula>LEN(TRIM(T499))=0</formula>
    </cfRule>
  </conditionalFormatting>
  <conditionalFormatting sqref="T499">
    <cfRule type="containsBlanks" dxfId="966" priority="984">
      <formula>LEN(TRIM(T499))=0</formula>
    </cfRule>
  </conditionalFormatting>
  <conditionalFormatting sqref="T508">
    <cfRule type="containsBlanks" dxfId="965" priority="983">
      <formula>LEN(TRIM(T508))=0</formula>
    </cfRule>
  </conditionalFormatting>
  <conditionalFormatting sqref="T508">
    <cfRule type="containsBlanks" dxfId="964" priority="982">
      <formula>LEN(TRIM(T508))=0</formula>
    </cfRule>
  </conditionalFormatting>
  <conditionalFormatting sqref="L139:L141">
    <cfRule type="containsBlanks" dxfId="963" priority="930">
      <formula>LEN(TRIM(L139))=0</formula>
    </cfRule>
  </conditionalFormatting>
  <conditionalFormatting sqref="T433">
    <cfRule type="containsBlanks" dxfId="962" priority="981">
      <formula>LEN(TRIM(T433))=0</formula>
    </cfRule>
  </conditionalFormatting>
  <conditionalFormatting sqref="T455:T457">
    <cfRule type="containsBlanks" dxfId="961" priority="980">
      <formula>LEN(TRIM(T455))=0</formula>
    </cfRule>
  </conditionalFormatting>
  <conditionalFormatting sqref="T501">
    <cfRule type="containsBlanks" dxfId="960" priority="979">
      <formula>LEN(TRIM(T501))=0</formula>
    </cfRule>
  </conditionalFormatting>
  <conditionalFormatting sqref="B20">
    <cfRule type="containsBlanks" dxfId="959" priority="978">
      <formula>LEN(TRIM(B20))=0</formula>
    </cfRule>
  </conditionalFormatting>
  <conditionalFormatting sqref="A40:C40 E40:F40 J40 L40 T40 H40:H41 H45:H49 H55 H58:H59 H62:H63 H65 H68:H71 H73:H75 H79:H80 H82 H84:H89 H92:H108 H124:H131 H145 H147:H148 H150:H155 H222:H226 H230 H233 H235:H238 H240:H242 H245:H249 H253:H260 H276 H279:H294 H310 H333 H338:H343 H346:H351 H353:H354 H357 H359:H360 H363 H388:H412 H414 H416:H419 H432:H433 H523:H525 H530:H532 H537 H541:H544 H547:H548 H577 H580:H589 H614 H620:H622 H637:H639 H110:H122 H306:H307 H312:H329 H365:H385 H159:H178 H436:H508 H552:H564">
    <cfRule type="containsBlanks" dxfId="958" priority="977">
      <formula>LEN(TRIM(A40))=0</formula>
    </cfRule>
  </conditionalFormatting>
  <conditionalFormatting sqref="T40">
    <cfRule type="containsBlanks" dxfId="957" priority="976">
      <formula>LEN(TRIM(T40))=0</formula>
    </cfRule>
  </conditionalFormatting>
  <conditionalFormatting sqref="T158 D158:E158 J158 L158 N158:P158">
    <cfRule type="containsBlanks" dxfId="956" priority="975">
      <formula>LEN(TRIM(D158))=0</formula>
    </cfRule>
  </conditionalFormatting>
  <conditionalFormatting sqref="O158:P158">
    <cfRule type="containsBlanks" dxfId="955" priority="971">
      <formula>LEN(TRIM(O158))=0</formula>
    </cfRule>
  </conditionalFormatting>
  <conditionalFormatting sqref="O158:P158">
    <cfRule type="containsBlanks" dxfId="954" priority="970">
      <formula>LEN(TRIM(O158))=0</formula>
    </cfRule>
  </conditionalFormatting>
  <conditionalFormatting sqref="E158 T158">
    <cfRule type="containsBlanks" dxfId="953" priority="974">
      <formula>LEN(TRIM(E158))=0</formula>
    </cfRule>
  </conditionalFormatting>
  <conditionalFormatting sqref="A158:B158">
    <cfRule type="containsBlanks" dxfId="952" priority="973">
      <formula>LEN(TRIM(A158))=0</formula>
    </cfRule>
  </conditionalFormatting>
  <conditionalFormatting sqref="J158">
    <cfRule type="containsBlanks" dxfId="951" priority="969">
      <formula>LEN(TRIM(J158))=0</formula>
    </cfRule>
  </conditionalFormatting>
  <conditionalFormatting sqref="J158">
    <cfRule type="containsBlanks" dxfId="950" priority="968">
      <formula>LEN(TRIM(J158))=0</formula>
    </cfRule>
  </conditionalFormatting>
  <conditionalFormatting sqref="N158">
    <cfRule type="containsBlanks" dxfId="949" priority="964">
      <formula>LEN(TRIM(N158))=0</formula>
    </cfRule>
  </conditionalFormatting>
  <conditionalFormatting sqref="L158">
    <cfRule type="containsBlanks" dxfId="948" priority="967">
      <formula>LEN(TRIM(L158))=0</formula>
    </cfRule>
  </conditionalFormatting>
  <conditionalFormatting sqref="L158">
    <cfRule type="containsBlanks" dxfId="947" priority="966">
      <formula>LEN(TRIM(L158))=0</formula>
    </cfRule>
  </conditionalFormatting>
  <conditionalFormatting sqref="N158">
    <cfRule type="containsBlanks" dxfId="946" priority="965">
      <formula>LEN(TRIM(N158))=0</formula>
    </cfRule>
  </conditionalFormatting>
  <conditionalFormatting sqref="A158:B158 T158">
    <cfRule type="containsBlanks" dxfId="945" priority="963">
      <formula>LEN(TRIM(A158))=0</formula>
    </cfRule>
  </conditionalFormatting>
  <conditionalFormatting sqref="C158">
    <cfRule type="containsBlanks" dxfId="944" priority="962">
      <formula>LEN(TRIM(C158))=0</formula>
    </cfRule>
  </conditionalFormatting>
  <conditionalFormatting sqref="J158">
    <cfRule type="containsBlanks" dxfId="943" priority="960">
      <formula>LEN(TRIM(J158))=0</formula>
    </cfRule>
  </conditionalFormatting>
  <conditionalFormatting sqref="J158">
    <cfRule type="containsBlanks" dxfId="942" priority="961">
      <formula>LEN(TRIM(J158))=0</formula>
    </cfRule>
  </conditionalFormatting>
  <conditionalFormatting sqref="L158">
    <cfRule type="containsBlanks" dxfId="941" priority="959">
      <formula>LEN(TRIM(L158))=0</formula>
    </cfRule>
  </conditionalFormatting>
  <conditionalFormatting sqref="L158">
    <cfRule type="containsBlanks" dxfId="940" priority="958">
      <formula>LEN(TRIM(L158))=0</formula>
    </cfRule>
  </conditionalFormatting>
  <conditionalFormatting sqref="T67 E67 J67 L67 N67:P67">
    <cfRule type="containsBlanks" dxfId="939" priority="957">
      <formula>LEN(TRIM(E67))=0</formula>
    </cfRule>
  </conditionalFormatting>
  <conditionalFormatting sqref="O67:P67">
    <cfRule type="containsBlanks" dxfId="938" priority="955">
      <formula>LEN(TRIM(O67))=0</formula>
    </cfRule>
  </conditionalFormatting>
  <conditionalFormatting sqref="A436:B437">
    <cfRule type="containsBlanks" dxfId="937" priority="812">
      <formula>LEN(TRIM(A436))=0</formula>
    </cfRule>
  </conditionalFormatting>
  <conditionalFormatting sqref="O67:P67">
    <cfRule type="containsBlanks" dxfId="936" priority="954">
      <formula>LEN(TRIM(O67))=0</formula>
    </cfRule>
  </conditionalFormatting>
  <conditionalFormatting sqref="T67 E67">
    <cfRule type="containsBlanks" dxfId="935" priority="956">
      <formula>LEN(TRIM(E67))=0</formula>
    </cfRule>
  </conditionalFormatting>
  <conditionalFormatting sqref="J67">
    <cfRule type="containsBlanks" dxfId="934" priority="953">
      <formula>LEN(TRIM(J67))=0</formula>
    </cfRule>
  </conditionalFormatting>
  <conditionalFormatting sqref="N67">
    <cfRule type="containsBlanks" dxfId="933" priority="948">
      <formula>LEN(TRIM(N67))=0</formula>
    </cfRule>
  </conditionalFormatting>
  <conditionalFormatting sqref="J67">
    <cfRule type="containsBlanks" dxfId="932" priority="952">
      <formula>LEN(TRIM(J67))=0</formula>
    </cfRule>
  </conditionalFormatting>
  <conditionalFormatting sqref="L67">
    <cfRule type="containsBlanks" dxfId="931" priority="951">
      <formula>LEN(TRIM(L67))=0</formula>
    </cfRule>
  </conditionalFormatting>
  <conditionalFormatting sqref="L67">
    <cfRule type="containsBlanks" dxfId="930" priority="950">
      <formula>LEN(TRIM(L67))=0</formula>
    </cfRule>
  </conditionalFormatting>
  <conditionalFormatting sqref="N67">
    <cfRule type="containsBlanks" dxfId="929" priority="949">
      <formula>LEN(TRIM(N67))=0</formula>
    </cfRule>
  </conditionalFormatting>
  <conditionalFormatting sqref="T67">
    <cfRule type="containsBlanks" dxfId="928" priority="947">
      <formula>LEN(TRIM(T67))=0</formula>
    </cfRule>
  </conditionalFormatting>
  <conditionalFormatting sqref="A67:C67">
    <cfRule type="containsBlanks" dxfId="927" priority="946">
      <formula>LEN(TRIM(A67))=0</formula>
    </cfRule>
  </conditionalFormatting>
  <conditionalFormatting sqref="O139:P141">
    <cfRule type="containsBlanks" dxfId="926" priority="935">
      <formula>LEN(TRIM(O139))=0</formula>
    </cfRule>
  </conditionalFormatting>
  <conditionalFormatting sqref="O139:P141">
    <cfRule type="containsBlanks" dxfId="925" priority="934">
      <formula>LEN(TRIM(O139))=0</formula>
    </cfRule>
  </conditionalFormatting>
  <conditionalFormatting sqref="J139:J141">
    <cfRule type="containsBlanks" dxfId="924" priority="933">
      <formula>LEN(TRIM(J139))=0</formula>
    </cfRule>
  </conditionalFormatting>
  <conditionalFormatting sqref="A71:C71 E71 O71">
    <cfRule type="containsBlanks" dxfId="923" priority="945">
      <formula>LEN(TRIM(A71))=0</formula>
    </cfRule>
  </conditionalFormatting>
  <conditionalFormatting sqref="L139:L141">
    <cfRule type="containsBlanks" dxfId="922" priority="931">
      <formula>LEN(TRIM(L139))=0</formula>
    </cfRule>
  </conditionalFormatting>
  <conditionalFormatting sqref="I134">
    <cfRule type="containsBlanks" dxfId="921" priority="601">
      <formula>LEN(TRIM(I134))=0</formula>
    </cfRule>
  </conditionalFormatting>
  <conditionalFormatting sqref="I78:I83">
    <cfRule type="containsBlanks" dxfId="920" priority="671">
      <formula>LEN(TRIM(I78))=0</formula>
    </cfRule>
  </conditionalFormatting>
  <conditionalFormatting sqref="A129:E131 J129:J131 L130:L131 N130:P131 T130:T131 O129">
    <cfRule type="containsBlanks" dxfId="919" priority="944">
      <formula>LEN(TRIM(A129))=0</formula>
    </cfRule>
  </conditionalFormatting>
  <conditionalFormatting sqref="H139:H141">
    <cfRule type="containsBlanks" dxfId="918" priority="943">
      <formula>LEN(TRIM(H139))=0</formula>
    </cfRule>
  </conditionalFormatting>
  <conditionalFormatting sqref="H139:H141">
    <cfRule type="containsBlanks" dxfId="917" priority="942">
      <formula>LEN(TRIM(H139))=0</formula>
    </cfRule>
  </conditionalFormatting>
  <conditionalFormatting sqref="E139">
    <cfRule type="containsBlanks" dxfId="916" priority="941">
      <formula>LEN(TRIM(E139))=0</formula>
    </cfRule>
  </conditionalFormatting>
  <conditionalFormatting sqref="D139">
    <cfRule type="containsBlanks" dxfId="915" priority="937">
      <formula>LEN(TRIM(D139))=0</formula>
    </cfRule>
  </conditionalFormatting>
  <conditionalFormatting sqref="G139">
    <cfRule type="containsBlanks" dxfId="914" priority="936">
      <formula>LEN(TRIM(G139))=0</formula>
    </cfRule>
  </conditionalFormatting>
  <conditionalFormatting sqref="I236:I242">
    <cfRule type="containsBlanks" dxfId="913" priority="644">
      <formula>LEN(TRIM(I236))=0</formula>
    </cfRule>
  </conditionalFormatting>
  <conditionalFormatting sqref="O637">
    <cfRule type="containsBlanks" dxfId="912" priority="770">
      <formula>LEN(TRIM(O637))=0</formula>
    </cfRule>
  </conditionalFormatting>
  <conditionalFormatting sqref="T139:T141">
    <cfRule type="containsBlanks" dxfId="911" priority="940">
      <formula>LEN(TRIM(T139))=0</formula>
    </cfRule>
  </conditionalFormatting>
  <conditionalFormatting sqref="E139 T139:T141">
    <cfRule type="containsBlanks" dxfId="910" priority="939">
      <formula>LEN(TRIM(E139))=0</formula>
    </cfRule>
  </conditionalFormatting>
  <conditionalFormatting sqref="A139:B141">
    <cfRule type="containsBlanks" dxfId="909" priority="938">
      <formula>LEN(TRIM(A139))=0</formula>
    </cfRule>
  </conditionalFormatting>
  <conditionalFormatting sqref="N139:N141">
    <cfRule type="containsBlanks" dxfId="908" priority="928">
      <formula>LEN(TRIM(N139))=0</formula>
    </cfRule>
  </conditionalFormatting>
  <conditionalFormatting sqref="J139:J141">
    <cfRule type="containsBlanks" dxfId="907" priority="932">
      <formula>LEN(TRIM(J139))=0</formula>
    </cfRule>
  </conditionalFormatting>
  <conditionalFormatting sqref="N139:N141">
    <cfRule type="containsBlanks" dxfId="906" priority="929">
      <formula>LEN(TRIM(N139))=0</formula>
    </cfRule>
  </conditionalFormatting>
  <conditionalFormatting sqref="D139:E139 A139:B141 T139:T141 J139:J141 G139 L139:L141 N139:P141">
    <cfRule type="containsBlanks" dxfId="905" priority="927">
      <formula>LEN(TRIM(A139))=0</formula>
    </cfRule>
  </conditionalFormatting>
  <conditionalFormatting sqref="C139:C141">
    <cfRule type="containsBlanks" dxfId="904" priority="926">
      <formula>LEN(TRIM(C139))=0</formula>
    </cfRule>
  </conditionalFormatting>
  <conditionalFormatting sqref="C139:C141">
    <cfRule type="containsBlanks" dxfId="903" priority="925">
      <formula>LEN(TRIM(C139))=0</formula>
    </cfRule>
  </conditionalFormatting>
  <conditionalFormatting sqref="F139">
    <cfRule type="containsBlanks" dxfId="902" priority="924">
      <formula>LEN(TRIM(F139))=0</formula>
    </cfRule>
  </conditionalFormatting>
  <conditionalFormatting sqref="F139">
    <cfRule type="containsBlanks" dxfId="901" priority="923">
      <formula>LEN(TRIM(F139))=0</formula>
    </cfRule>
  </conditionalFormatting>
  <conditionalFormatting sqref="D159:E160 T159:T160 J159:J160 L159:L160 N159:P160">
    <cfRule type="containsBlanks" dxfId="900" priority="922">
      <formula>LEN(TRIM(D159))=0</formula>
    </cfRule>
  </conditionalFormatting>
  <conditionalFormatting sqref="D159:D160">
    <cfRule type="containsBlanks" dxfId="899" priority="919">
      <formula>LEN(TRIM(D159))=0</formula>
    </cfRule>
  </conditionalFormatting>
  <conditionalFormatting sqref="O159:P160">
    <cfRule type="containsBlanks" dxfId="898" priority="918">
      <formula>LEN(TRIM(O159))=0</formula>
    </cfRule>
  </conditionalFormatting>
  <conditionalFormatting sqref="I72">
    <cfRule type="containsBlanks" dxfId="897" priority="629">
      <formula>LEN(TRIM(I72))=0</formula>
    </cfRule>
  </conditionalFormatting>
  <conditionalFormatting sqref="T639">
    <cfRule type="containsBlanks" dxfId="896" priority="761">
      <formula>LEN(TRIM(T639))=0</formula>
    </cfRule>
  </conditionalFormatting>
  <conditionalFormatting sqref="O159:P160">
    <cfRule type="containsBlanks" dxfId="895" priority="917">
      <formula>LEN(TRIM(O159))=0</formula>
    </cfRule>
  </conditionalFormatting>
  <conditionalFormatting sqref="E159:E160 L159:L160 J159:J160 T159:T160">
    <cfRule type="containsBlanks" dxfId="894" priority="921">
      <formula>LEN(TRIM(E159))=0</formula>
    </cfRule>
  </conditionalFormatting>
  <conditionalFormatting sqref="A159:B160">
    <cfRule type="containsBlanks" dxfId="893" priority="920">
      <formula>LEN(TRIM(A159))=0</formula>
    </cfRule>
  </conditionalFormatting>
  <conditionalFormatting sqref="N159:N160">
    <cfRule type="containsBlanks" dxfId="892" priority="915">
      <formula>LEN(TRIM(N159))=0</formula>
    </cfRule>
  </conditionalFormatting>
  <conditionalFormatting sqref="N159:N160">
    <cfRule type="containsBlanks" dxfId="891" priority="916">
      <formula>LEN(TRIM(N159))=0</formula>
    </cfRule>
  </conditionalFormatting>
  <conditionalFormatting sqref="A159:B160">
    <cfRule type="containsBlanks" dxfId="890" priority="914">
      <formula>LEN(TRIM(A159))=0</formula>
    </cfRule>
  </conditionalFormatting>
  <conditionalFormatting sqref="C159:C160">
    <cfRule type="containsBlanks" dxfId="889" priority="913">
      <formula>LEN(TRIM(C159))=0</formula>
    </cfRule>
  </conditionalFormatting>
  <conditionalFormatting sqref="C159:C160">
    <cfRule type="containsBlanks" dxfId="888" priority="912">
      <formula>LEN(TRIM(C159))=0</formula>
    </cfRule>
  </conditionalFormatting>
  <conditionalFormatting sqref="E159:E160">
    <cfRule type="containsBlanks" dxfId="887" priority="911">
      <formula>LEN(TRIM(E159))=0</formula>
    </cfRule>
  </conditionalFormatting>
  <conditionalFormatting sqref="J159:J160">
    <cfRule type="containsBlanks" dxfId="886" priority="910">
      <formula>LEN(TRIM(J159))=0</formula>
    </cfRule>
  </conditionalFormatting>
  <conditionalFormatting sqref="J159:J160">
    <cfRule type="containsBlanks" dxfId="885" priority="909">
      <formula>LEN(TRIM(J159))=0</formula>
    </cfRule>
  </conditionalFormatting>
  <conditionalFormatting sqref="L159:L160">
    <cfRule type="containsBlanks" dxfId="884" priority="907">
      <formula>LEN(TRIM(L159))=0</formula>
    </cfRule>
  </conditionalFormatting>
  <conditionalFormatting sqref="L159:L160">
    <cfRule type="containsBlanks" dxfId="883" priority="908">
      <formula>LEN(TRIM(L159))=0</formula>
    </cfRule>
  </conditionalFormatting>
  <conditionalFormatting sqref="O268:R270">
    <cfRule type="containsBlanks" dxfId="882" priority="898">
      <formula>LEN(TRIM(O268))=0</formula>
    </cfRule>
  </conditionalFormatting>
  <conditionalFormatting sqref="O268:R270">
    <cfRule type="containsBlanks" dxfId="881" priority="899">
      <formula>LEN(TRIM(O268))=0</formula>
    </cfRule>
  </conditionalFormatting>
  <conditionalFormatting sqref="N268:N270">
    <cfRule type="containsBlanks" dxfId="880" priority="897">
      <formula>LEN(TRIM(N268))=0</formula>
    </cfRule>
  </conditionalFormatting>
  <conditionalFormatting sqref="N268:N270">
    <cfRule type="containsBlanks" dxfId="879" priority="896">
      <formula>LEN(TRIM(N268))=0</formula>
    </cfRule>
  </conditionalFormatting>
  <conditionalFormatting sqref="B154:B155">
    <cfRule type="containsBlanks" dxfId="878" priority="906">
      <formula>LEN(TRIM(B154))=0</formula>
    </cfRule>
  </conditionalFormatting>
  <conditionalFormatting sqref="C268:C270">
    <cfRule type="containsBlanks" dxfId="877" priority="894">
      <formula>LEN(TRIM(C268))=0</formula>
    </cfRule>
  </conditionalFormatting>
  <conditionalFormatting sqref="C268:C270">
    <cfRule type="containsBlanks" dxfId="876" priority="893">
      <formula>LEN(TRIM(C268))=0</formula>
    </cfRule>
  </conditionalFormatting>
  <conditionalFormatting sqref="I90">
    <cfRule type="containsBlanks" dxfId="875" priority="604">
      <formula>LEN(TRIM(I90))=0</formula>
    </cfRule>
  </conditionalFormatting>
  <conditionalFormatting sqref="I52">
    <cfRule type="containsBlanks" dxfId="874" priority="611">
      <formula>LEN(TRIM(I52))=0</formula>
    </cfRule>
  </conditionalFormatting>
  <conditionalFormatting sqref="J268:J270 L268:L270 N268:R270 D268:H270 T268:T270">
    <cfRule type="containsBlanks" dxfId="873" priority="905">
      <formula>LEN(TRIM(D268))=0</formula>
    </cfRule>
  </conditionalFormatting>
  <conditionalFormatting sqref="T268:T270 H268:H270 E268:E270 L268:L270 J268:J270">
    <cfRule type="containsBlanks" dxfId="872" priority="904">
      <formula>LEN(TRIM(E268))=0</formula>
    </cfRule>
  </conditionalFormatting>
  <conditionalFormatting sqref="F268:F270">
    <cfRule type="containsBlanks" dxfId="871" priority="901">
      <formula>LEN(TRIM(F268))=0</formula>
    </cfRule>
  </conditionalFormatting>
  <conditionalFormatting sqref="G268:G270">
    <cfRule type="containsBlanks" dxfId="870" priority="900">
      <formula>LEN(TRIM(G268))=0</formula>
    </cfRule>
  </conditionalFormatting>
  <conditionalFormatting sqref="I265:I267">
    <cfRule type="containsBlanks" dxfId="869" priority="585">
      <formula>LEN(TRIM(I265))=0</formula>
    </cfRule>
  </conditionalFormatting>
  <conditionalFormatting sqref="D40">
    <cfRule type="containsBlanks" dxfId="868" priority="752">
      <formula>LEN(TRIM(D40))=0</formula>
    </cfRule>
  </conditionalFormatting>
  <conditionalFormatting sqref="H268:H270 T268:T270 E268:E270 L268:L270 J268:J270">
    <cfRule type="containsBlanks" dxfId="867" priority="903">
      <formula>LEN(TRIM(E268))=0</formula>
    </cfRule>
  </conditionalFormatting>
  <conditionalFormatting sqref="A268:B270">
    <cfRule type="containsBlanks" dxfId="866" priority="902">
      <formula>LEN(TRIM(A268))=0</formula>
    </cfRule>
  </conditionalFormatting>
  <conditionalFormatting sqref="A268:B270">
    <cfRule type="containsBlanks" dxfId="865" priority="895">
      <formula>LEN(TRIM(A268))=0</formula>
    </cfRule>
  </conditionalFormatting>
  <conditionalFormatting sqref="E268:E270">
    <cfRule type="containsBlanks" dxfId="864" priority="892">
      <formula>LEN(TRIM(E268))=0</formula>
    </cfRule>
  </conditionalFormatting>
  <conditionalFormatting sqref="J298:J299 L298:L299 N298:R299 A298:H299 T298:T299">
    <cfRule type="containsBlanks" dxfId="863" priority="891">
      <formula>LEN(TRIM(A298))=0</formula>
    </cfRule>
  </conditionalFormatting>
  <conditionalFormatting sqref="J306:J307 L306:L307 N306:P307 D306:E307">
    <cfRule type="containsBlanks" dxfId="862" priority="890">
      <formula>LEN(TRIM(D306))=0</formula>
    </cfRule>
  </conditionalFormatting>
  <conditionalFormatting sqref="O306:P307">
    <cfRule type="containsBlanks" dxfId="861" priority="885">
      <formula>LEN(TRIM(O306))=0</formula>
    </cfRule>
  </conditionalFormatting>
  <conditionalFormatting sqref="O306:P307">
    <cfRule type="containsBlanks" dxfId="860" priority="884">
      <formula>LEN(TRIM(O306))=0</formula>
    </cfRule>
  </conditionalFormatting>
  <conditionalFormatting sqref="J306:J307">
    <cfRule type="containsBlanks" dxfId="859" priority="883">
      <formula>LEN(TRIM(J306))=0</formula>
    </cfRule>
  </conditionalFormatting>
  <conditionalFormatting sqref="J306:J307">
    <cfRule type="containsBlanks" dxfId="858" priority="882">
      <formula>LEN(TRIM(J306))=0</formula>
    </cfRule>
  </conditionalFormatting>
  <conditionalFormatting sqref="E306:E307">
    <cfRule type="containsBlanks" dxfId="857" priority="889">
      <formula>LEN(TRIM(E306))=0</formula>
    </cfRule>
  </conditionalFormatting>
  <conditionalFormatting sqref="D306:D307">
    <cfRule type="containsBlanks" dxfId="856" priority="886">
      <formula>LEN(TRIM(D306))=0</formula>
    </cfRule>
  </conditionalFormatting>
  <conditionalFormatting sqref="D58">
    <cfRule type="containsBlanks" dxfId="855" priority="739">
      <formula>LEN(TRIM(D58))=0</formula>
    </cfRule>
  </conditionalFormatting>
  <conditionalFormatting sqref="E306:E307">
    <cfRule type="containsBlanks" dxfId="854" priority="888">
      <formula>LEN(TRIM(E306))=0</formula>
    </cfRule>
  </conditionalFormatting>
  <conditionalFormatting sqref="A306:B307">
    <cfRule type="containsBlanks" dxfId="853" priority="887">
      <formula>LEN(TRIM(A306))=0</formula>
    </cfRule>
  </conditionalFormatting>
  <conditionalFormatting sqref="L306:L307">
    <cfRule type="containsBlanks" dxfId="852" priority="881">
      <formula>LEN(TRIM(L306))=0</formula>
    </cfRule>
  </conditionalFormatting>
  <conditionalFormatting sqref="L306:L307">
    <cfRule type="containsBlanks" dxfId="851" priority="880">
      <formula>LEN(TRIM(L306))=0</formula>
    </cfRule>
  </conditionalFormatting>
  <conditionalFormatting sqref="N306:N307">
    <cfRule type="containsBlanks" dxfId="850" priority="878">
      <formula>LEN(TRIM(N306))=0</formula>
    </cfRule>
  </conditionalFormatting>
  <conditionalFormatting sqref="N306:N307">
    <cfRule type="containsBlanks" dxfId="849" priority="879">
      <formula>LEN(TRIM(N306))=0</formula>
    </cfRule>
  </conditionalFormatting>
  <conditionalFormatting sqref="A306:B307">
    <cfRule type="containsBlanks" dxfId="848" priority="877">
      <formula>LEN(TRIM(A306))=0</formula>
    </cfRule>
  </conditionalFormatting>
  <conditionalFormatting sqref="C306:C307">
    <cfRule type="containsBlanks" dxfId="847" priority="876">
      <formula>LEN(TRIM(C306))=0</formula>
    </cfRule>
  </conditionalFormatting>
  <conditionalFormatting sqref="C318">
    <cfRule type="containsBlanks" dxfId="846" priority="864">
      <formula>LEN(TRIM(C318))=0</formula>
    </cfRule>
  </conditionalFormatting>
  <conditionalFormatting sqref="A318:B318">
    <cfRule type="containsBlanks" dxfId="845" priority="865">
      <formula>LEN(TRIM(A318))=0</formula>
    </cfRule>
  </conditionalFormatting>
  <conditionalFormatting sqref="C319">
    <cfRule type="containsBlanks" dxfId="844" priority="861">
      <formula>LEN(TRIM(C319))=0</formula>
    </cfRule>
  </conditionalFormatting>
  <conditionalFormatting sqref="A319:B319">
    <cfRule type="containsBlanks" dxfId="843" priority="862">
      <formula>LEN(TRIM(A319))=0</formula>
    </cfRule>
  </conditionalFormatting>
  <conditionalFormatting sqref="N380:P380 D380:E380 J380">
    <cfRule type="containsBlanks" dxfId="842" priority="875">
      <formula>LEN(TRIM(D380))=0</formula>
    </cfRule>
  </conditionalFormatting>
  <conditionalFormatting sqref="N380:P380 A380:B380 T380">
    <cfRule type="containsBlanks" dxfId="841" priority="874">
      <formula>LEN(TRIM(A380))=0</formula>
    </cfRule>
  </conditionalFormatting>
  <conditionalFormatting sqref="C380">
    <cfRule type="containsBlanks" dxfId="840" priority="868">
      <formula>LEN(TRIM(C380))=0</formula>
    </cfRule>
  </conditionalFormatting>
  <conditionalFormatting sqref="O380:P380">
    <cfRule type="containsBlanks" dxfId="839" priority="873">
      <formula>LEN(TRIM(O380))=0</formula>
    </cfRule>
  </conditionalFormatting>
  <conditionalFormatting sqref="J380">
    <cfRule type="containsBlanks" dxfId="838" priority="871">
      <formula>LEN(TRIM(J380))=0</formula>
    </cfRule>
  </conditionalFormatting>
  <conditionalFormatting sqref="J380">
    <cfRule type="containsBlanks" dxfId="837" priority="872">
      <formula>LEN(TRIM(J380))=0</formula>
    </cfRule>
  </conditionalFormatting>
  <conditionalFormatting sqref="N380">
    <cfRule type="containsBlanks" dxfId="836" priority="870">
      <formula>LEN(TRIM(N380))=0</formula>
    </cfRule>
  </conditionalFormatting>
  <conditionalFormatting sqref="A380:B380 T380">
    <cfRule type="containsBlanks" dxfId="835" priority="869">
      <formula>LEN(TRIM(A380))=0</formula>
    </cfRule>
  </conditionalFormatting>
  <conditionalFormatting sqref="T316">
    <cfRule type="containsBlanks" dxfId="834" priority="867">
      <formula>LEN(TRIM(T316))=0</formula>
    </cfRule>
  </conditionalFormatting>
  <conditionalFormatting sqref="A318:B318 J318 L318 N318:P318 T318 D318:E318">
    <cfRule type="containsBlanks" dxfId="833" priority="866">
      <formula>LEN(TRIM(A318))=0</formula>
    </cfRule>
  </conditionalFormatting>
  <conditionalFormatting sqref="A319:B319 J319 L319 N319:P319 T319 D319:E319">
    <cfRule type="containsBlanks" dxfId="832" priority="863">
      <formula>LEN(TRIM(A319))=0</formula>
    </cfRule>
  </conditionalFormatting>
  <conditionalFormatting sqref="A320:B329 J320:J329 L320:L329 N320:P329 D320:E329 T320:T321 T329">
    <cfRule type="containsBlanks" dxfId="831" priority="860">
      <formula>LEN(TRIM(A320))=0</formula>
    </cfRule>
  </conditionalFormatting>
  <conditionalFormatting sqref="C320:C329">
    <cfRule type="containsBlanks" dxfId="830" priority="858">
      <formula>LEN(TRIM(C320))=0</formula>
    </cfRule>
  </conditionalFormatting>
  <conditionalFormatting sqref="A320:B329">
    <cfRule type="containsBlanks" dxfId="829" priority="859">
      <formula>LEN(TRIM(A320))=0</formula>
    </cfRule>
  </conditionalFormatting>
  <conditionalFormatting sqref="T436 D436 J436 L436 O436">
    <cfRule type="containsBlanks" dxfId="828" priority="857">
      <formula>LEN(TRIM(D436))=0</formula>
    </cfRule>
  </conditionalFormatting>
  <conditionalFormatting sqref="J436">
    <cfRule type="containsBlanks" dxfId="827" priority="854">
      <formula>LEN(TRIM(J436))=0</formula>
    </cfRule>
  </conditionalFormatting>
  <conditionalFormatting sqref="T436">
    <cfRule type="containsBlanks" dxfId="826" priority="856">
      <formula>LEN(TRIM(T436))=0</formula>
    </cfRule>
  </conditionalFormatting>
  <conditionalFormatting sqref="O436">
    <cfRule type="containsBlanks" dxfId="825" priority="855">
      <formula>LEN(TRIM(O436))=0</formula>
    </cfRule>
  </conditionalFormatting>
  <conditionalFormatting sqref="L436">
    <cfRule type="containsBlanks" dxfId="824" priority="851">
      <formula>LEN(TRIM(L436))=0</formula>
    </cfRule>
  </conditionalFormatting>
  <conditionalFormatting sqref="J436">
    <cfRule type="containsBlanks" dxfId="823" priority="853">
      <formula>LEN(TRIM(J436))=0</formula>
    </cfRule>
  </conditionalFormatting>
  <conditionalFormatting sqref="L436">
    <cfRule type="containsBlanks" dxfId="822" priority="852">
      <formula>LEN(TRIM(L436))=0</formula>
    </cfRule>
  </conditionalFormatting>
  <conditionalFormatting sqref="C436">
    <cfRule type="containsBlanks" dxfId="821" priority="850">
      <formula>LEN(TRIM(C436))=0</formula>
    </cfRule>
  </conditionalFormatting>
  <conditionalFormatting sqref="O436">
    <cfRule type="containsBlanks" dxfId="820" priority="848">
      <formula>LEN(TRIM(O436))=0</formula>
    </cfRule>
  </conditionalFormatting>
  <conditionalFormatting sqref="D436">
    <cfRule type="containsBlanks" dxfId="819" priority="849">
      <formula>LEN(TRIM(D436))=0</formula>
    </cfRule>
  </conditionalFormatting>
  <conditionalFormatting sqref="J436">
    <cfRule type="containsBlanks" dxfId="818" priority="847">
      <formula>LEN(TRIM(J436))=0</formula>
    </cfRule>
  </conditionalFormatting>
  <conditionalFormatting sqref="K335:K336">
    <cfRule type="containsBlanks" dxfId="817" priority="394">
      <formula>LEN(TRIM(K335))=0</formula>
    </cfRule>
  </conditionalFormatting>
  <conditionalFormatting sqref="J436">
    <cfRule type="containsBlanks" dxfId="816" priority="846">
      <formula>LEN(TRIM(J436))=0</formula>
    </cfRule>
  </conditionalFormatting>
  <conditionalFormatting sqref="L436">
    <cfRule type="containsBlanks" dxfId="815" priority="844">
      <formula>LEN(TRIM(L436))=0</formula>
    </cfRule>
  </conditionalFormatting>
  <conditionalFormatting sqref="L436">
    <cfRule type="containsBlanks" dxfId="814" priority="845">
      <formula>LEN(TRIM(L436))=0</formula>
    </cfRule>
  </conditionalFormatting>
  <conditionalFormatting sqref="N350:P351 T350:T351 J350:J351 A350:E351">
    <cfRule type="containsBlanks" dxfId="813" priority="843">
      <formula>LEN(TRIM(A350))=0</formula>
    </cfRule>
  </conditionalFormatting>
  <conditionalFormatting sqref="J350:J351">
    <cfRule type="containsBlanks" dxfId="812" priority="840">
      <formula>LEN(TRIM(J350))=0</formula>
    </cfRule>
  </conditionalFormatting>
  <conditionalFormatting sqref="K150">
    <cfRule type="containsBlanks" dxfId="811" priority="434">
      <formula>LEN(TRIM(K150))=0</formula>
    </cfRule>
  </conditionalFormatting>
  <conditionalFormatting sqref="I72">
    <cfRule type="containsBlanks" dxfId="810" priority="628">
      <formula>LEN(TRIM(I72))=0</formula>
    </cfRule>
  </conditionalFormatting>
  <conditionalFormatting sqref="N350:P351 T350:T351">
    <cfRule type="containsBlanks" dxfId="809" priority="842">
      <formula>LEN(TRIM(N350))=0</formula>
    </cfRule>
  </conditionalFormatting>
  <conditionalFormatting sqref="O350:P351">
    <cfRule type="containsBlanks" dxfId="808" priority="841">
      <formula>LEN(TRIM(O350))=0</formula>
    </cfRule>
  </conditionalFormatting>
  <conditionalFormatting sqref="J350:J351">
    <cfRule type="containsBlanks" dxfId="807" priority="839">
      <formula>LEN(TRIM(J350))=0</formula>
    </cfRule>
  </conditionalFormatting>
  <conditionalFormatting sqref="N350:N351">
    <cfRule type="containsBlanks" dxfId="806" priority="838">
      <formula>LEN(TRIM(N350))=0</formula>
    </cfRule>
  </conditionalFormatting>
  <conditionalFormatting sqref="T350:T351">
    <cfRule type="containsBlanks" dxfId="805" priority="837">
      <formula>LEN(TRIM(T350))=0</formula>
    </cfRule>
  </conditionalFormatting>
  <conditionalFormatting sqref="I227:I228 I230:I231 I233 I235">
    <cfRule type="containsBlanks" dxfId="804" priority="588">
      <formula>LEN(TRIM(I227))=0</formula>
    </cfRule>
  </conditionalFormatting>
  <conditionalFormatting sqref="I363">
    <cfRule type="containsBlanks" dxfId="803" priority="571">
      <formula>LEN(TRIM(I363))=0</formula>
    </cfRule>
  </conditionalFormatting>
  <conditionalFormatting sqref="J408:J412 L408 N408:P412 A408:E412">
    <cfRule type="containsBlanks" dxfId="802" priority="835">
      <formula>LEN(TRIM(A408))=0</formula>
    </cfRule>
  </conditionalFormatting>
  <conditionalFormatting sqref="T389">
    <cfRule type="containsBlanks" dxfId="801" priority="836">
      <formula>LEN(TRIM(T389))=0</formula>
    </cfRule>
  </conditionalFormatting>
  <conditionalFormatting sqref="M84:M85">
    <cfRule type="containsBlanks" dxfId="800" priority="304">
      <formula>LEN(TRIM(M84))=0</formula>
    </cfRule>
  </conditionalFormatting>
  <conditionalFormatting sqref="K306:K307">
    <cfRule type="containsBlanks" dxfId="799" priority="351">
      <formula>LEN(TRIM(K306))=0</formula>
    </cfRule>
  </conditionalFormatting>
  <conditionalFormatting sqref="I159:I160">
    <cfRule type="containsBlanks" dxfId="798" priority="543">
      <formula>LEN(TRIM(I159))=0</formula>
    </cfRule>
  </conditionalFormatting>
  <conditionalFormatting sqref="M84:M85">
    <cfRule type="containsBlanks" dxfId="797" priority="303">
      <formula>LEN(TRIM(M84))=0</formula>
    </cfRule>
  </conditionalFormatting>
  <conditionalFormatting sqref="N414:P414 J414 A414:E414">
    <cfRule type="containsBlanks" dxfId="796" priority="833">
      <formula>LEN(TRIM(A414))=0</formula>
    </cfRule>
  </conditionalFormatting>
  <conditionalFormatting sqref="T408">
    <cfRule type="containsBlanks" dxfId="795" priority="834">
      <formula>LEN(TRIM(T408))=0</formula>
    </cfRule>
  </conditionalFormatting>
  <conditionalFormatting sqref="T414">
    <cfRule type="containsBlanks" dxfId="794" priority="832">
      <formula>LEN(TRIM(T414))=0</formula>
    </cfRule>
  </conditionalFormatting>
  <conditionalFormatting sqref="T424:T426 E424:E426 H424:H426">
    <cfRule type="containsBlanks" dxfId="793" priority="829">
      <formula>LEN(TRIM(E424))=0</formula>
    </cfRule>
  </conditionalFormatting>
  <conditionalFormatting sqref="Q424:R426 D424:H426 T424:T426">
    <cfRule type="containsBlanks" dxfId="792" priority="831">
      <formula>LEN(TRIM(D424))=0</formula>
    </cfRule>
  </conditionalFormatting>
  <conditionalFormatting sqref="E424:E426 T424:T426 H424:H426">
    <cfRule type="containsBlanks" dxfId="791" priority="830">
      <formula>LEN(TRIM(E424))=0</formula>
    </cfRule>
  </conditionalFormatting>
  <conditionalFormatting sqref="M236:M242">
    <cfRule type="containsBlanks" dxfId="790" priority="324">
      <formula>LEN(TRIM(M236))=0</formula>
    </cfRule>
  </conditionalFormatting>
  <conditionalFormatting sqref="C558:C562">
    <cfRule type="containsBlanks" dxfId="789" priority="783">
      <formula>LEN(TRIM(C558))=0</formula>
    </cfRule>
  </conditionalFormatting>
  <conditionalFormatting sqref="A558:B562">
    <cfRule type="containsBlanks" dxfId="788" priority="784">
      <formula>LEN(TRIM(A558))=0</formula>
    </cfRule>
  </conditionalFormatting>
  <conditionalFormatting sqref="M274:M275">
    <cfRule type="containsBlanks" dxfId="787" priority="261">
      <formula>LEN(TRIM(M274))=0</formula>
    </cfRule>
  </conditionalFormatting>
  <conditionalFormatting sqref="O437">
    <cfRule type="containsBlanks" dxfId="786" priority="816">
      <formula>LEN(TRIM(O437))=0</formula>
    </cfRule>
  </conditionalFormatting>
  <conditionalFormatting sqref="M277">
    <cfRule type="containsBlanks" dxfId="785" priority="260">
      <formula>LEN(TRIM(M277))=0</formula>
    </cfRule>
  </conditionalFormatting>
  <conditionalFormatting sqref="D558:D562">
    <cfRule type="containsBlanks" dxfId="784" priority="793">
      <formula>LEN(TRIM(D558))=0</formula>
    </cfRule>
  </conditionalFormatting>
  <conditionalFormatting sqref="A558:B562">
    <cfRule type="containsBlanks" dxfId="783" priority="794">
      <formula>LEN(TRIM(A558))=0</formula>
    </cfRule>
  </conditionalFormatting>
  <conditionalFormatting sqref="O558:P562">
    <cfRule type="containsBlanks" dxfId="782" priority="792">
      <formula>LEN(TRIM(O558))=0</formula>
    </cfRule>
  </conditionalFormatting>
  <conditionalFormatting sqref="O558:P562">
    <cfRule type="containsBlanks" dxfId="781" priority="791">
      <formula>LEN(TRIM(O558))=0</formula>
    </cfRule>
  </conditionalFormatting>
  <conditionalFormatting sqref="E557 T557">
    <cfRule type="containsBlanks" dxfId="780" priority="809">
      <formula>LEN(TRIM(E557))=0</formula>
    </cfRule>
  </conditionalFormatting>
  <conditionalFormatting sqref="A436:B437">
    <cfRule type="containsBlanks" dxfId="779" priority="811">
      <formula>LEN(TRIM(A436))=0</formula>
    </cfRule>
  </conditionalFormatting>
  <conditionalFormatting sqref="T557 J557:J562 L557:L562 N557:P562 D557:E562">
    <cfRule type="containsBlanks" dxfId="778" priority="810">
      <formula>LEN(TRIM(D557))=0</formula>
    </cfRule>
  </conditionalFormatting>
  <conditionalFormatting sqref="D557">
    <cfRule type="containsBlanks" dxfId="777" priority="807">
      <formula>LEN(TRIM(D557))=0</formula>
    </cfRule>
  </conditionalFormatting>
  <conditionalFormatting sqref="O557:P557">
    <cfRule type="containsBlanks" dxfId="776" priority="806">
      <formula>LEN(TRIM(O557))=0</formula>
    </cfRule>
  </conditionalFormatting>
  <conditionalFormatting sqref="O557:P557">
    <cfRule type="containsBlanks" dxfId="775" priority="805">
      <formula>LEN(TRIM(O557))=0</formula>
    </cfRule>
  </conditionalFormatting>
  <conditionalFormatting sqref="M150">
    <cfRule type="containsBlanks" dxfId="774" priority="295">
      <formula>LEN(TRIM(M150))=0</formula>
    </cfRule>
  </conditionalFormatting>
  <conditionalFormatting sqref="K276">
    <cfRule type="containsBlanks" dxfId="773" priority="480">
      <formula>LEN(TRIM(K276))=0</formula>
    </cfRule>
  </conditionalFormatting>
  <conditionalFormatting sqref="A557:B557">
    <cfRule type="containsBlanks" dxfId="772" priority="808">
      <formula>LEN(TRIM(A557))=0</formula>
    </cfRule>
  </conditionalFormatting>
  <conditionalFormatting sqref="J557">
    <cfRule type="containsBlanks" dxfId="771" priority="804">
      <formula>LEN(TRIM(J557))=0</formula>
    </cfRule>
  </conditionalFormatting>
  <conditionalFormatting sqref="J557">
    <cfRule type="containsBlanks" dxfId="770" priority="803">
      <formula>LEN(TRIM(J557))=0</formula>
    </cfRule>
  </conditionalFormatting>
  <conditionalFormatting sqref="L557">
    <cfRule type="containsBlanks" dxfId="769" priority="802">
      <formula>LEN(TRIM(L557))=0</formula>
    </cfRule>
  </conditionalFormatting>
  <conditionalFormatting sqref="L557">
    <cfRule type="containsBlanks" dxfId="768" priority="801">
      <formula>LEN(TRIM(L557))=0</formula>
    </cfRule>
  </conditionalFormatting>
  <conditionalFormatting sqref="N557">
    <cfRule type="containsBlanks" dxfId="767" priority="799">
      <formula>LEN(TRIM(N557))=0</formula>
    </cfRule>
  </conditionalFormatting>
  <conditionalFormatting sqref="N557">
    <cfRule type="containsBlanks" dxfId="766" priority="800">
      <formula>LEN(TRIM(N557))=0</formula>
    </cfRule>
  </conditionalFormatting>
  <conditionalFormatting sqref="A557:B557 T557">
    <cfRule type="containsBlanks" dxfId="765" priority="798">
      <formula>LEN(TRIM(A557))=0</formula>
    </cfRule>
  </conditionalFormatting>
  <conditionalFormatting sqref="C557">
    <cfRule type="containsBlanks" dxfId="764" priority="797">
      <formula>LEN(TRIM(C557))=0</formula>
    </cfRule>
  </conditionalFormatting>
  <conditionalFormatting sqref="E558:E562">
    <cfRule type="containsBlanks" dxfId="763" priority="796">
      <formula>LEN(TRIM(E558))=0</formula>
    </cfRule>
  </conditionalFormatting>
  <conditionalFormatting sqref="M134">
    <cfRule type="containsBlanks" dxfId="762" priority="280">
      <formula>LEN(TRIM(M134))=0</formula>
    </cfRule>
  </conditionalFormatting>
  <conditionalFormatting sqref="K253:K260">
    <cfRule type="containsBlanks" dxfId="761" priority="465">
      <formula>LEN(TRIM(K253))=0</formula>
    </cfRule>
  </conditionalFormatting>
  <conditionalFormatting sqref="E558:E562">
    <cfRule type="containsBlanks" dxfId="760" priority="795">
      <formula>LEN(TRIM(E558))=0</formula>
    </cfRule>
  </conditionalFormatting>
  <conditionalFormatting sqref="J558:J562">
    <cfRule type="containsBlanks" dxfId="759" priority="790">
      <formula>LEN(TRIM(J558))=0</formula>
    </cfRule>
  </conditionalFormatting>
  <conditionalFormatting sqref="J558:J562">
    <cfRule type="containsBlanks" dxfId="758" priority="789">
      <formula>LEN(TRIM(J558))=0</formula>
    </cfRule>
  </conditionalFormatting>
  <conditionalFormatting sqref="L558:L562">
    <cfRule type="containsBlanks" dxfId="757" priority="788">
      <formula>LEN(TRIM(L558))=0</formula>
    </cfRule>
  </conditionalFormatting>
  <conditionalFormatting sqref="L558:L562">
    <cfRule type="containsBlanks" dxfId="756" priority="787">
      <formula>LEN(TRIM(L558))=0</formula>
    </cfRule>
  </conditionalFormatting>
  <conditionalFormatting sqref="N558:N562">
    <cfRule type="containsBlanks" dxfId="755" priority="785">
      <formula>LEN(TRIM(N558))=0</formula>
    </cfRule>
  </conditionalFormatting>
  <conditionalFormatting sqref="N558:N562">
    <cfRule type="containsBlanks" dxfId="754" priority="786">
      <formula>LEN(TRIM(N558))=0</formula>
    </cfRule>
  </conditionalFormatting>
  <conditionalFormatting sqref="T638 A638:E638 J638">
    <cfRule type="containsBlanks" dxfId="753" priority="780">
      <formula>LEN(TRIM(A638))=0</formula>
    </cfRule>
  </conditionalFormatting>
  <conditionalFormatting sqref="O638">
    <cfRule type="containsBlanks" dxfId="752" priority="779">
      <formula>LEN(TRIM(O638))=0</formula>
    </cfRule>
  </conditionalFormatting>
  <conditionalFormatting sqref="T558:T562">
    <cfRule type="containsBlanks" dxfId="751" priority="782">
      <formula>LEN(TRIM(T558))=0</formula>
    </cfRule>
  </conditionalFormatting>
  <conditionalFormatting sqref="T558:T562">
    <cfRule type="containsBlanks" dxfId="750" priority="781">
      <formula>LEN(TRIM(T558))=0</formula>
    </cfRule>
  </conditionalFormatting>
  <conditionalFormatting sqref="O638">
    <cfRule type="containsBlanks" dxfId="749" priority="778">
      <formula>LEN(TRIM(O638))=0</formula>
    </cfRule>
  </conditionalFormatting>
  <conditionalFormatting sqref="D638:E638 J638 O638">
    <cfRule type="containsBlanks" dxfId="748" priority="777">
      <formula>LEN(TRIM(D638))=0</formula>
    </cfRule>
  </conditionalFormatting>
  <conditionalFormatting sqref="J637">
    <cfRule type="containsBlanks" dxfId="747" priority="767">
      <formula>LEN(TRIM(J637))=0</formula>
    </cfRule>
  </conditionalFormatting>
  <conditionalFormatting sqref="A637:B637">
    <cfRule type="containsBlanks" dxfId="746" priority="774">
      <formula>LEN(TRIM(A637))=0</formula>
    </cfRule>
  </conditionalFormatting>
  <conditionalFormatting sqref="A637:B637">
    <cfRule type="containsBlanks" dxfId="745" priority="773">
      <formula>LEN(TRIM(A637))=0</formula>
    </cfRule>
  </conditionalFormatting>
  <conditionalFormatting sqref="T638">
    <cfRule type="containsBlanks" dxfId="744" priority="776">
      <formula>LEN(TRIM(T638))=0</formula>
    </cfRule>
  </conditionalFormatting>
  <conditionalFormatting sqref="T637 D637 J637">
    <cfRule type="containsBlanks" dxfId="743" priority="775">
      <formula>LEN(TRIM(D637))=0</formula>
    </cfRule>
  </conditionalFormatting>
  <conditionalFormatting sqref="C637">
    <cfRule type="containsBlanks" dxfId="742" priority="772">
      <formula>LEN(TRIM(C637))=0</formula>
    </cfRule>
  </conditionalFormatting>
  <conditionalFormatting sqref="D637">
    <cfRule type="containsBlanks" dxfId="741" priority="771">
      <formula>LEN(TRIM(D637))=0</formula>
    </cfRule>
  </conditionalFormatting>
  <conditionalFormatting sqref="O637">
    <cfRule type="containsBlanks" dxfId="740" priority="769">
      <formula>LEN(TRIM(O637))=0</formula>
    </cfRule>
  </conditionalFormatting>
  <conditionalFormatting sqref="M421:M423">
    <cfRule type="containsBlanks" dxfId="739" priority="246">
      <formula>LEN(TRIM(M421))=0</formula>
    </cfRule>
  </conditionalFormatting>
  <conditionalFormatting sqref="K138">
    <cfRule type="containsBlanks" dxfId="738" priority="442">
      <formula>LEN(TRIM(K138))=0</formula>
    </cfRule>
  </conditionalFormatting>
  <conditionalFormatting sqref="J637">
    <cfRule type="containsBlanks" dxfId="737" priority="768">
      <formula>LEN(TRIM(J637))=0</formula>
    </cfRule>
  </conditionalFormatting>
  <conditionalFormatting sqref="O637">
    <cfRule type="containsBlanks" dxfId="736" priority="766">
      <formula>LEN(TRIM(O637))=0</formula>
    </cfRule>
  </conditionalFormatting>
  <conditionalFormatting sqref="O639">
    <cfRule type="containsBlanks" dxfId="735" priority="759">
      <formula>LEN(TRIM(O639))=0</formula>
    </cfRule>
  </conditionalFormatting>
  <conditionalFormatting sqref="J639">
    <cfRule type="containsBlanks" dxfId="734" priority="757">
      <formula>LEN(TRIM(J639))=0</formula>
    </cfRule>
  </conditionalFormatting>
  <conditionalFormatting sqref="D639 J639">
    <cfRule type="containsBlanks" dxfId="733" priority="765">
      <formula>LEN(TRIM(D639))=0</formula>
    </cfRule>
  </conditionalFormatting>
  <conditionalFormatting sqref="C639">
    <cfRule type="containsBlanks" dxfId="732" priority="762">
      <formula>LEN(TRIM(C639))=0</formula>
    </cfRule>
  </conditionalFormatting>
  <conditionalFormatting sqref="A639:B639">
    <cfRule type="containsBlanks" dxfId="731" priority="764">
      <formula>LEN(TRIM(A639))=0</formula>
    </cfRule>
  </conditionalFormatting>
  <conditionalFormatting sqref="A639:B639">
    <cfRule type="containsBlanks" dxfId="730" priority="763">
      <formula>LEN(TRIM(A639))=0</formula>
    </cfRule>
  </conditionalFormatting>
  <conditionalFormatting sqref="D639">
    <cfRule type="containsBlanks" dxfId="729" priority="760">
      <formula>LEN(TRIM(D639))=0</formula>
    </cfRule>
  </conditionalFormatting>
  <conditionalFormatting sqref="K149">
    <cfRule type="containsBlanks" dxfId="728" priority="413">
      <formula>LEN(TRIM(K149))=0</formula>
    </cfRule>
  </conditionalFormatting>
  <conditionalFormatting sqref="J639">
    <cfRule type="containsBlanks" dxfId="727" priority="756">
      <formula>LEN(TRIM(J639))=0</formula>
    </cfRule>
  </conditionalFormatting>
  <conditionalFormatting sqref="O639">
    <cfRule type="containsBlanks" dxfId="726" priority="755">
      <formula>LEN(TRIM(O639))=0</formula>
    </cfRule>
  </conditionalFormatting>
  <conditionalFormatting sqref="M443">
    <cfRule type="containsBlanks" dxfId="725" priority="177">
      <formula>LEN(TRIM(M443))=0</formula>
    </cfRule>
  </conditionalFormatting>
  <conditionalFormatting sqref="K421:K423">
    <cfRule type="containsBlanks" dxfId="724" priority="386">
      <formula>LEN(TRIM(K421))=0</formula>
    </cfRule>
  </conditionalFormatting>
  <conditionalFormatting sqref="D55">
    <cfRule type="containsBlanks" dxfId="723" priority="744">
      <formula>LEN(TRIM(D55))=0</formula>
    </cfRule>
  </conditionalFormatting>
  <conditionalFormatting sqref="D55:D57">
    <cfRule type="containsBlanks" dxfId="722" priority="745">
      <formula>LEN(TRIM(D55))=0</formula>
    </cfRule>
  </conditionalFormatting>
  <conditionalFormatting sqref="D59">
    <cfRule type="containsBlanks" dxfId="721" priority="743">
      <formula>LEN(TRIM(D59))=0</formula>
    </cfRule>
  </conditionalFormatting>
  <conditionalFormatting sqref="D59">
    <cfRule type="containsBlanks" dxfId="720" priority="742">
      <formula>LEN(TRIM(D59))=0</formula>
    </cfRule>
  </conditionalFormatting>
  <conditionalFormatting sqref="D41">
    <cfRule type="containsBlanks" dxfId="719" priority="754">
      <formula>LEN(TRIM(D41))=0</formula>
    </cfRule>
  </conditionalFormatting>
  <conditionalFormatting sqref="D40">
    <cfRule type="containsBlanks" dxfId="718" priority="753">
      <formula>LEN(TRIM(D40))=0</formula>
    </cfRule>
  </conditionalFormatting>
  <conditionalFormatting sqref="D43">
    <cfRule type="containsBlanks" dxfId="717" priority="751">
      <formula>LEN(TRIM(D43))=0</formula>
    </cfRule>
  </conditionalFormatting>
  <conditionalFormatting sqref="D45:D51">
    <cfRule type="containsBlanks" dxfId="716" priority="750">
      <formula>LEN(TRIM(D45))=0</formula>
    </cfRule>
  </conditionalFormatting>
  <conditionalFormatting sqref="D45">
    <cfRule type="containsBlanks" dxfId="715" priority="749">
      <formula>LEN(TRIM(D45))=0</formula>
    </cfRule>
  </conditionalFormatting>
  <conditionalFormatting sqref="D46:D47">
    <cfRule type="containsBlanks" dxfId="714" priority="748">
      <formula>LEN(TRIM(D46))=0</formula>
    </cfRule>
  </conditionalFormatting>
  <conditionalFormatting sqref="D48">
    <cfRule type="containsBlanks" dxfId="713" priority="747">
      <formula>LEN(TRIM(D48))=0</formula>
    </cfRule>
  </conditionalFormatting>
  <conditionalFormatting sqref="D49">
    <cfRule type="containsBlanks" dxfId="712" priority="746">
      <formula>LEN(TRIM(D49))=0</formula>
    </cfRule>
  </conditionalFormatting>
  <conditionalFormatting sqref="D59">
    <cfRule type="containsBlanks" dxfId="711" priority="741">
      <formula>LEN(TRIM(D59))=0</formula>
    </cfRule>
  </conditionalFormatting>
  <conditionalFormatting sqref="D58">
    <cfRule type="containsBlanks" dxfId="710" priority="740">
      <formula>LEN(TRIM(D58))=0</formula>
    </cfRule>
  </conditionalFormatting>
  <conditionalFormatting sqref="D58">
    <cfRule type="containsBlanks" dxfId="709" priority="738">
      <formula>LEN(TRIM(D58))=0</formula>
    </cfRule>
  </conditionalFormatting>
  <conditionalFormatting sqref="D61:D62">
    <cfRule type="containsBlanks" dxfId="708" priority="737">
      <formula>LEN(TRIM(D61))=0</formula>
    </cfRule>
  </conditionalFormatting>
  <conditionalFormatting sqref="D61:D63">
    <cfRule type="containsBlanks" dxfId="707" priority="736">
      <formula>LEN(TRIM(D61))=0</formula>
    </cfRule>
  </conditionalFormatting>
  <conditionalFormatting sqref="D65">
    <cfRule type="containsBlanks" dxfId="706" priority="735">
      <formula>LEN(TRIM(D65))=0</formula>
    </cfRule>
  </conditionalFormatting>
  <conditionalFormatting sqref="D73:D75">
    <cfRule type="containsBlanks" dxfId="705" priority="734">
      <formula>LEN(TRIM(D73))=0</formula>
    </cfRule>
  </conditionalFormatting>
  <conditionalFormatting sqref="D73:D75">
    <cfRule type="containsBlanks" dxfId="704" priority="733">
      <formula>LEN(TRIM(D73))=0</formula>
    </cfRule>
  </conditionalFormatting>
  <conditionalFormatting sqref="D73:D75">
    <cfRule type="containsBlanks" dxfId="703" priority="732">
      <formula>LEN(TRIM(D73))=0</formula>
    </cfRule>
  </conditionalFormatting>
  <conditionalFormatting sqref="D67">
    <cfRule type="containsBlanks" dxfId="702" priority="731">
      <formula>LEN(TRIM(D67))=0</formula>
    </cfRule>
  </conditionalFormatting>
  <conditionalFormatting sqref="D67">
    <cfRule type="containsBlanks" dxfId="701" priority="730">
      <formula>LEN(TRIM(D67))=0</formula>
    </cfRule>
  </conditionalFormatting>
  <conditionalFormatting sqref="D67">
    <cfRule type="containsBlanks" dxfId="700" priority="729">
      <formula>LEN(TRIM(D67))=0</formula>
    </cfRule>
  </conditionalFormatting>
  <conditionalFormatting sqref="D71">
    <cfRule type="containsBlanks" dxfId="699" priority="728">
      <formula>LEN(TRIM(D71))=0</formula>
    </cfRule>
  </conditionalFormatting>
  <conditionalFormatting sqref="E436">
    <cfRule type="containsBlanks" dxfId="698" priority="727">
      <formula>LEN(TRIM(E436))=0</formula>
    </cfRule>
  </conditionalFormatting>
  <conditionalFormatting sqref="E436">
    <cfRule type="containsBlanks" dxfId="697" priority="726">
      <formula>LEN(TRIM(E436))=0</formula>
    </cfRule>
  </conditionalFormatting>
  <conditionalFormatting sqref="E436">
    <cfRule type="containsBlanks" dxfId="696" priority="725">
      <formula>LEN(TRIM(E436))=0</formula>
    </cfRule>
  </conditionalFormatting>
  <conditionalFormatting sqref="E437">
    <cfRule type="containsBlanks" dxfId="695" priority="724">
      <formula>LEN(TRIM(E437))=0</formula>
    </cfRule>
  </conditionalFormatting>
  <conditionalFormatting sqref="E437">
    <cfRule type="containsBlanks" dxfId="694" priority="723">
      <formula>LEN(TRIM(E437))=0</formula>
    </cfRule>
  </conditionalFormatting>
  <conditionalFormatting sqref="E437">
    <cfRule type="containsBlanks" dxfId="693" priority="722">
      <formula>LEN(TRIM(E437))=0</formula>
    </cfRule>
  </conditionalFormatting>
  <conditionalFormatting sqref="E532">
    <cfRule type="containsBlanks" dxfId="692" priority="721">
      <formula>LEN(TRIM(E532))=0</formula>
    </cfRule>
  </conditionalFormatting>
  <conditionalFormatting sqref="E532">
    <cfRule type="containsBlanks" dxfId="691" priority="720">
      <formula>LEN(TRIM(E532))=0</formula>
    </cfRule>
  </conditionalFormatting>
  <conditionalFormatting sqref="E563:E564">
    <cfRule type="containsBlanks" dxfId="690" priority="719">
      <formula>LEN(TRIM(E563))=0</formula>
    </cfRule>
  </conditionalFormatting>
  <conditionalFormatting sqref="E563:E564">
    <cfRule type="containsBlanks" dxfId="689" priority="718">
      <formula>LEN(TRIM(E563))=0</formula>
    </cfRule>
  </conditionalFormatting>
  <conditionalFormatting sqref="E563:E564">
    <cfRule type="containsBlanks" dxfId="688" priority="717">
      <formula>LEN(TRIM(E563))=0</formula>
    </cfRule>
  </conditionalFormatting>
  <conditionalFormatting sqref="E563:E564">
    <cfRule type="containsBlanks" dxfId="687" priority="716">
      <formula>LEN(TRIM(E563))=0</formula>
    </cfRule>
  </conditionalFormatting>
  <conditionalFormatting sqref="E637">
    <cfRule type="containsBlanks" dxfId="686" priority="715">
      <formula>LEN(TRIM(E637))=0</formula>
    </cfRule>
  </conditionalFormatting>
  <conditionalFormatting sqref="E637">
    <cfRule type="containsBlanks" dxfId="685" priority="714">
      <formula>LEN(TRIM(E637))=0</formula>
    </cfRule>
  </conditionalFormatting>
  <conditionalFormatting sqref="E637">
    <cfRule type="containsBlanks" dxfId="684" priority="713">
      <formula>LEN(TRIM(E637))=0</formula>
    </cfRule>
  </conditionalFormatting>
  <conditionalFormatting sqref="E637">
    <cfRule type="containsBlanks" dxfId="683" priority="712">
      <formula>LEN(TRIM(E637))=0</formula>
    </cfRule>
  </conditionalFormatting>
  <conditionalFormatting sqref="E637">
    <cfRule type="containsBlanks" dxfId="682" priority="711">
      <formula>LEN(TRIM(E637))=0</formula>
    </cfRule>
  </conditionalFormatting>
  <conditionalFormatting sqref="E639">
    <cfRule type="containsBlanks" dxfId="681" priority="710">
      <formula>LEN(TRIM(E639))=0</formula>
    </cfRule>
  </conditionalFormatting>
  <conditionalFormatting sqref="E639">
    <cfRule type="containsBlanks" dxfId="680" priority="709">
      <formula>LEN(TRIM(E639))=0</formula>
    </cfRule>
  </conditionalFormatting>
  <conditionalFormatting sqref="E639">
    <cfRule type="containsBlanks" dxfId="679" priority="708">
      <formula>LEN(TRIM(E639))=0</formula>
    </cfRule>
  </conditionalFormatting>
  <conditionalFormatting sqref="E639">
    <cfRule type="containsBlanks" dxfId="678" priority="707">
      <formula>LEN(TRIM(E639))=0</formula>
    </cfRule>
  </conditionalFormatting>
  <conditionalFormatting sqref="E639">
    <cfRule type="containsBlanks" dxfId="677" priority="706">
      <formula>LEN(TRIM(E639))=0</formula>
    </cfRule>
  </conditionalFormatting>
  <conditionalFormatting sqref="G40:G41 G45:G49 G55 G58:G59 G62:G63 G65 G68:G71 G73:G75 G79:G80 G82 G84:G89 G92:G108 G110:G122 G124:G131 G145 G147:G148 G150:G155 G159:G177 G222:G226 G230 G233 G235:G238 G240:G242 G245:G249 G253:G260 G276 G279:G294 G306:G307 G310 G312:G329 G333 G338:G343 G346:G351 G353:G354 G357 G359:G360 G363 G365:G385 G388:G412 G414 G416:G419 G432:G433 G436:G508 G523:G525 G530:G532 G537 G541:G544 G547:G548 G552:G564 G577 G580:G589 G614 G620:G622 G637:G639">
    <cfRule type="containsBlanks" dxfId="676" priority="705">
      <formula>LEN(TRIM(G40))=0</formula>
    </cfRule>
  </conditionalFormatting>
  <conditionalFormatting sqref="G40:G41 G45:G49 G55 G58:G59 G62:G63 G65 G68:G71 G73:G75 G79:G80 G82 G84:G89 G92:G108 G110:G122 G124:G131 G145 G147:G148 G150:G155 G159:G177 G222:G226 G230 G233 G235:G238 G240:G242 G245:G249 G253:G260 G276 G279:G294 G306:G307 G310 G312:G329 G333 G338:G343 G346:G351 G353:G354 G357 G359:G360 G363 G365:G385 G388:G412 G414 G416:G419 G432:G433 G436:G508 G523:G525 G530:G532 G537 G541:G544 G547:G548 G552:G564 G577 G580:G589 G614 G620:G622 G637:G639">
    <cfRule type="containsBlanks" dxfId="675" priority="704">
      <formula>LEN(TRIM(G40))=0</formula>
    </cfRule>
  </conditionalFormatting>
  <conditionalFormatting sqref="G43">
    <cfRule type="containsBlanks" dxfId="674" priority="703">
      <formula>LEN(TRIM(G43))=0</formula>
    </cfRule>
  </conditionalFormatting>
  <conditionalFormatting sqref="G50:G51">
    <cfRule type="containsBlanks" dxfId="673" priority="702">
      <formula>LEN(TRIM(G50))=0</formula>
    </cfRule>
  </conditionalFormatting>
  <conditionalFormatting sqref="G61">
    <cfRule type="containsBlanks" dxfId="672" priority="701">
      <formula>LEN(TRIM(G61))=0</formula>
    </cfRule>
  </conditionalFormatting>
  <conditionalFormatting sqref="G138">
    <cfRule type="containsBlanks" dxfId="671" priority="700">
      <formula>LEN(TRIM(G138))=0</formula>
    </cfRule>
  </conditionalFormatting>
  <conditionalFormatting sqref="G138">
    <cfRule type="containsBlanks" dxfId="670" priority="699">
      <formula>LEN(TRIM(G138))=0</formula>
    </cfRule>
  </conditionalFormatting>
  <conditionalFormatting sqref="E140">
    <cfRule type="containsBlanks" dxfId="669" priority="698">
      <formula>LEN(TRIM(E140))=0</formula>
    </cfRule>
  </conditionalFormatting>
  <conditionalFormatting sqref="D140">
    <cfRule type="containsBlanks" dxfId="668" priority="696">
      <formula>LEN(TRIM(D140))=0</formula>
    </cfRule>
  </conditionalFormatting>
  <conditionalFormatting sqref="G140">
    <cfRule type="containsBlanks" dxfId="667" priority="695">
      <formula>LEN(TRIM(G140))=0</formula>
    </cfRule>
  </conditionalFormatting>
  <conditionalFormatting sqref="E140">
    <cfRule type="containsBlanks" dxfId="666" priority="697">
      <formula>LEN(TRIM(E140))=0</formula>
    </cfRule>
  </conditionalFormatting>
  <conditionalFormatting sqref="D140:E140 G140">
    <cfRule type="containsBlanks" dxfId="665" priority="694">
      <formula>LEN(TRIM(D140))=0</formula>
    </cfRule>
  </conditionalFormatting>
  <conditionalFormatting sqref="F140">
    <cfRule type="containsBlanks" dxfId="664" priority="693">
      <formula>LEN(TRIM(F140))=0</formula>
    </cfRule>
  </conditionalFormatting>
  <conditionalFormatting sqref="F140">
    <cfRule type="containsBlanks" dxfId="663" priority="692">
      <formula>LEN(TRIM(F140))=0</formula>
    </cfRule>
  </conditionalFormatting>
  <conditionalFormatting sqref="E141">
    <cfRule type="containsBlanks" dxfId="662" priority="691">
      <formula>LEN(TRIM(E141))=0</formula>
    </cfRule>
  </conditionalFormatting>
  <conditionalFormatting sqref="D141">
    <cfRule type="containsBlanks" dxfId="661" priority="689">
      <formula>LEN(TRIM(D141))=0</formula>
    </cfRule>
  </conditionalFormatting>
  <conditionalFormatting sqref="G141">
    <cfRule type="containsBlanks" dxfId="660" priority="688">
      <formula>LEN(TRIM(G141))=0</formula>
    </cfRule>
  </conditionalFormatting>
  <conditionalFormatting sqref="E141">
    <cfRule type="containsBlanks" dxfId="659" priority="690">
      <formula>LEN(TRIM(E141))=0</formula>
    </cfRule>
  </conditionalFormatting>
  <conditionalFormatting sqref="D141:E141 G141">
    <cfRule type="containsBlanks" dxfId="658" priority="687">
      <formula>LEN(TRIM(D141))=0</formula>
    </cfRule>
  </conditionalFormatting>
  <conditionalFormatting sqref="F141">
    <cfRule type="containsBlanks" dxfId="657" priority="686">
      <formula>LEN(TRIM(F141))=0</formula>
    </cfRule>
  </conditionalFormatting>
  <conditionalFormatting sqref="F141">
    <cfRule type="containsBlanks" dxfId="656" priority="685">
      <formula>LEN(TRIM(F141))=0</formula>
    </cfRule>
  </conditionalFormatting>
  <conditionalFormatting sqref="G239">
    <cfRule type="containsBlanks" dxfId="655" priority="684">
      <formula>LEN(TRIM(G239))=0</formula>
    </cfRule>
  </conditionalFormatting>
  <conditionalFormatting sqref="I300:I304 I387 I381:I385 I317 I271:I277 I132:I137 I142:I147 I427:I435 I72:I90 I438:I442 I563:I578 I537 I363 I279:I294 I547:I550 I552:I556 I541:I545">
    <cfRule type="containsBlanks" dxfId="654" priority="683">
      <formula>LEN(TRIM(I72))=0</formula>
    </cfRule>
  </conditionalFormatting>
  <conditionalFormatting sqref="I43">
    <cfRule type="containsBlanks" dxfId="653" priority="680">
      <formula>LEN(TRIM(I43))=0</formula>
    </cfRule>
  </conditionalFormatting>
  <conditionalFormatting sqref="I151:I155">
    <cfRule type="containsBlanks" dxfId="652" priority="665">
      <formula>LEN(TRIM(I151))=0</formula>
    </cfRule>
  </conditionalFormatting>
  <conditionalFormatting sqref="I206:I207">
    <cfRule type="containsBlanks" dxfId="651" priority="663">
      <formula>LEN(TRIM(I206))=0</formula>
    </cfRule>
  </conditionalFormatting>
  <conditionalFormatting sqref="I431 I434:I435">
    <cfRule type="containsBlanks" dxfId="650" priority="682">
      <formula>LEN(TRIM(I431))=0</formula>
    </cfRule>
  </conditionalFormatting>
  <conditionalFormatting sqref="I580:I589">
    <cfRule type="containsBlanks" dxfId="649" priority="653">
      <formula>LEN(TRIM(I580))=0</formula>
    </cfRule>
  </conditionalFormatting>
  <conditionalFormatting sqref="I602">
    <cfRule type="containsBlanks" dxfId="648" priority="652">
      <formula>LEN(TRIM(I602))=0</formula>
    </cfRule>
  </conditionalFormatting>
  <conditionalFormatting sqref="I21:I31 I53:I54 I60 I66 I136:I137 I243 I264 I271:I273 I430:I431 I541 I576 I593:I601 I603:I604 I520:I521 I311 I434:I435 I545 I578 I156:I157 I547:I550">
    <cfRule type="containsBlanks" dxfId="647" priority="681">
      <formula>LEN(TRIM(I21))=0</formula>
    </cfRule>
  </conditionalFormatting>
  <conditionalFormatting sqref="I68">
    <cfRule type="containsBlanks" dxfId="646" priority="674">
      <formula>LEN(TRIM(I68))=0</formula>
    </cfRule>
  </conditionalFormatting>
  <conditionalFormatting sqref="I602">
    <cfRule type="containsBlanks" dxfId="645" priority="651">
      <formula>LEN(TRIM(I602))=0</formula>
    </cfRule>
  </conditionalFormatting>
  <conditionalFormatting sqref="I43">
    <cfRule type="containsBlanks" dxfId="644" priority="679">
      <formula>LEN(TRIM(I43))=0</formula>
    </cfRule>
  </conditionalFormatting>
  <conditionalFormatting sqref="I78:I83">
    <cfRule type="containsBlanks" dxfId="643" priority="672">
      <formula>LEN(TRIM(I78))=0</formula>
    </cfRule>
  </conditionalFormatting>
  <conditionalFormatting sqref="I59">
    <cfRule type="containsBlanks" dxfId="642" priority="678">
      <formula>LEN(TRIM(I59))=0</formula>
    </cfRule>
  </conditionalFormatting>
  <conditionalFormatting sqref="I59">
    <cfRule type="containsBlanks" dxfId="641" priority="677">
      <formula>LEN(TRIM(I59))=0</formula>
    </cfRule>
  </conditionalFormatting>
  <conditionalFormatting sqref="I387">
    <cfRule type="containsBlanks" dxfId="640" priority="659">
      <formula>LEN(TRIM(I387))=0</formula>
    </cfRule>
  </conditionalFormatting>
  <conditionalFormatting sqref="I580:I589">
    <cfRule type="containsBlanks" dxfId="639" priority="654">
      <formula>LEN(TRIM(I580))=0</formula>
    </cfRule>
  </conditionalFormatting>
  <conditionalFormatting sqref="I554">
    <cfRule type="containsBlanks" dxfId="638" priority="656">
      <formula>LEN(TRIM(I554))=0</formula>
    </cfRule>
  </conditionalFormatting>
  <conditionalFormatting sqref="I554">
    <cfRule type="containsBlanks" dxfId="637" priority="655">
      <formula>LEN(TRIM(I554))=0</formula>
    </cfRule>
  </conditionalFormatting>
  <conditionalFormatting sqref="I525 I529:I530 I537">
    <cfRule type="containsBlanks" dxfId="636" priority="658">
      <formula>LEN(TRIM(I525))=0</formula>
    </cfRule>
  </conditionalFormatting>
  <conditionalFormatting sqref="I525 I529:I530 I537">
    <cfRule type="containsBlanks" dxfId="635" priority="657">
      <formula>LEN(TRIM(I525))=0</formula>
    </cfRule>
  </conditionalFormatting>
  <conditionalFormatting sqref="I605:I606 I608">
    <cfRule type="containsBlanks" dxfId="634" priority="650">
      <formula>LEN(TRIM(I605))=0</formula>
    </cfRule>
  </conditionalFormatting>
  <conditionalFormatting sqref="I605:I606 I608">
    <cfRule type="containsBlanks" dxfId="633" priority="649">
      <formula>LEN(TRIM(I605))=0</formula>
    </cfRule>
  </conditionalFormatting>
  <conditionalFormatting sqref="I61:I63">
    <cfRule type="containsBlanks" dxfId="632" priority="676">
      <formula>LEN(TRIM(I61))=0</formula>
    </cfRule>
  </conditionalFormatting>
  <conditionalFormatting sqref="I61:I63">
    <cfRule type="containsBlanks" dxfId="631" priority="675">
      <formula>LEN(TRIM(I61))=0</formula>
    </cfRule>
  </conditionalFormatting>
  <conditionalFormatting sqref="I151:I155">
    <cfRule type="containsBlanks" dxfId="630" priority="666">
      <formula>LEN(TRIM(I151))=0</formula>
    </cfRule>
  </conditionalFormatting>
  <conditionalFormatting sqref="I68">
    <cfRule type="containsBlanks" dxfId="629" priority="673">
      <formula>LEN(TRIM(I68))=0</formula>
    </cfRule>
  </conditionalFormatting>
  <conditionalFormatting sqref="I107:I108">
    <cfRule type="containsBlanks" dxfId="628" priority="670">
      <formula>LEN(TRIM(I107))=0</formula>
    </cfRule>
  </conditionalFormatting>
  <conditionalFormatting sqref="I107:I108">
    <cfRule type="containsBlanks" dxfId="627" priority="669">
      <formula>LEN(TRIM(I107))=0</formula>
    </cfRule>
  </conditionalFormatting>
  <conditionalFormatting sqref="I148">
    <cfRule type="containsBlanks" dxfId="626" priority="668">
      <formula>LEN(TRIM(I148))=0</formula>
    </cfRule>
  </conditionalFormatting>
  <conditionalFormatting sqref="I148">
    <cfRule type="containsBlanks" dxfId="625" priority="667">
      <formula>LEN(TRIM(I148))=0</formula>
    </cfRule>
  </conditionalFormatting>
  <conditionalFormatting sqref="I206:I207">
    <cfRule type="containsBlanks" dxfId="624" priority="664">
      <formula>LEN(TRIM(I206))=0</formula>
    </cfRule>
  </conditionalFormatting>
  <conditionalFormatting sqref="I276">
    <cfRule type="containsBlanks" dxfId="623" priority="662">
      <formula>LEN(TRIM(I276))=0</formula>
    </cfRule>
  </conditionalFormatting>
  <conditionalFormatting sqref="I276">
    <cfRule type="containsBlanks" dxfId="622" priority="661">
      <formula>LEN(TRIM(I276))=0</formula>
    </cfRule>
  </conditionalFormatting>
  <conditionalFormatting sqref="I387">
    <cfRule type="containsBlanks" dxfId="621" priority="660">
      <formula>LEN(TRIM(I387))=0</formula>
    </cfRule>
  </conditionalFormatting>
  <conditionalFormatting sqref="I607">
    <cfRule type="containsBlanks" dxfId="620" priority="648">
      <formula>LEN(TRIM(I607))=0</formula>
    </cfRule>
  </conditionalFormatting>
  <conditionalFormatting sqref="I607">
    <cfRule type="containsBlanks" dxfId="619" priority="647">
      <formula>LEN(TRIM(I607))=0</formula>
    </cfRule>
  </conditionalFormatting>
  <conditionalFormatting sqref="I279:I294">
    <cfRule type="containsBlanks" dxfId="618" priority="640">
      <formula>LEN(TRIM(I279))=0</formula>
    </cfRule>
  </conditionalFormatting>
  <conditionalFormatting sqref="I279:I294">
    <cfRule type="containsBlanks" dxfId="617" priority="639">
      <formula>LEN(TRIM(I279))=0</formula>
    </cfRule>
  </conditionalFormatting>
  <conditionalFormatting sqref="I148">
    <cfRule type="containsBlanks" dxfId="616" priority="646">
      <formula>LEN(TRIM(I148))=0</formula>
    </cfRule>
  </conditionalFormatting>
  <conditionalFormatting sqref="I611 I614">
    <cfRule type="containsBlanks" dxfId="615" priority="645">
      <formula>LEN(TRIM(I611))=0</formula>
    </cfRule>
  </conditionalFormatting>
  <conditionalFormatting sqref="I236:I242">
    <cfRule type="containsBlanks" dxfId="614" priority="643">
      <formula>LEN(TRIM(I236))=0</formula>
    </cfRule>
  </conditionalFormatting>
  <conditionalFormatting sqref="I253:I260">
    <cfRule type="containsBlanks" dxfId="613" priority="642">
      <formula>LEN(TRIM(I253))=0</formula>
    </cfRule>
  </conditionalFormatting>
  <conditionalFormatting sqref="I253:I260">
    <cfRule type="containsBlanks" dxfId="612" priority="641">
      <formula>LEN(TRIM(I253))=0</formula>
    </cfRule>
  </conditionalFormatting>
  <conditionalFormatting sqref="I310">
    <cfRule type="containsBlanks" dxfId="611" priority="638">
      <formula>LEN(TRIM(I310))=0</formula>
    </cfRule>
  </conditionalFormatting>
  <conditionalFormatting sqref="I310">
    <cfRule type="containsBlanks" dxfId="610" priority="637">
      <formula>LEN(TRIM(I310))=0</formula>
    </cfRule>
  </conditionalFormatting>
  <conditionalFormatting sqref="I427:I429">
    <cfRule type="containsBlanks" dxfId="609" priority="636">
      <formula>LEN(TRIM(I427))=0</formula>
    </cfRule>
  </conditionalFormatting>
  <conditionalFormatting sqref="I531">
    <cfRule type="containsBlanks" dxfId="608" priority="635">
      <formula>LEN(TRIM(I531))=0</formula>
    </cfRule>
  </conditionalFormatting>
  <conditionalFormatting sqref="I531">
    <cfRule type="containsBlanks" dxfId="607" priority="634">
      <formula>LEN(TRIM(I531))=0</formula>
    </cfRule>
  </conditionalFormatting>
  <conditionalFormatting sqref="I532">
    <cfRule type="containsBlanks" dxfId="606" priority="633">
      <formula>LEN(TRIM(I532))=0</formula>
    </cfRule>
  </conditionalFormatting>
  <conditionalFormatting sqref="I532">
    <cfRule type="containsBlanks" dxfId="605" priority="632">
      <formula>LEN(TRIM(I532))=0</formula>
    </cfRule>
  </conditionalFormatting>
  <conditionalFormatting sqref="I58">
    <cfRule type="containsBlanks" dxfId="604" priority="631">
      <formula>LEN(TRIM(I58))=0</formula>
    </cfRule>
  </conditionalFormatting>
  <conditionalFormatting sqref="I58">
    <cfRule type="containsBlanks" dxfId="603" priority="630">
      <formula>LEN(TRIM(I58))=0</formula>
    </cfRule>
  </conditionalFormatting>
  <conditionalFormatting sqref="I73:I75">
    <cfRule type="containsBlanks" dxfId="602" priority="627">
      <formula>LEN(TRIM(I73))=0</formula>
    </cfRule>
  </conditionalFormatting>
  <conditionalFormatting sqref="I73:I75">
    <cfRule type="containsBlanks" dxfId="601" priority="626">
      <formula>LEN(TRIM(I73))=0</formula>
    </cfRule>
  </conditionalFormatting>
  <conditionalFormatting sqref="I84:I85">
    <cfRule type="containsBlanks" dxfId="600" priority="625">
      <formula>LEN(TRIM(I84))=0</formula>
    </cfRule>
  </conditionalFormatting>
  <conditionalFormatting sqref="I84:I85">
    <cfRule type="containsBlanks" dxfId="599" priority="624">
      <formula>LEN(TRIM(I84))=0</formula>
    </cfRule>
  </conditionalFormatting>
  <conditionalFormatting sqref="I138">
    <cfRule type="containsBlanks" dxfId="598" priority="623">
      <formula>LEN(TRIM(I138))=0</formula>
    </cfRule>
  </conditionalFormatting>
  <conditionalFormatting sqref="I138">
    <cfRule type="containsBlanks" dxfId="597" priority="622">
      <formula>LEN(TRIM(I138))=0</formula>
    </cfRule>
  </conditionalFormatting>
  <conditionalFormatting sqref="I138">
    <cfRule type="containsBlanks" dxfId="596" priority="621">
      <formula>LEN(TRIM(I138))=0</formula>
    </cfRule>
  </conditionalFormatting>
  <conditionalFormatting sqref="I145">
    <cfRule type="containsBlanks" dxfId="595" priority="620">
      <formula>LEN(TRIM(I145))=0</formula>
    </cfRule>
  </conditionalFormatting>
  <conditionalFormatting sqref="I145">
    <cfRule type="containsBlanks" dxfId="594" priority="619">
      <formula>LEN(TRIM(I145))=0</formula>
    </cfRule>
  </conditionalFormatting>
  <conditionalFormatting sqref="I147">
    <cfRule type="containsBlanks" dxfId="593" priority="618">
      <formula>LEN(TRIM(I147))=0</formula>
    </cfRule>
  </conditionalFormatting>
  <conditionalFormatting sqref="I147">
    <cfRule type="containsBlanks" dxfId="592" priority="617">
      <formula>LEN(TRIM(I147))=0</formula>
    </cfRule>
  </conditionalFormatting>
  <conditionalFormatting sqref="I150">
    <cfRule type="containsBlanks" dxfId="591" priority="616">
      <formula>LEN(TRIM(I150))=0</formula>
    </cfRule>
  </conditionalFormatting>
  <conditionalFormatting sqref="I150">
    <cfRule type="containsBlanks" dxfId="590" priority="615">
      <formula>LEN(TRIM(I150))=0</formula>
    </cfRule>
  </conditionalFormatting>
  <conditionalFormatting sqref="I577">
    <cfRule type="containsBlanks" dxfId="589" priority="614">
      <formula>LEN(TRIM(I577))=0</formula>
    </cfRule>
  </conditionalFormatting>
  <conditionalFormatting sqref="I577">
    <cfRule type="containsBlanks" dxfId="588" priority="613">
      <formula>LEN(TRIM(I577))=0</formula>
    </cfRule>
  </conditionalFormatting>
  <conditionalFormatting sqref="I52">
    <cfRule type="containsBlanks" dxfId="587" priority="612">
      <formula>LEN(TRIM(I52))=0</formula>
    </cfRule>
  </conditionalFormatting>
  <conditionalFormatting sqref="I64">
    <cfRule type="containsBlanks" dxfId="586" priority="610">
      <formula>LEN(TRIM(I64))=0</formula>
    </cfRule>
  </conditionalFormatting>
  <conditionalFormatting sqref="I64">
    <cfRule type="containsBlanks" dxfId="585" priority="609">
      <formula>LEN(TRIM(I64))=0</formula>
    </cfRule>
  </conditionalFormatting>
  <conditionalFormatting sqref="I76:I77">
    <cfRule type="containsBlanks" dxfId="584" priority="608">
      <formula>LEN(TRIM(I76))=0</formula>
    </cfRule>
  </conditionalFormatting>
  <conditionalFormatting sqref="I77">
    <cfRule type="containsBlanks" dxfId="583" priority="606">
      <formula>LEN(TRIM(I77))=0</formula>
    </cfRule>
  </conditionalFormatting>
  <conditionalFormatting sqref="I76:I77">
    <cfRule type="containsBlanks" dxfId="582" priority="607">
      <formula>LEN(TRIM(I76))=0</formula>
    </cfRule>
  </conditionalFormatting>
  <conditionalFormatting sqref="I90">
    <cfRule type="containsBlanks" dxfId="581" priority="605">
      <formula>LEN(TRIM(I90))=0</formula>
    </cfRule>
  </conditionalFormatting>
  <conditionalFormatting sqref="I134">
    <cfRule type="containsBlanks" dxfId="580" priority="600">
      <formula>LEN(TRIM(I134))=0</formula>
    </cfRule>
  </conditionalFormatting>
  <conditionalFormatting sqref="I109">
    <cfRule type="containsBlanks" dxfId="579" priority="603">
      <formula>LEN(TRIM(I109))=0</formula>
    </cfRule>
  </conditionalFormatting>
  <conditionalFormatting sqref="I109">
    <cfRule type="containsBlanks" dxfId="578" priority="602">
      <formula>LEN(TRIM(I109))=0</formula>
    </cfRule>
  </conditionalFormatting>
  <conditionalFormatting sqref="I135">
    <cfRule type="containsBlanks" dxfId="577" priority="599">
      <formula>LEN(TRIM(I135))=0</formula>
    </cfRule>
  </conditionalFormatting>
  <conditionalFormatting sqref="I135">
    <cfRule type="containsBlanks" dxfId="576" priority="598">
      <formula>LEN(TRIM(I135))=0</formula>
    </cfRule>
  </conditionalFormatting>
  <conditionalFormatting sqref="I146">
    <cfRule type="containsBlanks" dxfId="575" priority="597">
      <formula>LEN(TRIM(I146))=0</formula>
    </cfRule>
  </conditionalFormatting>
  <conditionalFormatting sqref="I146">
    <cfRule type="containsBlanks" dxfId="574" priority="596">
      <formula>LEN(TRIM(I146))=0</formula>
    </cfRule>
  </conditionalFormatting>
  <conditionalFormatting sqref="I149">
    <cfRule type="containsBlanks" dxfId="573" priority="595">
      <formula>LEN(TRIM(I149))=0</formula>
    </cfRule>
  </conditionalFormatting>
  <conditionalFormatting sqref="I149">
    <cfRule type="containsBlanks" dxfId="572" priority="594">
      <formula>LEN(TRIM(I149))=0</formula>
    </cfRule>
  </conditionalFormatting>
  <conditionalFormatting sqref="I208:I209">
    <cfRule type="containsBlanks" dxfId="571" priority="593">
      <formula>LEN(TRIM(I208))=0</formula>
    </cfRule>
  </conditionalFormatting>
  <conditionalFormatting sqref="I208:I209">
    <cfRule type="containsBlanks" dxfId="570" priority="592">
      <formula>LEN(TRIM(I208))=0</formula>
    </cfRule>
  </conditionalFormatting>
  <conditionalFormatting sqref="I210:I212">
    <cfRule type="containsBlanks" dxfId="569" priority="591">
      <formula>LEN(TRIM(I210))=0</formula>
    </cfRule>
  </conditionalFormatting>
  <conditionalFormatting sqref="I210:I212">
    <cfRule type="containsBlanks" dxfId="568" priority="590">
      <formula>LEN(TRIM(I210))=0</formula>
    </cfRule>
  </conditionalFormatting>
  <conditionalFormatting sqref="I227:I228 I230:I231 I233 I235">
    <cfRule type="containsBlanks" dxfId="567" priority="589">
      <formula>LEN(TRIM(I227))=0</formula>
    </cfRule>
  </conditionalFormatting>
  <conditionalFormatting sqref="I265:I267">
    <cfRule type="containsBlanks" dxfId="566" priority="584">
      <formula>LEN(TRIM(I265))=0</formula>
    </cfRule>
  </conditionalFormatting>
  <conditionalFormatting sqref="I250:I252">
    <cfRule type="containsBlanks" dxfId="565" priority="587">
      <formula>LEN(TRIM(I250))=0</formula>
    </cfRule>
  </conditionalFormatting>
  <conditionalFormatting sqref="I250:I252">
    <cfRule type="containsBlanks" dxfId="564" priority="586">
      <formula>LEN(TRIM(I250))=0</formula>
    </cfRule>
  </conditionalFormatting>
  <conditionalFormatting sqref="I274:I275">
    <cfRule type="containsBlanks" dxfId="563" priority="583">
      <formula>LEN(TRIM(I274))=0</formula>
    </cfRule>
  </conditionalFormatting>
  <conditionalFormatting sqref="I274:I275">
    <cfRule type="containsBlanks" dxfId="562" priority="582">
      <formula>LEN(TRIM(I274))=0</formula>
    </cfRule>
  </conditionalFormatting>
  <conditionalFormatting sqref="I277">
    <cfRule type="containsBlanks" dxfId="561" priority="581">
      <formula>LEN(TRIM(I277))=0</formula>
    </cfRule>
  </conditionalFormatting>
  <conditionalFormatting sqref="I277">
    <cfRule type="containsBlanks" dxfId="560" priority="580">
      <formula>LEN(TRIM(I277))=0</formula>
    </cfRule>
  </conditionalFormatting>
  <conditionalFormatting sqref="I330:I331">
    <cfRule type="containsBlanks" dxfId="559" priority="579">
      <formula>LEN(TRIM(I330))=0</formula>
    </cfRule>
  </conditionalFormatting>
  <conditionalFormatting sqref="I330:I331">
    <cfRule type="containsBlanks" dxfId="558" priority="578">
      <formula>LEN(TRIM(I330))=0</formula>
    </cfRule>
  </conditionalFormatting>
  <conditionalFormatting sqref="I332">
    <cfRule type="containsBlanks" dxfId="557" priority="577">
      <formula>LEN(TRIM(I332))=0</formula>
    </cfRule>
  </conditionalFormatting>
  <conditionalFormatting sqref="I332">
    <cfRule type="containsBlanks" dxfId="556" priority="576">
      <formula>LEN(TRIM(I332))=0</formula>
    </cfRule>
  </conditionalFormatting>
  <conditionalFormatting sqref="I335:I336">
    <cfRule type="containsBlanks" dxfId="555" priority="575">
      <formula>LEN(TRIM(I335))=0</formula>
    </cfRule>
  </conditionalFormatting>
  <conditionalFormatting sqref="I335:I336">
    <cfRule type="containsBlanks" dxfId="554" priority="574">
      <formula>LEN(TRIM(I335))=0</formula>
    </cfRule>
  </conditionalFormatting>
  <conditionalFormatting sqref="I344:I345">
    <cfRule type="containsBlanks" dxfId="553" priority="573">
      <formula>LEN(TRIM(I344))=0</formula>
    </cfRule>
  </conditionalFormatting>
  <conditionalFormatting sqref="I344:I345">
    <cfRule type="containsBlanks" dxfId="552" priority="572">
      <formula>LEN(TRIM(I344))=0</formula>
    </cfRule>
  </conditionalFormatting>
  <conditionalFormatting sqref="I363">
    <cfRule type="containsBlanks" dxfId="551" priority="570">
      <formula>LEN(TRIM(I363))=0</formula>
    </cfRule>
  </conditionalFormatting>
  <conditionalFormatting sqref="I420">
    <cfRule type="containsBlanks" dxfId="550" priority="569">
      <formula>LEN(TRIM(I420))=0</formula>
    </cfRule>
  </conditionalFormatting>
  <conditionalFormatting sqref="I420">
    <cfRule type="containsBlanks" dxfId="549" priority="568">
      <formula>LEN(TRIM(I420))=0</formula>
    </cfRule>
  </conditionalFormatting>
  <conditionalFormatting sqref="I421:I423">
    <cfRule type="containsBlanks" dxfId="548" priority="567">
      <formula>LEN(TRIM(I421))=0</formula>
    </cfRule>
  </conditionalFormatting>
  <conditionalFormatting sqref="I421:I423">
    <cfRule type="containsBlanks" dxfId="547" priority="566">
      <formula>LEN(TRIM(I421))=0</formula>
    </cfRule>
  </conditionalFormatting>
  <conditionalFormatting sqref="I509:I510">
    <cfRule type="containsBlanks" dxfId="546" priority="565">
      <formula>LEN(TRIM(I509))=0</formula>
    </cfRule>
  </conditionalFormatting>
  <conditionalFormatting sqref="I509:I510">
    <cfRule type="containsBlanks" dxfId="545" priority="564">
      <formula>LEN(TRIM(I509))=0</formula>
    </cfRule>
  </conditionalFormatting>
  <conditionalFormatting sqref="I519">
    <cfRule type="containsBlanks" dxfId="544" priority="563">
      <formula>LEN(TRIM(I519))=0</formula>
    </cfRule>
  </conditionalFormatting>
  <conditionalFormatting sqref="I522">
    <cfRule type="containsBlanks" dxfId="543" priority="562">
      <formula>LEN(TRIM(I522))=0</formula>
    </cfRule>
  </conditionalFormatting>
  <conditionalFormatting sqref="I526:I528">
    <cfRule type="containsBlanks" dxfId="542" priority="561">
      <formula>LEN(TRIM(I526))=0</formula>
    </cfRule>
  </conditionalFormatting>
  <conditionalFormatting sqref="I157">
    <cfRule type="containsBlanks" dxfId="541" priority="560">
      <formula>LEN(TRIM(I157))=0</formula>
    </cfRule>
  </conditionalFormatting>
  <conditionalFormatting sqref="I40">
    <cfRule type="containsBlanks" dxfId="540" priority="559">
      <formula>LEN(TRIM(I40))=0</formula>
    </cfRule>
  </conditionalFormatting>
  <conditionalFormatting sqref="I158">
    <cfRule type="containsBlanks" dxfId="539" priority="558">
      <formula>LEN(TRIM(I158))=0</formula>
    </cfRule>
  </conditionalFormatting>
  <conditionalFormatting sqref="I158">
    <cfRule type="containsBlanks" dxfId="538" priority="557">
      <formula>LEN(TRIM(I158))=0</formula>
    </cfRule>
  </conditionalFormatting>
  <conditionalFormatting sqref="I158">
    <cfRule type="containsBlanks" dxfId="537" priority="556">
      <formula>LEN(TRIM(I158))=0</formula>
    </cfRule>
  </conditionalFormatting>
  <conditionalFormatting sqref="I158">
    <cfRule type="containsBlanks" dxfId="536" priority="554">
      <formula>LEN(TRIM(I158))=0</formula>
    </cfRule>
  </conditionalFormatting>
  <conditionalFormatting sqref="I158">
    <cfRule type="containsBlanks" dxfId="535" priority="555">
      <formula>LEN(TRIM(I158))=0</formula>
    </cfRule>
  </conditionalFormatting>
  <conditionalFormatting sqref="I67">
    <cfRule type="containsBlanks" dxfId="534" priority="553">
      <formula>LEN(TRIM(I67))=0</formula>
    </cfRule>
  </conditionalFormatting>
  <conditionalFormatting sqref="I67">
    <cfRule type="containsBlanks" dxfId="533" priority="552">
      <formula>LEN(TRIM(I67))=0</formula>
    </cfRule>
  </conditionalFormatting>
  <conditionalFormatting sqref="I67">
    <cfRule type="containsBlanks" dxfId="532" priority="551">
      <formula>LEN(TRIM(I67))=0</formula>
    </cfRule>
  </conditionalFormatting>
  <conditionalFormatting sqref="I71">
    <cfRule type="containsBlanks" dxfId="531" priority="550">
      <formula>LEN(TRIM(I71))=0</formula>
    </cfRule>
  </conditionalFormatting>
  <conditionalFormatting sqref="I129:I131">
    <cfRule type="containsBlanks" dxfId="530" priority="549">
      <formula>LEN(TRIM(I129))=0</formula>
    </cfRule>
  </conditionalFormatting>
  <conditionalFormatting sqref="I139:I141">
    <cfRule type="containsBlanks" dxfId="529" priority="548">
      <formula>LEN(TRIM(I139))=0</formula>
    </cfRule>
  </conditionalFormatting>
  <conditionalFormatting sqref="I139:I141">
    <cfRule type="containsBlanks" dxfId="528" priority="547">
      <formula>LEN(TRIM(I139))=0</formula>
    </cfRule>
  </conditionalFormatting>
  <conditionalFormatting sqref="I139:I141">
    <cfRule type="containsBlanks" dxfId="527" priority="546">
      <formula>LEN(TRIM(I139))=0</formula>
    </cfRule>
  </conditionalFormatting>
  <conditionalFormatting sqref="I159:I160">
    <cfRule type="containsBlanks" dxfId="526" priority="545">
      <formula>LEN(TRIM(I159))=0</formula>
    </cfRule>
  </conditionalFormatting>
  <conditionalFormatting sqref="I159:I160">
    <cfRule type="containsBlanks" dxfId="525" priority="544">
      <formula>LEN(TRIM(I159))=0</formula>
    </cfRule>
  </conditionalFormatting>
  <conditionalFormatting sqref="I159:I160">
    <cfRule type="containsBlanks" dxfId="524" priority="542">
      <formula>LEN(TRIM(I159))=0</formula>
    </cfRule>
  </conditionalFormatting>
  <conditionalFormatting sqref="I268:I270">
    <cfRule type="containsBlanks" dxfId="523" priority="541">
      <formula>LEN(TRIM(I268))=0</formula>
    </cfRule>
  </conditionalFormatting>
  <conditionalFormatting sqref="I268:I270">
    <cfRule type="containsBlanks" dxfId="522" priority="540">
      <formula>LEN(TRIM(I268))=0</formula>
    </cfRule>
  </conditionalFormatting>
  <conditionalFormatting sqref="I268:I270">
    <cfRule type="containsBlanks" dxfId="521" priority="539">
      <formula>LEN(TRIM(I268))=0</formula>
    </cfRule>
  </conditionalFormatting>
  <conditionalFormatting sqref="I298:I299">
    <cfRule type="containsBlanks" dxfId="520" priority="538">
      <formula>LEN(TRIM(I298))=0</formula>
    </cfRule>
  </conditionalFormatting>
  <conditionalFormatting sqref="I306:I307">
    <cfRule type="containsBlanks" dxfId="519" priority="537">
      <formula>LEN(TRIM(I306))=0</formula>
    </cfRule>
  </conditionalFormatting>
  <conditionalFormatting sqref="I306:I307">
    <cfRule type="containsBlanks" dxfId="518" priority="536">
      <formula>LEN(TRIM(I306))=0</formula>
    </cfRule>
  </conditionalFormatting>
  <conditionalFormatting sqref="I306:I307">
    <cfRule type="containsBlanks" dxfId="517" priority="535">
      <formula>LEN(TRIM(I306))=0</formula>
    </cfRule>
  </conditionalFormatting>
  <conditionalFormatting sqref="I380">
    <cfRule type="containsBlanks" dxfId="516" priority="534">
      <formula>LEN(TRIM(I380))=0</formula>
    </cfRule>
  </conditionalFormatting>
  <conditionalFormatting sqref="I380">
    <cfRule type="containsBlanks" dxfId="515" priority="532">
      <formula>LEN(TRIM(I380))=0</formula>
    </cfRule>
  </conditionalFormatting>
  <conditionalFormatting sqref="I380">
    <cfRule type="containsBlanks" dxfId="514" priority="533">
      <formula>LEN(TRIM(I380))=0</formula>
    </cfRule>
  </conditionalFormatting>
  <conditionalFormatting sqref="I318">
    <cfRule type="containsBlanks" dxfId="513" priority="531">
      <formula>LEN(TRIM(I318))=0</formula>
    </cfRule>
  </conditionalFormatting>
  <conditionalFormatting sqref="I319">
    <cfRule type="containsBlanks" dxfId="512" priority="530">
      <formula>LEN(TRIM(I319))=0</formula>
    </cfRule>
  </conditionalFormatting>
  <conditionalFormatting sqref="I320:I329">
    <cfRule type="containsBlanks" dxfId="511" priority="529">
      <formula>LEN(TRIM(I320))=0</formula>
    </cfRule>
  </conditionalFormatting>
  <conditionalFormatting sqref="I436">
    <cfRule type="containsBlanks" dxfId="510" priority="528">
      <formula>LEN(TRIM(I436))=0</formula>
    </cfRule>
  </conditionalFormatting>
  <conditionalFormatting sqref="I436">
    <cfRule type="containsBlanks" dxfId="509" priority="527">
      <formula>LEN(TRIM(I436))=0</formula>
    </cfRule>
  </conditionalFormatting>
  <conditionalFormatting sqref="I436">
    <cfRule type="containsBlanks" dxfId="508" priority="526">
      <formula>LEN(TRIM(I436))=0</formula>
    </cfRule>
  </conditionalFormatting>
  <conditionalFormatting sqref="I436">
    <cfRule type="containsBlanks" dxfId="507" priority="525">
      <formula>LEN(TRIM(I436))=0</formula>
    </cfRule>
  </conditionalFormatting>
  <conditionalFormatting sqref="I436">
    <cfRule type="containsBlanks" dxfId="506" priority="524">
      <formula>LEN(TRIM(I436))=0</formula>
    </cfRule>
  </conditionalFormatting>
  <conditionalFormatting sqref="I350:I351">
    <cfRule type="containsBlanks" dxfId="505" priority="523">
      <formula>LEN(TRIM(I350))=0</formula>
    </cfRule>
  </conditionalFormatting>
  <conditionalFormatting sqref="I350:I351">
    <cfRule type="containsBlanks" dxfId="504" priority="522">
      <formula>LEN(TRIM(I350))=0</formula>
    </cfRule>
  </conditionalFormatting>
  <conditionalFormatting sqref="I350:I351">
    <cfRule type="containsBlanks" dxfId="503" priority="521">
      <formula>LEN(TRIM(I350))=0</formula>
    </cfRule>
  </conditionalFormatting>
  <conditionalFormatting sqref="I408:I412">
    <cfRule type="containsBlanks" dxfId="502" priority="520">
      <formula>LEN(TRIM(I408))=0</formula>
    </cfRule>
  </conditionalFormatting>
  <conditionalFormatting sqref="I414">
    <cfRule type="containsBlanks" dxfId="501" priority="519">
      <formula>LEN(TRIM(I414))=0</formula>
    </cfRule>
  </conditionalFormatting>
  <conditionalFormatting sqref="K310">
    <cfRule type="containsBlanks" dxfId="500" priority="461">
      <formula>LEN(TRIM(K310))=0</formula>
    </cfRule>
  </conditionalFormatting>
  <conditionalFormatting sqref="K310">
    <cfRule type="containsBlanks" dxfId="499" priority="460">
      <formula>LEN(TRIM(K310))=0</formula>
    </cfRule>
  </conditionalFormatting>
  <conditionalFormatting sqref="K339:K343">
    <cfRule type="containsBlanks" dxfId="498" priority="459">
      <formula>LEN(TRIM(K339))=0</formula>
    </cfRule>
  </conditionalFormatting>
  <conditionalFormatting sqref="I437">
    <cfRule type="containsBlanks" dxfId="497" priority="518">
      <formula>LEN(TRIM(I437))=0</formula>
    </cfRule>
  </conditionalFormatting>
  <conditionalFormatting sqref="I437">
    <cfRule type="containsBlanks" dxfId="496" priority="516">
      <formula>LEN(TRIM(I437))=0</formula>
    </cfRule>
  </conditionalFormatting>
  <conditionalFormatting sqref="I437">
    <cfRule type="containsBlanks" dxfId="495" priority="517">
      <formula>LEN(TRIM(I437))=0</formula>
    </cfRule>
  </conditionalFormatting>
  <conditionalFormatting sqref="I557:I562">
    <cfRule type="containsBlanks" dxfId="494" priority="515">
      <formula>LEN(TRIM(I557))=0</formula>
    </cfRule>
  </conditionalFormatting>
  <conditionalFormatting sqref="I557">
    <cfRule type="containsBlanks" dxfId="493" priority="514">
      <formula>LEN(TRIM(I557))=0</formula>
    </cfRule>
  </conditionalFormatting>
  <conditionalFormatting sqref="I557">
    <cfRule type="containsBlanks" dxfId="492" priority="513">
      <formula>LEN(TRIM(I557))=0</formula>
    </cfRule>
  </conditionalFormatting>
  <conditionalFormatting sqref="I558:I562">
    <cfRule type="containsBlanks" dxfId="491" priority="512">
      <formula>LEN(TRIM(I558))=0</formula>
    </cfRule>
  </conditionalFormatting>
  <conditionalFormatting sqref="I558:I562">
    <cfRule type="containsBlanks" dxfId="490" priority="511">
      <formula>LEN(TRIM(I558))=0</formula>
    </cfRule>
  </conditionalFormatting>
  <conditionalFormatting sqref="I638">
    <cfRule type="containsBlanks" dxfId="489" priority="510">
      <formula>LEN(TRIM(I638))=0</formula>
    </cfRule>
  </conditionalFormatting>
  <conditionalFormatting sqref="I638">
    <cfRule type="containsBlanks" dxfId="488" priority="509">
      <formula>LEN(TRIM(I638))=0</formula>
    </cfRule>
  </conditionalFormatting>
  <conditionalFormatting sqref="I637">
    <cfRule type="containsBlanks" dxfId="487" priority="508">
      <formula>LEN(TRIM(I637))=0</formula>
    </cfRule>
  </conditionalFormatting>
  <conditionalFormatting sqref="I637">
    <cfRule type="containsBlanks" dxfId="486" priority="507">
      <formula>LEN(TRIM(I637))=0</formula>
    </cfRule>
  </conditionalFormatting>
  <conditionalFormatting sqref="I637">
    <cfRule type="containsBlanks" dxfId="485" priority="506">
      <formula>LEN(TRIM(I637))=0</formula>
    </cfRule>
  </conditionalFormatting>
  <conditionalFormatting sqref="I639">
    <cfRule type="containsBlanks" dxfId="484" priority="505">
      <formula>LEN(TRIM(I639))=0</formula>
    </cfRule>
  </conditionalFormatting>
  <conditionalFormatting sqref="I639">
    <cfRule type="containsBlanks" dxfId="483" priority="504">
      <formula>LEN(TRIM(I639))=0</formula>
    </cfRule>
  </conditionalFormatting>
  <conditionalFormatting sqref="I639">
    <cfRule type="containsBlanks" dxfId="482" priority="503">
      <formula>LEN(TRIM(I639))=0</formula>
    </cfRule>
  </conditionalFormatting>
  <conditionalFormatting sqref="K339:K345 K353 K363 K371 K407 K392:K401 K448:K474 K132:K137 K317 K427:K431 K440:K442 K476:K524 K384:K385 K330:K332 K72:K90 K142:K147 K271:K277 K434:K435 K300:K304 K444:K446 K563:K578 K537 K279:K294 K547:K550 K552:K556 K541:K545">
    <cfRule type="containsBlanks" dxfId="481" priority="502">
      <formula>LEN(TRIM(K72))=0</formula>
    </cfRule>
  </conditionalFormatting>
  <conditionalFormatting sqref="K431 K434:K435">
    <cfRule type="containsBlanks" dxfId="480" priority="501">
      <formula>LEN(TRIM(K431))=0</formula>
    </cfRule>
  </conditionalFormatting>
  <conditionalFormatting sqref="K21:K31 K53:K54 K520:K521 K60 K66 K136:K137 K156:K157 K243 K264 K271:K273 K430:K431 K541 K576 K593:K601 K603:K604 K311 K434:K435 K545 K554 K578 K547:K550">
    <cfRule type="containsBlanks" dxfId="479" priority="500">
      <formula>LEN(TRIM(K21))=0</formula>
    </cfRule>
  </conditionalFormatting>
  <conditionalFormatting sqref="K580:K589">
    <cfRule type="containsBlanks" dxfId="478" priority="477">
      <formula>LEN(TRIM(K580))=0</formula>
    </cfRule>
  </conditionalFormatting>
  <conditionalFormatting sqref="K529:K530 K537">
    <cfRule type="containsBlanks" dxfId="477" priority="479">
      <formula>LEN(TRIM(K529))=0</formula>
    </cfRule>
  </conditionalFormatting>
  <conditionalFormatting sqref="K529:K530 K537">
    <cfRule type="containsBlanks" dxfId="476" priority="478">
      <formula>LEN(TRIM(K529))=0</formula>
    </cfRule>
  </conditionalFormatting>
  <conditionalFormatting sqref="K580:K589">
    <cfRule type="containsBlanks" dxfId="475" priority="476">
      <formula>LEN(TRIM(K580))=0</formula>
    </cfRule>
  </conditionalFormatting>
  <conditionalFormatting sqref="K608 K605:K606">
    <cfRule type="containsBlanks" dxfId="474" priority="473">
      <formula>LEN(TRIM(K605))=0</formula>
    </cfRule>
  </conditionalFormatting>
  <conditionalFormatting sqref="K608 K605:K606">
    <cfRule type="containsBlanks" dxfId="473" priority="472">
      <formula>LEN(TRIM(K605))=0</formula>
    </cfRule>
  </conditionalFormatting>
  <conditionalFormatting sqref="K602">
    <cfRule type="containsBlanks" dxfId="472" priority="475">
      <formula>LEN(TRIM(K602))=0</formula>
    </cfRule>
  </conditionalFormatting>
  <conditionalFormatting sqref="K602">
    <cfRule type="containsBlanks" dxfId="471" priority="474">
      <formula>LEN(TRIM(K602))=0</formula>
    </cfRule>
  </conditionalFormatting>
  <conditionalFormatting sqref="K43">
    <cfRule type="containsBlanks" dxfId="470" priority="499">
      <formula>LEN(TRIM(K43))=0</formula>
    </cfRule>
  </conditionalFormatting>
  <conditionalFormatting sqref="K43">
    <cfRule type="containsBlanks" dxfId="469" priority="498">
      <formula>LEN(TRIM(K43))=0</formula>
    </cfRule>
  </conditionalFormatting>
  <conditionalFormatting sqref="K78:K83">
    <cfRule type="containsBlanks" dxfId="468" priority="490">
      <formula>LEN(TRIM(K78))=0</formula>
    </cfRule>
  </conditionalFormatting>
  <conditionalFormatting sqref="K107:K108">
    <cfRule type="containsBlanks" dxfId="467" priority="489">
      <formula>LEN(TRIM(K107))=0</formula>
    </cfRule>
  </conditionalFormatting>
  <conditionalFormatting sqref="K61:K63">
    <cfRule type="containsBlanks" dxfId="466" priority="495">
      <formula>LEN(TRIM(K61))=0</formula>
    </cfRule>
  </conditionalFormatting>
  <conditionalFormatting sqref="K68">
    <cfRule type="containsBlanks" dxfId="465" priority="493">
      <formula>LEN(TRIM(K68))=0</formula>
    </cfRule>
  </conditionalFormatting>
  <conditionalFormatting sqref="K68">
    <cfRule type="containsBlanks" dxfId="464" priority="492">
      <formula>LEN(TRIM(K68))=0</formula>
    </cfRule>
  </conditionalFormatting>
  <conditionalFormatting sqref="K276">
    <cfRule type="containsBlanks" dxfId="463" priority="481">
      <formula>LEN(TRIM(K276))=0</formula>
    </cfRule>
  </conditionalFormatting>
  <conditionalFormatting sqref="K78:K83">
    <cfRule type="containsBlanks" dxfId="462" priority="491">
      <formula>LEN(TRIM(K78))=0</formula>
    </cfRule>
  </conditionalFormatting>
  <conditionalFormatting sqref="K107:K108">
    <cfRule type="containsBlanks" dxfId="461" priority="488">
      <formula>LEN(TRIM(K107))=0</formula>
    </cfRule>
  </conditionalFormatting>
  <conditionalFormatting sqref="K59">
    <cfRule type="containsBlanks" dxfId="460" priority="497">
      <formula>LEN(TRIM(K59))=0</formula>
    </cfRule>
  </conditionalFormatting>
  <conditionalFormatting sqref="K59">
    <cfRule type="containsBlanks" dxfId="459" priority="496">
      <formula>LEN(TRIM(K59))=0</formula>
    </cfRule>
  </conditionalFormatting>
  <conditionalFormatting sqref="K148">
    <cfRule type="containsBlanks" dxfId="458" priority="487">
      <formula>LEN(TRIM(K148))=0</formula>
    </cfRule>
  </conditionalFormatting>
  <conditionalFormatting sqref="K61:K63">
    <cfRule type="containsBlanks" dxfId="457" priority="494">
      <formula>LEN(TRIM(K61))=0</formula>
    </cfRule>
  </conditionalFormatting>
  <conditionalFormatting sqref="K206:K207">
    <cfRule type="containsBlanks" dxfId="456" priority="482">
      <formula>LEN(TRIM(K206))=0</formula>
    </cfRule>
  </conditionalFormatting>
  <conditionalFormatting sqref="K206:K207">
    <cfRule type="containsBlanks" dxfId="455" priority="483">
      <formula>LEN(TRIM(K206))=0</formula>
    </cfRule>
  </conditionalFormatting>
  <conditionalFormatting sqref="K148">
    <cfRule type="containsBlanks" dxfId="454" priority="486">
      <formula>LEN(TRIM(K148))=0</formula>
    </cfRule>
  </conditionalFormatting>
  <conditionalFormatting sqref="K151:K155">
    <cfRule type="containsBlanks" dxfId="453" priority="485">
      <formula>LEN(TRIM(K151))=0</formula>
    </cfRule>
  </conditionalFormatting>
  <conditionalFormatting sqref="K151:K155">
    <cfRule type="containsBlanks" dxfId="452" priority="484">
      <formula>LEN(TRIM(K151))=0</formula>
    </cfRule>
  </conditionalFormatting>
  <conditionalFormatting sqref="K607">
    <cfRule type="containsBlanks" dxfId="451" priority="471">
      <formula>LEN(TRIM(K607))=0</formula>
    </cfRule>
  </conditionalFormatting>
  <conditionalFormatting sqref="K607">
    <cfRule type="containsBlanks" dxfId="450" priority="470">
      <formula>LEN(TRIM(K607))=0</formula>
    </cfRule>
  </conditionalFormatting>
  <conditionalFormatting sqref="K72:K75 K148">
    <cfRule type="containsBlanks" dxfId="449" priority="469">
      <formula>LEN(TRIM(K72))=0</formula>
    </cfRule>
  </conditionalFormatting>
  <conditionalFormatting sqref="K614 K611">
    <cfRule type="containsBlanks" dxfId="448" priority="468">
      <formula>LEN(TRIM(K611))=0</formula>
    </cfRule>
  </conditionalFormatting>
  <conditionalFormatting sqref="K353">
    <cfRule type="containsBlanks" dxfId="447" priority="457">
      <formula>LEN(TRIM(K353))=0</formula>
    </cfRule>
  </conditionalFormatting>
  <conditionalFormatting sqref="K236:K242">
    <cfRule type="containsBlanks" dxfId="446" priority="467">
      <formula>LEN(TRIM(K236))=0</formula>
    </cfRule>
  </conditionalFormatting>
  <conditionalFormatting sqref="K236:K242">
    <cfRule type="containsBlanks" dxfId="445" priority="466">
      <formula>LEN(TRIM(K236))=0</formula>
    </cfRule>
  </conditionalFormatting>
  <conditionalFormatting sqref="K253:K260">
    <cfRule type="containsBlanks" dxfId="444" priority="464">
      <formula>LEN(TRIM(K253))=0</formula>
    </cfRule>
  </conditionalFormatting>
  <conditionalFormatting sqref="K279:K294">
    <cfRule type="containsBlanks" dxfId="443" priority="463">
      <formula>LEN(TRIM(K279))=0</formula>
    </cfRule>
  </conditionalFormatting>
  <conditionalFormatting sqref="K279:K294">
    <cfRule type="containsBlanks" dxfId="442" priority="462">
      <formula>LEN(TRIM(K279))=0</formula>
    </cfRule>
  </conditionalFormatting>
  <conditionalFormatting sqref="K339:K343">
    <cfRule type="containsBlanks" dxfId="441" priority="458">
      <formula>LEN(TRIM(K339))=0</formula>
    </cfRule>
  </conditionalFormatting>
  <conditionalFormatting sqref="K353">
    <cfRule type="containsBlanks" dxfId="440" priority="456">
      <formula>LEN(TRIM(K353))=0</formula>
    </cfRule>
  </conditionalFormatting>
  <conditionalFormatting sqref="K371 K384:K385">
    <cfRule type="containsBlanks" dxfId="439" priority="455">
      <formula>LEN(TRIM(K371))=0</formula>
    </cfRule>
  </conditionalFormatting>
  <conditionalFormatting sqref="K371 K384:K385">
    <cfRule type="containsBlanks" dxfId="438" priority="454">
      <formula>LEN(TRIM(K371))=0</formula>
    </cfRule>
  </conditionalFormatting>
  <conditionalFormatting sqref="K392:K401 K407">
    <cfRule type="containsBlanks" dxfId="437" priority="453">
      <formula>LEN(TRIM(K392))=0</formula>
    </cfRule>
  </conditionalFormatting>
  <conditionalFormatting sqref="K392:K401 K407">
    <cfRule type="containsBlanks" dxfId="436" priority="452">
      <formula>LEN(TRIM(K392))=0</formula>
    </cfRule>
  </conditionalFormatting>
  <conditionalFormatting sqref="K427:K429">
    <cfRule type="containsBlanks" dxfId="435" priority="451">
      <formula>LEN(TRIM(K427))=0</formula>
    </cfRule>
  </conditionalFormatting>
  <conditionalFormatting sqref="K531">
    <cfRule type="containsBlanks" dxfId="434" priority="449">
      <formula>LEN(TRIM(K531))=0</formula>
    </cfRule>
  </conditionalFormatting>
  <conditionalFormatting sqref="K531">
    <cfRule type="containsBlanks" dxfId="433" priority="450">
      <formula>LEN(TRIM(K531))=0</formula>
    </cfRule>
  </conditionalFormatting>
  <conditionalFormatting sqref="K532">
    <cfRule type="containsBlanks" dxfId="432" priority="447">
      <formula>LEN(TRIM(K532))=0</formula>
    </cfRule>
  </conditionalFormatting>
  <conditionalFormatting sqref="K532">
    <cfRule type="containsBlanks" dxfId="431" priority="448">
      <formula>LEN(TRIM(K532))=0</formula>
    </cfRule>
  </conditionalFormatting>
  <conditionalFormatting sqref="K58">
    <cfRule type="containsBlanks" dxfId="430" priority="445">
      <formula>LEN(TRIM(K58))=0</formula>
    </cfRule>
  </conditionalFormatting>
  <conditionalFormatting sqref="K58">
    <cfRule type="containsBlanks" dxfId="429" priority="446">
      <formula>LEN(TRIM(K58))=0</formula>
    </cfRule>
  </conditionalFormatting>
  <conditionalFormatting sqref="K84:K85">
    <cfRule type="containsBlanks" dxfId="428" priority="443">
      <formula>LEN(TRIM(K84))=0</formula>
    </cfRule>
  </conditionalFormatting>
  <conditionalFormatting sqref="K84:K85">
    <cfRule type="containsBlanks" dxfId="427" priority="444">
      <formula>LEN(TRIM(K84))=0</formula>
    </cfRule>
  </conditionalFormatting>
  <conditionalFormatting sqref="K138">
    <cfRule type="containsBlanks" dxfId="426" priority="441">
      <formula>LEN(TRIM(K138))=0</formula>
    </cfRule>
  </conditionalFormatting>
  <conditionalFormatting sqref="K138">
    <cfRule type="containsBlanks" dxfId="425" priority="440">
      <formula>LEN(TRIM(K138))=0</formula>
    </cfRule>
  </conditionalFormatting>
  <conditionalFormatting sqref="K145">
    <cfRule type="containsBlanks" dxfId="424" priority="439">
      <formula>LEN(TRIM(K145))=0</formula>
    </cfRule>
  </conditionalFormatting>
  <conditionalFormatting sqref="K145">
    <cfRule type="containsBlanks" dxfId="423" priority="438">
      <formula>LEN(TRIM(K145))=0</formula>
    </cfRule>
  </conditionalFormatting>
  <conditionalFormatting sqref="K147">
    <cfRule type="containsBlanks" dxfId="422" priority="437">
      <formula>LEN(TRIM(K147))=0</formula>
    </cfRule>
  </conditionalFormatting>
  <conditionalFormatting sqref="K147">
    <cfRule type="containsBlanks" dxfId="421" priority="436">
      <formula>LEN(TRIM(K147))=0</formula>
    </cfRule>
  </conditionalFormatting>
  <conditionalFormatting sqref="K150">
    <cfRule type="containsBlanks" dxfId="420" priority="435">
      <formula>LEN(TRIM(K150))=0</formula>
    </cfRule>
  </conditionalFormatting>
  <conditionalFormatting sqref="K577">
    <cfRule type="containsBlanks" dxfId="419" priority="433">
      <formula>LEN(TRIM(K577))=0</formula>
    </cfRule>
  </conditionalFormatting>
  <conditionalFormatting sqref="K577">
    <cfRule type="containsBlanks" dxfId="418" priority="432">
      <formula>LEN(TRIM(K577))=0</formula>
    </cfRule>
  </conditionalFormatting>
  <conditionalFormatting sqref="K52">
    <cfRule type="containsBlanks" dxfId="417" priority="431">
      <formula>LEN(TRIM(K52))=0</formula>
    </cfRule>
  </conditionalFormatting>
  <conditionalFormatting sqref="K52">
    <cfRule type="containsBlanks" dxfId="416" priority="430">
      <formula>LEN(TRIM(K52))=0</formula>
    </cfRule>
  </conditionalFormatting>
  <conditionalFormatting sqref="K64">
    <cfRule type="containsBlanks" dxfId="415" priority="429">
      <formula>LEN(TRIM(K64))=0</formula>
    </cfRule>
  </conditionalFormatting>
  <conditionalFormatting sqref="K64">
    <cfRule type="containsBlanks" dxfId="414" priority="428">
      <formula>LEN(TRIM(K64))=0</formula>
    </cfRule>
  </conditionalFormatting>
  <conditionalFormatting sqref="K76:K77">
    <cfRule type="containsBlanks" dxfId="413" priority="427">
      <formula>LEN(TRIM(K76))=0</formula>
    </cfRule>
  </conditionalFormatting>
  <conditionalFormatting sqref="K77">
    <cfRule type="containsBlanks" dxfId="412" priority="425">
      <formula>LEN(TRIM(K77))=0</formula>
    </cfRule>
  </conditionalFormatting>
  <conditionalFormatting sqref="K76:K77">
    <cfRule type="containsBlanks" dxfId="411" priority="426">
      <formula>LEN(TRIM(K76))=0</formula>
    </cfRule>
  </conditionalFormatting>
  <conditionalFormatting sqref="K90">
    <cfRule type="containsBlanks" dxfId="410" priority="424">
      <formula>LEN(TRIM(K90))=0</formula>
    </cfRule>
  </conditionalFormatting>
  <conditionalFormatting sqref="K90">
    <cfRule type="containsBlanks" dxfId="409" priority="423">
      <formula>LEN(TRIM(K90))=0</formula>
    </cfRule>
  </conditionalFormatting>
  <conditionalFormatting sqref="K134">
    <cfRule type="containsBlanks" dxfId="408" priority="420">
      <formula>LEN(TRIM(K134))=0</formula>
    </cfRule>
  </conditionalFormatting>
  <conditionalFormatting sqref="K134">
    <cfRule type="containsBlanks" dxfId="407" priority="419">
      <formula>LEN(TRIM(K134))=0</formula>
    </cfRule>
  </conditionalFormatting>
  <conditionalFormatting sqref="K109">
    <cfRule type="containsBlanks" dxfId="406" priority="422">
      <formula>LEN(TRIM(K109))=0</formula>
    </cfRule>
  </conditionalFormatting>
  <conditionalFormatting sqref="K109">
    <cfRule type="containsBlanks" dxfId="405" priority="421">
      <formula>LEN(TRIM(K109))=0</formula>
    </cfRule>
  </conditionalFormatting>
  <conditionalFormatting sqref="K135">
    <cfRule type="containsBlanks" dxfId="404" priority="418">
      <formula>LEN(TRIM(K135))=0</formula>
    </cfRule>
  </conditionalFormatting>
  <conditionalFormatting sqref="K135">
    <cfRule type="containsBlanks" dxfId="403" priority="417">
      <formula>LEN(TRIM(K135))=0</formula>
    </cfRule>
  </conditionalFormatting>
  <conditionalFormatting sqref="K146">
    <cfRule type="containsBlanks" dxfId="402" priority="416">
      <formula>LEN(TRIM(K146))=0</formula>
    </cfRule>
  </conditionalFormatting>
  <conditionalFormatting sqref="K146">
    <cfRule type="containsBlanks" dxfId="401" priority="415">
      <formula>LEN(TRIM(K146))=0</formula>
    </cfRule>
  </conditionalFormatting>
  <conditionalFormatting sqref="K149">
    <cfRule type="containsBlanks" dxfId="400" priority="414">
      <formula>LEN(TRIM(K149))=0</formula>
    </cfRule>
  </conditionalFormatting>
  <conditionalFormatting sqref="K208:K209">
    <cfRule type="containsBlanks" dxfId="399" priority="412">
      <formula>LEN(TRIM(K208))=0</formula>
    </cfRule>
  </conditionalFormatting>
  <conditionalFormatting sqref="K208:K209">
    <cfRule type="containsBlanks" dxfId="398" priority="411">
      <formula>LEN(TRIM(K208))=0</formula>
    </cfRule>
  </conditionalFormatting>
  <conditionalFormatting sqref="K210:K212">
    <cfRule type="containsBlanks" dxfId="397" priority="410">
      <formula>LEN(TRIM(K210))=0</formula>
    </cfRule>
  </conditionalFormatting>
  <conditionalFormatting sqref="K210:K212">
    <cfRule type="containsBlanks" dxfId="396" priority="409">
      <formula>LEN(TRIM(K210))=0</formula>
    </cfRule>
  </conditionalFormatting>
  <conditionalFormatting sqref="K227:K228 K230:K231 K233 K235">
    <cfRule type="containsBlanks" dxfId="395" priority="408">
      <formula>LEN(TRIM(K227))=0</formula>
    </cfRule>
  </conditionalFormatting>
  <conditionalFormatting sqref="K227:K228 K230:K231 K233 K235">
    <cfRule type="containsBlanks" dxfId="394" priority="407">
      <formula>LEN(TRIM(K227))=0</formula>
    </cfRule>
  </conditionalFormatting>
  <conditionalFormatting sqref="K265:K267">
    <cfRule type="containsBlanks" dxfId="393" priority="404">
      <formula>LEN(TRIM(K265))=0</formula>
    </cfRule>
  </conditionalFormatting>
  <conditionalFormatting sqref="K265:K267">
    <cfRule type="containsBlanks" dxfId="392" priority="403">
      <formula>LEN(TRIM(K265))=0</formula>
    </cfRule>
  </conditionalFormatting>
  <conditionalFormatting sqref="K250:K252">
    <cfRule type="containsBlanks" dxfId="391" priority="406">
      <formula>LEN(TRIM(K250))=0</formula>
    </cfRule>
  </conditionalFormatting>
  <conditionalFormatting sqref="K250:K252">
    <cfRule type="containsBlanks" dxfId="390" priority="405">
      <formula>LEN(TRIM(K250))=0</formula>
    </cfRule>
  </conditionalFormatting>
  <conditionalFormatting sqref="K274:K275">
    <cfRule type="containsBlanks" dxfId="389" priority="402">
      <formula>LEN(TRIM(K274))=0</formula>
    </cfRule>
  </conditionalFormatting>
  <conditionalFormatting sqref="K274:K275">
    <cfRule type="containsBlanks" dxfId="388" priority="401">
      <formula>LEN(TRIM(K274))=0</formula>
    </cfRule>
  </conditionalFormatting>
  <conditionalFormatting sqref="K277">
    <cfRule type="containsBlanks" dxfId="387" priority="400">
      <formula>LEN(TRIM(K277))=0</formula>
    </cfRule>
  </conditionalFormatting>
  <conditionalFormatting sqref="K277">
    <cfRule type="containsBlanks" dxfId="386" priority="399">
      <formula>LEN(TRIM(K277))=0</formula>
    </cfRule>
  </conditionalFormatting>
  <conditionalFormatting sqref="K330:K331">
    <cfRule type="containsBlanks" dxfId="385" priority="398">
      <formula>LEN(TRIM(K330))=0</formula>
    </cfRule>
  </conditionalFormatting>
  <conditionalFormatting sqref="K330:K331">
    <cfRule type="containsBlanks" dxfId="384" priority="397">
      <formula>LEN(TRIM(K330))=0</formula>
    </cfRule>
  </conditionalFormatting>
  <conditionalFormatting sqref="K332">
    <cfRule type="containsBlanks" dxfId="383" priority="396">
      <formula>LEN(TRIM(K332))=0</formula>
    </cfRule>
  </conditionalFormatting>
  <conditionalFormatting sqref="K332">
    <cfRule type="containsBlanks" dxfId="382" priority="395">
      <formula>LEN(TRIM(K332))=0</formula>
    </cfRule>
  </conditionalFormatting>
  <conditionalFormatting sqref="K335:K336">
    <cfRule type="containsBlanks" dxfId="381" priority="393">
      <formula>LEN(TRIM(K335))=0</formula>
    </cfRule>
  </conditionalFormatting>
  <conditionalFormatting sqref="K344:K345">
    <cfRule type="containsBlanks" dxfId="380" priority="392">
      <formula>LEN(TRIM(K344))=0</formula>
    </cfRule>
  </conditionalFormatting>
  <conditionalFormatting sqref="K344:K345">
    <cfRule type="containsBlanks" dxfId="379" priority="391">
      <formula>LEN(TRIM(K344))=0</formula>
    </cfRule>
  </conditionalFormatting>
  <conditionalFormatting sqref="K363">
    <cfRule type="containsBlanks" dxfId="378" priority="390">
      <formula>LEN(TRIM(K363))=0</formula>
    </cfRule>
  </conditionalFormatting>
  <conditionalFormatting sqref="K363">
    <cfRule type="containsBlanks" dxfId="377" priority="389">
      <formula>LEN(TRIM(K363))=0</formula>
    </cfRule>
  </conditionalFormatting>
  <conditionalFormatting sqref="K420">
    <cfRule type="containsBlanks" dxfId="376" priority="388">
      <formula>LEN(TRIM(K420))=0</formula>
    </cfRule>
  </conditionalFormatting>
  <conditionalFormatting sqref="K420">
    <cfRule type="containsBlanks" dxfId="375" priority="387">
      <formula>LEN(TRIM(K420))=0</formula>
    </cfRule>
  </conditionalFormatting>
  <conditionalFormatting sqref="K421:K423">
    <cfRule type="containsBlanks" dxfId="374" priority="385">
      <formula>LEN(TRIM(K421))=0</formula>
    </cfRule>
  </conditionalFormatting>
  <conditionalFormatting sqref="K509:K510">
    <cfRule type="containsBlanks" dxfId="373" priority="384">
      <formula>LEN(TRIM(K509))=0</formula>
    </cfRule>
  </conditionalFormatting>
  <conditionalFormatting sqref="K509:K510">
    <cfRule type="containsBlanks" dxfId="372" priority="383">
      <formula>LEN(TRIM(K509))=0</formula>
    </cfRule>
  </conditionalFormatting>
  <conditionalFormatting sqref="K519">
    <cfRule type="containsBlanks" dxfId="371" priority="382">
      <formula>LEN(TRIM(K519))=0</formula>
    </cfRule>
  </conditionalFormatting>
  <conditionalFormatting sqref="K522">
    <cfRule type="containsBlanks" dxfId="370" priority="381">
      <formula>LEN(TRIM(K522))=0</formula>
    </cfRule>
  </conditionalFormatting>
  <conditionalFormatting sqref="K526:K528">
    <cfRule type="containsBlanks" dxfId="369" priority="380">
      <formula>LEN(TRIM(K526))=0</formula>
    </cfRule>
  </conditionalFormatting>
  <conditionalFormatting sqref="M310">
    <cfRule type="containsBlanks" dxfId="368" priority="317">
      <formula>LEN(TRIM(M310))=0</formula>
    </cfRule>
  </conditionalFormatting>
  <conditionalFormatting sqref="M310">
    <cfRule type="containsBlanks" dxfId="367" priority="318">
      <formula>LEN(TRIM(M310))=0</formula>
    </cfRule>
  </conditionalFormatting>
  <conditionalFormatting sqref="K525">
    <cfRule type="containsBlanks" dxfId="366" priority="379">
      <formula>LEN(TRIM(K525))=0</formula>
    </cfRule>
  </conditionalFormatting>
  <conditionalFormatting sqref="K525">
    <cfRule type="containsBlanks" dxfId="365" priority="378">
      <formula>LEN(TRIM(K525))=0</formula>
    </cfRule>
  </conditionalFormatting>
  <conditionalFormatting sqref="K525">
    <cfRule type="containsBlanks" dxfId="364" priority="377">
      <formula>LEN(TRIM(K525))=0</formula>
    </cfRule>
  </conditionalFormatting>
  <conditionalFormatting sqref="K157">
    <cfRule type="containsBlanks" dxfId="363" priority="376">
      <formula>LEN(TRIM(K157))=0</formula>
    </cfRule>
  </conditionalFormatting>
  <conditionalFormatting sqref="K40">
    <cfRule type="containsBlanks" dxfId="362" priority="375">
      <formula>LEN(TRIM(K40))=0</formula>
    </cfRule>
  </conditionalFormatting>
  <conditionalFormatting sqref="K158">
    <cfRule type="containsBlanks" dxfId="361" priority="374">
      <formula>LEN(TRIM(K158))=0</formula>
    </cfRule>
  </conditionalFormatting>
  <conditionalFormatting sqref="K158">
    <cfRule type="containsBlanks" dxfId="360" priority="373">
      <formula>LEN(TRIM(K158))=0</formula>
    </cfRule>
  </conditionalFormatting>
  <conditionalFormatting sqref="K158">
    <cfRule type="containsBlanks" dxfId="359" priority="372">
      <formula>LEN(TRIM(K158))=0</formula>
    </cfRule>
  </conditionalFormatting>
  <conditionalFormatting sqref="K158">
    <cfRule type="containsBlanks" dxfId="358" priority="371">
      <formula>LEN(TRIM(K158))=0</formula>
    </cfRule>
  </conditionalFormatting>
  <conditionalFormatting sqref="K158">
    <cfRule type="containsBlanks" dxfId="357" priority="370">
      <formula>LEN(TRIM(K158))=0</formula>
    </cfRule>
  </conditionalFormatting>
  <conditionalFormatting sqref="K67">
    <cfRule type="containsBlanks" dxfId="356" priority="369">
      <formula>LEN(TRIM(K67))=0</formula>
    </cfRule>
  </conditionalFormatting>
  <conditionalFormatting sqref="K67">
    <cfRule type="containsBlanks" dxfId="355" priority="368">
      <formula>LEN(TRIM(K67))=0</formula>
    </cfRule>
  </conditionalFormatting>
  <conditionalFormatting sqref="K67">
    <cfRule type="containsBlanks" dxfId="354" priority="367">
      <formula>LEN(TRIM(K67))=0</formula>
    </cfRule>
  </conditionalFormatting>
  <conditionalFormatting sqref="K71">
    <cfRule type="containsBlanks" dxfId="353" priority="366">
      <formula>LEN(TRIM(K71))=0</formula>
    </cfRule>
  </conditionalFormatting>
  <conditionalFormatting sqref="K129:K131">
    <cfRule type="containsBlanks" dxfId="352" priority="365">
      <formula>LEN(TRIM(K129))=0</formula>
    </cfRule>
  </conditionalFormatting>
  <conditionalFormatting sqref="K139:K141">
    <cfRule type="containsBlanks" dxfId="351" priority="364">
      <formula>LEN(TRIM(K139))=0</formula>
    </cfRule>
  </conditionalFormatting>
  <conditionalFormatting sqref="K139:K141">
    <cfRule type="containsBlanks" dxfId="350" priority="363">
      <formula>LEN(TRIM(K139))=0</formula>
    </cfRule>
  </conditionalFormatting>
  <conditionalFormatting sqref="K139:K141">
    <cfRule type="containsBlanks" dxfId="349" priority="362">
      <formula>LEN(TRIM(K139))=0</formula>
    </cfRule>
  </conditionalFormatting>
  <conditionalFormatting sqref="K159:K160">
    <cfRule type="containsBlanks" dxfId="348" priority="361">
      <formula>LEN(TRIM(K159))=0</formula>
    </cfRule>
  </conditionalFormatting>
  <conditionalFormatting sqref="K159:K160">
    <cfRule type="containsBlanks" dxfId="347" priority="360">
      <formula>LEN(TRIM(K159))=0</formula>
    </cfRule>
  </conditionalFormatting>
  <conditionalFormatting sqref="K159:K160">
    <cfRule type="containsBlanks" dxfId="346" priority="358">
      <formula>LEN(TRIM(K159))=0</formula>
    </cfRule>
  </conditionalFormatting>
  <conditionalFormatting sqref="K159:K160">
    <cfRule type="containsBlanks" dxfId="345" priority="359">
      <formula>LEN(TRIM(K159))=0</formula>
    </cfRule>
  </conditionalFormatting>
  <conditionalFormatting sqref="K268:K270">
    <cfRule type="containsBlanks" dxfId="344" priority="357">
      <formula>LEN(TRIM(K268))=0</formula>
    </cfRule>
  </conditionalFormatting>
  <conditionalFormatting sqref="K268:K270">
    <cfRule type="containsBlanks" dxfId="343" priority="356">
      <formula>LEN(TRIM(K268))=0</formula>
    </cfRule>
  </conditionalFormatting>
  <conditionalFormatting sqref="K268:K270">
    <cfRule type="containsBlanks" dxfId="342" priority="355">
      <formula>LEN(TRIM(K268))=0</formula>
    </cfRule>
  </conditionalFormatting>
  <conditionalFormatting sqref="K298:K299">
    <cfRule type="containsBlanks" dxfId="341" priority="354">
      <formula>LEN(TRIM(K298))=0</formula>
    </cfRule>
  </conditionalFormatting>
  <conditionalFormatting sqref="K306:K307">
    <cfRule type="containsBlanks" dxfId="340" priority="353">
      <formula>LEN(TRIM(K306))=0</formula>
    </cfRule>
  </conditionalFormatting>
  <conditionalFormatting sqref="K306:K307">
    <cfRule type="containsBlanks" dxfId="339" priority="352">
      <formula>LEN(TRIM(K306))=0</formula>
    </cfRule>
  </conditionalFormatting>
  <conditionalFormatting sqref="K318">
    <cfRule type="containsBlanks" dxfId="338" priority="350">
      <formula>LEN(TRIM(K318))=0</formula>
    </cfRule>
  </conditionalFormatting>
  <conditionalFormatting sqref="K319">
    <cfRule type="containsBlanks" dxfId="337" priority="349">
      <formula>LEN(TRIM(K319))=0</formula>
    </cfRule>
  </conditionalFormatting>
  <conditionalFormatting sqref="K320:K329">
    <cfRule type="containsBlanks" dxfId="336" priority="348">
      <formula>LEN(TRIM(K320))=0</formula>
    </cfRule>
  </conditionalFormatting>
  <conditionalFormatting sqref="K436">
    <cfRule type="containsBlanks" dxfId="335" priority="347">
      <formula>LEN(TRIM(K436))=0</formula>
    </cfRule>
  </conditionalFormatting>
  <conditionalFormatting sqref="K436">
    <cfRule type="containsBlanks" dxfId="334" priority="345">
      <formula>LEN(TRIM(K436))=0</formula>
    </cfRule>
  </conditionalFormatting>
  <conditionalFormatting sqref="K436">
    <cfRule type="containsBlanks" dxfId="333" priority="346">
      <formula>LEN(TRIM(K436))=0</formula>
    </cfRule>
  </conditionalFormatting>
  <conditionalFormatting sqref="K436">
    <cfRule type="containsBlanks" dxfId="332" priority="343">
      <formula>LEN(TRIM(K436))=0</formula>
    </cfRule>
  </conditionalFormatting>
  <conditionalFormatting sqref="K436">
    <cfRule type="containsBlanks" dxfId="331" priority="344">
      <formula>LEN(TRIM(K436))=0</formula>
    </cfRule>
  </conditionalFormatting>
  <conditionalFormatting sqref="K408">
    <cfRule type="containsBlanks" dxfId="330" priority="342">
      <formula>LEN(TRIM(K408))=0</formula>
    </cfRule>
  </conditionalFormatting>
  <conditionalFormatting sqref="M150">
    <cfRule type="containsBlanks" dxfId="329" priority="294">
      <formula>LEN(TRIM(M150))=0</formula>
    </cfRule>
  </conditionalFormatting>
  <conditionalFormatting sqref="M577">
    <cfRule type="containsBlanks" dxfId="328" priority="293">
      <formula>LEN(TRIM(M577))=0</formula>
    </cfRule>
  </conditionalFormatting>
  <conditionalFormatting sqref="K557:K562">
    <cfRule type="containsBlanks" dxfId="327" priority="341">
      <formula>LEN(TRIM(K557))=0</formula>
    </cfRule>
  </conditionalFormatting>
  <conditionalFormatting sqref="K557">
    <cfRule type="containsBlanks" dxfId="326" priority="340">
      <formula>LEN(TRIM(K557))=0</formula>
    </cfRule>
  </conditionalFormatting>
  <conditionalFormatting sqref="K557">
    <cfRule type="containsBlanks" dxfId="325" priority="339">
      <formula>LEN(TRIM(K557))=0</formula>
    </cfRule>
  </conditionalFormatting>
  <conditionalFormatting sqref="K558:K562">
    <cfRule type="containsBlanks" dxfId="324" priority="338">
      <formula>LEN(TRIM(K558))=0</formula>
    </cfRule>
  </conditionalFormatting>
  <conditionalFormatting sqref="K558:K562">
    <cfRule type="containsBlanks" dxfId="323" priority="337">
      <formula>LEN(TRIM(K558))=0</formula>
    </cfRule>
  </conditionalFormatting>
  <conditionalFormatting sqref="K638">
    <cfRule type="containsBlanks" dxfId="322" priority="336">
      <formula>LEN(TRIM(K638))=0</formula>
    </cfRule>
  </conditionalFormatting>
  <conditionalFormatting sqref="K637">
    <cfRule type="containsBlanks" dxfId="321" priority="335">
      <formula>LEN(TRIM(K637))=0</formula>
    </cfRule>
  </conditionalFormatting>
  <conditionalFormatting sqref="K639">
    <cfRule type="containsBlanks" dxfId="320" priority="334">
      <formula>LEN(TRIM(K639))=0</formula>
    </cfRule>
  </conditionalFormatting>
  <conditionalFormatting sqref="M387 M300:M304 M427:M435 M317 M271:M277 M132:M137 M142:M147 M381:M385 M76:M90 M438:M442 M563:M578 M537 M363 M279:M294 M547:M550 M552:M556 M541:M545">
    <cfRule type="containsBlanks" dxfId="319" priority="333">
      <formula>LEN(TRIM(M76))=0</formula>
    </cfRule>
  </conditionalFormatting>
  <conditionalFormatting sqref="M157">
    <cfRule type="containsBlanks" dxfId="318" priority="332">
      <formula>LEN(TRIM(M157))=0</formula>
    </cfRule>
  </conditionalFormatting>
  <conditionalFormatting sqref="M520:M521 M608 M243 M264 M53:M54 M59:M63 M78:M83 M107:M108 M148 M525 M545 M554 M578 M136:M137 M276 M529:M530 M206:M207 M547:M550 M580:M589">
    <cfRule type="containsBlanks" dxfId="317" priority="329">
      <formula>LEN(TRIM(M53))=0</formula>
    </cfRule>
  </conditionalFormatting>
  <conditionalFormatting sqref="M264 M434:M435 M520:M521 M608 M243 M311 M53:M54 M59:M63 M78:M83 M107:M108 M148 M525 M545 M554 M578 M136:M137 M276 M529:M530 M206:M207 M547:M550 M580:M589">
    <cfRule type="containsBlanks" dxfId="316" priority="331">
      <formula>LEN(TRIM(M53))=0</formula>
    </cfRule>
  </conditionalFormatting>
  <conditionalFormatting sqref="M431 M434:M435">
    <cfRule type="containsBlanks" dxfId="315" priority="330">
      <formula>LEN(TRIM(M431))=0</formula>
    </cfRule>
  </conditionalFormatting>
  <conditionalFormatting sqref="M607">
    <cfRule type="containsBlanks" dxfId="314" priority="327">
      <formula>LEN(TRIM(M607))=0</formula>
    </cfRule>
  </conditionalFormatting>
  <conditionalFormatting sqref="M607">
    <cfRule type="containsBlanks" dxfId="313" priority="328">
      <formula>LEN(TRIM(M607))=0</formula>
    </cfRule>
  </conditionalFormatting>
  <conditionalFormatting sqref="M148">
    <cfRule type="containsBlanks" dxfId="312" priority="326">
      <formula>LEN(TRIM(M148))=0</formula>
    </cfRule>
  </conditionalFormatting>
  <conditionalFormatting sqref="M611 M614">
    <cfRule type="containsBlanks" dxfId="311" priority="325">
      <formula>LEN(TRIM(M611))=0</formula>
    </cfRule>
  </conditionalFormatting>
  <conditionalFormatting sqref="M531">
    <cfRule type="containsBlanks" dxfId="310" priority="315">
      <formula>LEN(TRIM(M531))=0</formula>
    </cfRule>
  </conditionalFormatting>
  <conditionalFormatting sqref="M531">
    <cfRule type="containsBlanks" dxfId="309" priority="316">
      <formula>LEN(TRIM(M531))=0</formula>
    </cfRule>
  </conditionalFormatting>
  <conditionalFormatting sqref="M236:M242">
    <cfRule type="containsBlanks" dxfId="308" priority="323">
      <formula>LEN(TRIM(M236))=0</formula>
    </cfRule>
  </conditionalFormatting>
  <conditionalFormatting sqref="M253:M260">
    <cfRule type="containsBlanks" dxfId="307" priority="321">
      <formula>LEN(TRIM(M253))=0</formula>
    </cfRule>
  </conditionalFormatting>
  <conditionalFormatting sqref="M253:M260">
    <cfRule type="containsBlanks" dxfId="306" priority="322">
      <formula>LEN(TRIM(M253))=0</formula>
    </cfRule>
  </conditionalFormatting>
  <conditionalFormatting sqref="M279:M294">
    <cfRule type="containsBlanks" dxfId="305" priority="319">
      <formula>LEN(TRIM(M279))=0</formula>
    </cfRule>
  </conditionalFormatting>
  <conditionalFormatting sqref="M279:M294">
    <cfRule type="containsBlanks" dxfId="304" priority="320">
      <formula>LEN(TRIM(M279))=0</formula>
    </cfRule>
  </conditionalFormatting>
  <conditionalFormatting sqref="M532">
    <cfRule type="containsBlanks" dxfId="303" priority="313">
      <formula>LEN(TRIM(M532))=0</formula>
    </cfRule>
  </conditionalFormatting>
  <conditionalFormatting sqref="M532">
    <cfRule type="containsBlanks" dxfId="302" priority="314">
      <formula>LEN(TRIM(M532))=0</formula>
    </cfRule>
  </conditionalFormatting>
  <conditionalFormatting sqref="M58">
    <cfRule type="containsBlanks" dxfId="301" priority="311">
      <formula>LEN(TRIM(M58))=0</formula>
    </cfRule>
  </conditionalFormatting>
  <conditionalFormatting sqref="M58">
    <cfRule type="containsBlanks" dxfId="300" priority="312">
      <formula>LEN(TRIM(M58))=0</formula>
    </cfRule>
  </conditionalFormatting>
  <conditionalFormatting sqref="M72">
    <cfRule type="containsBlanks" dxfId="299" priority="309">
      <formula>LEN(TRIM(M72))=0</formula>
    </cfRule>
  </conditionalFormatting>
  <conditionalFormatting sqref="M72">
    <cfRule type="containsBlanks" dxfId="298" priority="310">
      <formula>LEN(TRIM(M72))=0</formula>
    </cfRule>
  </conditionalFormatting>
  <conditionalFormatting sqref="M72">
    <cfRule type="containsBlanks" dxfId="297" priority="308">
      <formula>LEN(TRIM(M72))=0</formula>
    </cfRule>
  </conditionalFormatting>
  <conditionalFormatting sqref="M73:M75">
    <cfRule type="containsBlanks" dxfId="296" priority="306">
      <formula>LEN(TRIM(M73))=0</formula>
    </cfRule>
  </conditionalFormatting>
  <conditionalFormatting sqref="M73:M75">
    <cfRule type="containsBlanks" dxfId="295" priority="307">
      <formula>LEN(TRIM(M73))=0</formula>
    </cfRule>
  </conditionalFormatting>
  <conditionalFormatting sqref="M73:M75">
    <cfRule type="containsBlanks" dxfId="294" priority="305">
      <formula>LEN(TRIM(M73))=0</formula>
    </cfRule>
  </conditionalFormatting>
  <conditionalFormatting sqref="M138">
    <cfRule type="containsBlanks" dxfId="293" priority="301">
      <formula>LEN(TRIM(M138))=0</formula>
    </cfRule>
  </conditionalFormatting>
  <conditionalFormatting sqref="M138">
    <cfRule type="containsBlanks" dxfId="292" priority="302">
      <formula>LEN(TRIM(M138))=0</formula>
    </cfRule>
  </conditionalFormatting>
  <conditionalFormatting sqref="M138">
    <cfRule type="containsBlanks" dxfId="291" priority="300">
      <formula>LEN(TRIM(M138))=0</formula>
    </cfRule>
  </conditionalFormatting>
  <conditionalFormatting sqref="M145">
    <cfRule type="containsBlanks" dxfId="290" priority="298">
      <formula>LEN(TRIM(M145))=0</formula>
    </cfRule>
  </conditionalFormatting>
  <conditionalFormatting sqref="M145">
    <cfRule type="containsBlanks" dxfId="289" priority="299">
      <formula>LEN(TRIM(M145))=0</formula>
    </cfRule>
  </conditionalFormatting>
  <conditionalFormatting sqref="M147">
    <cfRule type="containsBlanks" dxfId="288" priority="296">
      <formula>LEN(TRIM(M147))=0</formula>
    </cfRule>
  </conditionalFormatting>
  <conditionalFormatting sqref="M147">
    <cfRule type="containsBlanks" dxfId="287" priority="297">
      <formula>LEN(TRIM(M147))=0</formula>
    </cfRule>
  </conditionalFormatting>
  <conditionalFormatting sqref="M577">
    <cfRule type="containsBlanks" dxfId="286" priority="292">
      <formula>LEN(TRIM(M577))=0</formula>
    </cfRule>
  </conditionalFormatting>
  <conditionalFormatting sqref="M52">
    <cfRule type="containsBlanks" dxfId="285" priority="290">
      <formula>LEN(TRIM(M52))=0</formula>
    </cfRule>
  </conditionalFormatting>
  <conditionalFormatting sqref="M52">
    <cfRule type="containsBlanks" dxfId="284" priority="291">
      <formula>LEN(TRIM(M52))=0</formula>
    </cfRule>
  </conditionalFormatting>
  <conditionalFormatting sqref="M64">
    <cfRule type="containsBlanks" dxfId="283" priority="288">
      <formula>LEN(TRIM(M64))=0</formula>
    </cfRule>
  </conditionalFormatting>
  <conditionalFormatting sqref="M64">
    <cfRule type="containsBlanks" dxfId="282" priority="289">
      <formula>LEN(TRIM(M64))=0</formula>
    </cfRule>
  </conditionalFormatting>
  <conditionalFormatting sqref="M77">
    <cfRule type="containsBlanks" dxfId="281" priority="287">
      <formula>LEN(TRIM(M77))=0</formula>
    </cfRule>
  </conditionalFormatting>
  <conditionalFormatting sqref="M76:M77">
    <cfRule type="containsBlanks" dxfId="280" priority="285">
      <formula>LEN(TRIM(M76))=0</formula>
    </cfRule>
  </conditionalFormatting>
  <conditionalFormatting sqref="M76:M77">
    <cfRule type="containsBlanks" dxfId="279" priority="286">
      <formula>LEN(TRIM(M76))=0</formula>
    </cfRule>
  </conditionalFormatting>
  <conditionalFormatting sqref="M90">
    <cfRule type="containsBlanks" dxfId="278" priority="283">
      <formula>LEN(TRIM(M90))=0</formula>
    </cfRule>
  </conditionalFormatting>
  <conditionalFormatting sqref="M90">
    <cfRule type="containsBlanks" dxfId="277" priority="284">
      <formula>LEN(TRIM(M90))=0</formula>
    </cfRule>
  </conditionalFormatting>
  <conditionalFormatting sqref="M134">
    <cfRule type="containsBlanks" dxfId="276" priority="279">
      <formula>LEN(TRIM(M134))=0</formula>
    </cfRule>
  </conditionalFormatting>
  <conditionalFormatting sqref="M109">
    <cfRule type="containsBlanks" dxfId="275" priority="281">
      <formula>LEN(TRIM(M109))=0</formula>
    </cfRule>
  </conditionalFormatting>
  <conditionalFormatting sqref="M109">
    <cfRule type="containsBlanks" dxfId="274" priority="282">
      <formula>LEN(TRIM(M109))=0</formula>
    </cfRule>
  </conditionalFormatting>
  <conditionalFormatting sqref="M135">
    <cfRule type="containsBlanks" dxfId="273" priority="277">
      <formula>LEN(TRIM(M135))=0</formula>
    </cfRule>
  </conditionalFormatting>
  <conditionalFormatting sqref="M135">
    <cfRule type="containsBlanks" dxfId="272" priority="278">
      <formula>LEN(TRIM(M135))=0</formula>
    </cfRule>
  </conditionalFormatting>
  <conditionalFormatting sqref="M146">
    <cfRule type="containsBlanks" dxfId="271" priority="275">
      <formula>LEN(TRIM(M146))=0</formula>
    </cfRule>
  </conditionalFormatting>
  <conditionalFormatting sqref="M146">
    <cfRule type="containsBlanks" dxfId="270" priority="276">
      <formula>LEN(TRIM(M146))=0</formula>
    </cfRule>
  </conditionalFormatting>
  <conditionalFormatting sqref="M149">
    <cfRule type="containsBlanks" dxfId="269" priority="273">
      <formula>LEN(TRIM(M149))=0</formula>
    </cfRule>
  </conditionalFormatting>
  <conditionalFormatting sqref="M149">
    <cfRule type="containsBlanks" dxfId="268" priority="274">
      <formula>LEN(TRIM(M149))=0</formula>
    </cfRule>
  </conditionalFormatting>
  <conditionalFormatting sqref="M208:M209">
    <cfRule type="containsBlanks" dxfId="267" priority="271">
      <formula>LEN(TRIM(M208))=0</formula>
    </cfRule>
  </conditionalFormatting>
  <conditionalFormatting sqref="M208:M209">
    <cfRule type="containsBlanks" dxfId="266" priority="272">
      <formula>LEN(TRIM(M208))=0</formula>
    </cfRule>
  </conditionalFormatting>
  <conditionalFormatting sqref="M210:M212">
    <cfRule type="containsBlanks" dxfId="265" priority="269">
      <formula>LEN(TRIM(M210))=0</formula>
    </cfRule>
  </conditionalFormatting>
  <conditionalFormatting sqref="M210:M212">
    <cfRule type="containsBlanks" dxfId="264" priority="270">
      <formula>LEN(TRIM(M210))=0</formula>
    </cfRule>
  </conditionalFormatting>
  <conditionalFormatting sqref="M227:M228 M230:M231 M233 M235">
    <cfRule type="containsBlanks" dxfId="263" priority="267">
      <formula>LEN(TRIM(M227))=0</formula>
    </cfRule>
  </conditionalFormatting>
  <conditionalFormatting sqref="M227:M228 M230:M231 M233 M235">
    <cfRule type="containsBlanks" dxfId="262" priority="268">
      <formula>LEN(TRIM(M227))=0</formula>
    </cfRule>
  </conditionalFormatting>
  <conditionalFormatting sqref="M265:M267">
    <cfRule type="containsBlanks" dxfId="261" priority="263">
      <formula>LEN(TRIM(M265))=0</formula>
    </cfRule>
  </conditionalFormatting>
  <conditionalFormatting sqref="M265:M267">
    <cfRule type="containsBlanks" dxfId="260" priority="264">
      <formula>LEN(TRIM(M265))=0</formula>
    </cfRule>
  </conditionalFormatting>
  <conditionalFormatting sqref="M250:M252">
    <cfRule type="containsBlanks" dxfId="259" priority="265">
      <formula>LEN(TRIM(M250))=0</formula>
    </cfRule>
  </conditionalFormatting>
  <conditionalFormatting sqref="M250:M252">
    <cfRule type="containsBlanks" dxfId="258" priority="266">
      <formula>LEN(TRIM(M250))=0</formula>
    </cfRule>
  </conditionalFormatting>
  <conditionalFormatting sqref="M274:M275">
    <cfRule type="containsBlanks" dxfId="257" priority="262">
      <formula>LEN(TRIM(M274))=0</formula>
    </cfRule>
  </conditionalFormatting>
  <conditionalFormatting sqref="M277">
    <cfRule type="containsBlanks" dxfId="256" priority="259">
      <formula>LEN(TRIM(M277))=0</formula>
    </cfRule>
  </conditionalFormatting>
  <conditionalFormatting sqref="M330:M331">
    <cfRule type="containsBlanks" dxfId="255" priority="257">
      <formula>LEN(TRIM(M330))=0</formula>
    </cfRule>
  </conditionalFormatting>
  <conditionalFormatting sqref="M330:M331">
    <cfRule type="containsBlanks" dxfId="254" priority="258">
      <formula>LEN(TRIM(M330))=0</formula>
    </cfRule>
  </conditionalFormatting>
  <conditionalFormatting sqref="M332">
    <cfRule type="containsBlanks" dxfId="253" priority="255">
      <formula>LEN(TRIM(M332))=0</formula>
    </cfRule>
  </conditionalFormatting>
  <conditionalFormatting sqref="M332">
    <cfRule type="containsBlanks" dxfId="252" priority="256">
      <formula>LEN(TRIM(M332))=0</formula>
    </cfRule>
  </conditionalFormatting>
  <conditionalFormatting sqref="M335:M336">
    <cfRule type="containsBlanks" dxfId="251" priority="253">
      <formula>LEN(TRIM(M335))=0</formula>
    </cfRule>
  </conditionalFormatting>
  <conditionalFormatting sqref="M335:M336">
    <cfRule type="containsBlanks" dxfId="250" priority="254">
      <formula>LEN(TRIM(M335))=0</formula>
    </cfRule>
  </conditionalFormatting>
  <conditionalFormatting sqref="M344:M345">
    <cfRule type="containsBlanks" dxfId="249" priority="251">
      <formula>LEN(TRIM(M344))=0</formula>
    </cfRule>
  </conditionalFormatting>
  <conditionalFormatting sqref="M344:M345">
    <cfRule type="containsBlanks" dxfId="248" priority="252">
      <formula>LEN(TRIM(M344))=0</formula>
    </cfRule>
  </conditionalFormatting>
  <conditionalFormatting sqref="M363">
    <cfRule type="containsBlanks" dxfId="247" priority="249">
      <formula>LEN(TRIM(M363))=0</formula>
    </cfRule>
  </conditionalFormatting>
  <conditionalFormatting sqref="M363">
    <cfRule type="containsBlanks" dxfId="246" priority="250">
      <formula>LEN(TRIM(M363))=0</formula>
    </cfRule>
  </conditionalFormatting>
  <conditionalFormatting sqref="M420">
    <cfRule type="containsBlanks" dxfId="245" priority="247">
      <formula>LEN(TRIM(M420))=0</formula>
    </cfRule>
  </conditionalFormatting>
  <conditionalFormatting sqref="M420">
    <cfRule type="containsBlanks" dxfId="244" priority="248">
      <formula>LEN(TRIM(M420))=0</formula>
    </cfRule>
  </conditionalFormatting>
  <conditionalFormatting sqref="M421:M423">
    <cfRule type="containsBlanks" dxfId="243" priority="245">
      <formula>LEN(TRIM(M421))=0</formula>
    </cfRule>
  </conditionalFormatting>
  <conditionalFormatting sqref="M509:M510">
    <cfRule type="containsBlanks" dxfId="242" priority="244">
      <formula>LEN(TRIM(M509))=0</formula>
    </cfRule>
  </conditionalFormatting>
  <conditionalFormatting sqref="M509:M510">
    <cfRule type="containsBlanks" dxfId="241" priority="243">
      <formula>LEN(TRIM(M509))=0</formula>
    </cfRule>
  </conditionalFormatting>
  <conditionalFormatting sqref="M519">
    <cfRule type="containsBlanks" dxfId="240" priority="242">
      <formula>LEN(TRIM(M519))=0</formula>
    </cfRule>
  </conditionalFormatting>
  <conditionalFormatting sqref="M522">
    <cfRule type="containsBlanks" dxfId="239" priority="241">
      <formula>LEN(TRIM(M522))=0</formula>
    </cfRule>
  </conditionalFormatting>
  <conditionalFormatting sqref="M526:M528">
    <cfRule type="containsBlanks" dxfId="238" priority="240">
      <formula>LEN(TRIM(M526))=0</formula>
    </cfRule>
  </conditionalFormatting>
  <conditionalFormatting sqref="M157">
    <cfRule type="containsBlanks" dxfId="237" priority="239">
      <formula>LEN(TRIM(M157))=0</formula>
    </cfRule>
  </conditionalFormatting>
  <conditionalFormatting sqref="M40">
    <cfRule type="containsBlanks" dxfId="236" priority="238">
      <formula>LEN(TRIM(M40))=0</formula>
    </cfRule>
  </conditionalFormatting>
  <conditionalFormatting sqref="M158">
    <cfRule type="containsBlanks" dxfId="235" priority="237">
      <formula>LEN(TRIM(M158))=0</formula>
    </cfRule>
  </conditionalFormatting>
  <conditionalFormatting sqref="M158">
    <cfRule type="containsBlanks" dxfId="234" priority="235">
      <formula>LEN(TRIM(M158))=0</formula>
    </cfRule>
  </conditionalFormatting>
  <conditionalFormatting sqref="M158">
    <cfRule type="containsBlanks" dxfId="233" priority="236">
      <formula>LEN(TRIM(M158))=0</formula>
    </cfRule>
  </conditionalFormatting>
  <conditionalFormatting sqref="M67">
    <cfRule type="containsBlanks" dxfId="232" priority="234">
      <formula>LEN(TRIM(M67))=0</formula>
    </cfRule>
  </conditionalFormatting>
  <conditionalFormatting sqref="M67">
    <cfRule type="containsBlanks" dxfId="231" priority="232">
      <formula>LEN(TRIM(M67))=0</formula>
    </cfRule>
  </conditionalFormatting>
  <conditionalFormatting sqref="M67">
    <cfRule type="containsBlanks" dxfId="230" priority="233">
      <formula>LEN(TRIM(M67))=0</formula>
    </cfRule>
  </conditionalFormatting>
  <conditionalFormatting sqref="M71">
    <cfRule type="containsBlanks" dxfId="229" priority="231">
      <formula>LEN(TRIM(M71))=0</formula>
    </cfRule>
  </conditionalFormatting>
  <conditionalFormatting sqref="M129:M131">
    <cfRule type="containsBlanks" dxfId="228" priority="230">
      <formula>LEN(TRIM(M129))=0</formula>
    </cfRule>
  </conditionalFormatting>
  <conditionalFormatting sqref="M139:M141">
    <cfRule type="containsBlanks" dxfId="227" priority="228">
      <formula>LEN(TRIM(M139))=0</formula>
    </cfRule>
  </conditionalFormatting>
  <conditionalFormatting sqref="M139:M141">
    <cfRule type="containsBlanks" dxfId="226" priority="229">
      <formula>LEN(TRIM(M139))=0</formula>
    </cfRule>
  </conditionalFormatting>
  <conditionalFormatting sqref="M139:M141">
    <cfRule type="containsBlanks" dxfId="225" priority="227">
      <formula>LEN(TRIM(M139))=0</formula>
    </cfRule>
  </conditionalFormatting>
  <conditionalFormatting sqref="M159:M160">
    <cfRule type="containsBlanks" dxfId="224" priority="226">
      <formula>LEN(TRIM(M159))=0</formula>
    </cfRule>
  </conditionalFormatting>
  <conditionalFormatting sqref="M159:M160">
    <cfRule type="containsBlanks" dxfId="223" priority="224">
      <formula>LEN(TRIM(M159))=0</formula>
    </cfRule>
  </conditionalFormatting>
  <conditionalFormatting sqref="M159:M160">
    <cfRule type="containsBlanks" dxfId="222" priority="225">
      <formula>LEN(TRIM(M159))=0</formula>
    </cfRule>
  </conditionalFormatting>
  <conditionalFormatting sqref="M268:M270">
    <cfRule type="containsBlanks" dxfId="221" priority="223">
      <formula>LEN(TRIM(M268))=0</formula>
    </cfRule>
  </conditionalFormatting>
  <conditionalFormatting sqref="M268:M270">
    <cfRule type="containsBlanks" dxfId="220" priority="221">
      <formula>LEN(TRIM(M268))=0</formula>
    </cfRule>
  </conditionalFormatting>
  <conditionalFormatting sqref="M268:M270">
    <cfRule type="containsBlanks" dxfId="219" priority="222">
      <formula>LEN(TRIM(M268))=0</formula>
    </cfRule>
  </conditionalFormatting>
  <conditionalFormatting sqref="M298:M299">
    <cfRule type="containsBlanks" dxfId="218" priority="220">
      <formula>LEN(TRIM(M298))=0</formula>
    </cfRule>
  </conditionalFormatting>
  <conditionalFormatting sqref="M306:M307">
    <cfRule type="containsBlanks" dxfId="217" priority="219">
      <formula>LEN(TRIM(M306))=0</formula>
    </cfRule>
  </conditionalFormatting>
  <conditionalFormatting sqref="M306:M307">
    <cfRule type="containsBlanks" dxfId="216" priority="217">
      <formula>LEN(TRIM(M306))=0</formula>
    </cfRule>
  </conditionalFormatting>
  <conditionalFormatting sqref="M306:M307">
    <cfRule type="containsBlanks" dxfId="215" priority="218">
      <formula>LEN(TRIM(M306))=0</formula>
    </cfRule>
  </conditionalFormatting>
  <conditionalFormatting sqref="M380">
    <cfRule type="containsBlanks" dxfId="214" priority="216">
      <formula>LEN(TRIM(M380))=0</formula>
    </cfRule>
  </conditionalFormatting>
  <conditionalFormatting sqref="M380">
    <cfRule type="containsBlanks" dxfId="213" priority="215">
      <formula>LEN(TRIM(M380))=0</formula>
    </cfRule>
  </conditionalFormatting>
  <conditionalFormatting sqref="M380">
    <cfRule type="containsBlanks" dxfId="212" priority="214">
      <formula>LEN(TRIM(M380))=0</formula>
    </cfRule>
  </conditionalFormatting>
  <conditionalFormatting sqref="M318">
    <cfRule type="containsBlanks" dxfId="211" priority="213">
      <formula>LEN(TRIM(M318))=0</formula>
    </cfRule>
  </conditionalFormatting>
  <conditionalFormatting sqref="M319">
    <cfRule type="containsBlanks" dxfId="210" priority="212">
      <formula>LEN(TRIM(M319))=0</formula>
    </cfRule>
  </conditionalFormatting>
  <conditionalFormatting sqref="M320:M329">
    <cfRule type="containsBlanks" dxfId="209" priority="211">
      <formula>LEN(TRIM(M320))=0</formula>
    </cfRule>
  </conditionalFormatting>
  <conditionalFormatting sqref="M436">
    <cfRule type="containsBlanks" dxfId="208" priority="210">
      <formula>LEN(TRIM(M436))=0</formula>
    </cfRule>
  </conditionalFormatting>
  <conditionalFormatting sqref="M436">
    <cfRule type="containsBlanks" dxfId="207" priority="209">
      <formula>LEN(TRIM(M436))=0</formula>
    </cfRule>
  </conditionalFormatting>
  <conditionalFormatting sqref="M436">
    <cfRule type="containsBlanks" dxfId="206" priority="208">
      <formula>LEN(TRIM(M436))=0</formula>
    </cfRule>
  </conditionalFormatting>
  <conditionalFormatting sqref="M350:M351">
    <cfRule type="containsBlanks" dxfId="205" priority="207">
      <formula>LEN(TRIM(M350))=0</formula>
    </cfRule>
  </conditionalFormatting>
  <conditionalFormatting sqref="M350:M351">
    <cfRule type="containsBlanks" dxfId="204" priority="206">
      <formula>LEN(TRIM(M350))=0</formula>
    </cfRule>
  </conditionalFormatting>
  <conditionalFormatting sqref="M350:M351">
    <cfRule type="containsBlanks" dxfId="203" priority="205">
      <formula>LEN(TRIM(M350))=0</formula>
    </cfRule>
  </conditionalFormatting>
  <conditionalFormatting sqref="M408:M412">
    <cfRule type="containsBlanks" dxfId="202" priority="204">
      <formula>LEN(TRIM(M408))=0</formula>
    </cfRule>
  </conditionalFormatting>
  <conditionalFormatting sqref="M414">
    <cfRule type="containsBlanks" dxfId="201" priority="203">
      <formula>LEN(TRIM(M414))=0</formula>
    </cfRule>
  </conditionalFormatting>
  <conditionalFormatting sqref="Q424:Q426">
    <cfRule type="containsBlanks" dxfId="200" priority="164">
      <formula>LEN(TRIM(Q424))=0</formula>
    </cfRule>
  </conditionalFormatting>
  <conditionalFormatting sqref="Q424:Q426">
    <cfRule type="containsBlanks" dxfId="199" priority="162">
      <formula>LEN(TRIM(Q424))=0</formula>
    </cfRule>
  </conditionalFormatting>
  <conditionalFormatting sqref="Q424:Q426">
    <cfRule type="containsBlanks" dxfId="198" priority="163">
      <formula>LEN(TRIM(Q424))=0</formula>
    </cfRule>
  </conditionalFormatting>
  <conditionalFormatting sqref="M437">
    <cfRule type="containsBlanks" dxfId="197" priority="202">
      <formula>LEN(TRIM(M437))=0</formula>
    </cfRule>
  </conditionalFormatting>
  <conditionalFormatting sqref="M437">
    <cfRule type="containsBlanks" dxfId="196" priority="200">
      <formula>LEN(TRIM(M437))=0</formula>
    </cfRule>
  </conditionalFormatting>
  <conditionalFormatting sqref="M437">
    <cfRule type="containsBlanks" dxfId="195" priority="201">
      <formula>LEN(TRIM(M437))=0</formula>
    </cfRule>
  </conditionalFormatting>
  <conditionalFormatting sqref="M557:M562">
    <cfRule type="containsBlanks" dxfId="194" priority="199">
      <formula>LEN(TRIM(M557))=0</formula>
    </cfRule>
  </conditionalFormatting>
  <conditionalFormatting sqref="M557">
    <cfRule type="containsBlanks" dxfId="193" priority="197">
      <formula>LEN(TRIM(M557))=0</formula>
    </cfRule>
  </conditionalFormatting>
  <conditionalFormatting sqref="M557">
    <cfRule type="containsBlanks" dxfId="192" priority="198">
      <formula>LEN(TRIM(M557))=0</formula>
    </cfRule>
  </conditionalFormatting>
  <conditionalFormatting sqref="M558:M562">
    <cfRule type="containsBlanks" dxfId="191" priority="195">
      <formula>LEN(TRIM(M558))=0</formula>
    </cfRule>
  </conditionalFormatting>
  <conditionalFormatting sqref="M558:M562">
    <cfRule type="containsBlanks" dxfId="190" priority="196">
      <formula>LEN(TRIM(M558))=0</formula>
    </cfRule>
  </conditionalFormatting>
  <conditionalFormatting sqref="M638">
    <cfRule type="containsBlanks" dxfId="189" priority="194">
      <formula>LEN(TRIM(M638))=0</formula>
    </cfRule>
  </conditionalFormatting>
  <conditionalFormatting sqref="M638">
    <cfRule type="containsBlanks" dxfId="188" priority="193">
      <formula>LEN(TRIM(M638))=0</formula>
    </cfRule>
  </conditionalFormatting>
  <conditionalFormatting sqref="M637">
    <cfRule type="containsBlanks" dxfId="187" priority="191">
      <formula>LEN(TRIM(M637))=0</formula>
    </cfRule>
  </conditionalFormatting>
  <conditionalFormatting sqref="M637">
    <cfRule type="containsBlanks" dxfId="186" priority="192">
      <formula>LEN(TRIM(M637))=0</formula>
    </cfRule>
  </conditionalFormatting>
  <conditionalFormatting sqref="M637">
    <cfRule type="containsBlanks" dxfId="185" priority="190">
      <formula>LEN(TRIM(M637))=0</formula>
    </cfRule>
  </conditionalFormatting>
  <conditionalFormatting sqref="M639">
    <cfRule type="containsBlanks" dxfId="184" priority="188">
      <formula>LEN(TRIM(M639))=0</formula>
    </cfRule>
  </conditionalFormatting>
  <conditionalFormatting sqref="M639">
    <cfRule type="containsBlanks" dxfId="183" priority="189">
      <formula>LEN(TRIM(M639))=0</formula>
    </cfRule>
  </conditionalFormatting>
  <conditionalFormatting sqref="M639">
    <cfRule type="containsBlanks" dxfId="182" priority="187">
      <formula>LEN(TRIM(M639))=0</formula>
    </cfRule>
  </conditionalFormatting>
  <conditionalFormatting sqref="O40:O41">
    <cfRule type="containsBlanks" dxfId="181" priority="186">
      <formula>LEN(TRIM(O40))=0</formula>
    </cfRule>
  </conditionalFormatting>
  <conditionalFormatting sqref="O40:O41">
    <cfRule type="containsBlanks" dxfId="180" priority="185">
      <formula>LEN(TRIM(O40))=0</formula>
    </cfRule>
  </conditionalFormatting>
  <conditionalFormatting sqref="O43">
    <cfRule type="containsBlanks" dxfId="179" priority="184">
      <formula>LEN(TRIM(O43))=0</formula>
    </cfRule>
  </conditionalFormatting>
  <conditionalFormatting sqref="O45:O46">
    <cfRule type="containsBlanks" dxfId="178" priority="183">
      <formula>LEN(TRIM(O45))=0</formula>
    </cfRule>
  </conditionalFormatting>
  <conditionalFormatting sqref="I413">
    <cfRule type="containsBlanks" dxfId="177" priority="182">
      <formula>LEN(TRIM(I413))=0</formula>
    </cfRule>
  </conditionalFormatting>
  <conditionalFormatting sqref="K413">
    <cfRule type="containsBlanks" dxfId="176" priority="181">
      <formula>LEN(TRIM(K413))=0</formula>
    </cfRule>
  </conditionalFormatting>
  <conditionalFormatting sqref="M413">
    <cfRule type="containsBlanks" dxfId="175" priority="180">
      <formula>LEN(TRIM(M413))=0</formula>
    </cfRule>
  </conditionalFormatting>
  <conditionalFormatting sqref="I443">
    <cfRule type="containsBlanks" dxfId="174" priority="179">
      <formula>LEN(TRIM(I443))=0</formula>
    </cfRule>
  </conditionalFormatting>
  <conditionalFormatting sqref="K443">
    <cfRule type="containsBlanks" dxfId="173" priority="178">
      <formula>LEN(TRIM(K443))=0</formula>
    </cfRule>
  </conditionalFormatting>
  <conditionalFormatting sqref="S43 S56:S57 S61 S67 S78 S123 S138 S158 S239 S606 S611 S72 S81 S83 S132:S133 S355:S356 S361 S413 S50:S51 S533:S535">
    <cfRule type="containsBlanks" dxfId="172" priority="176">
      <formula>LEN(TRIM(S43))=0</formula>
    </cfRule>
  </conditionalFormatting>
  <conditionalFormatting sqref="F424:F426">
    <cfRule type="containsBlanks" dxfId="171" priority="175">
      <formula>LEN(TRIM(F424))=0</formula>
    </cfRule>
  </conditionalFormatting>
  <conditionalFormatting sqref="F424:F426">
    <cfRule type="containsBlanks" dxfId="170" priority="174">
      <formula>LEN(TRIM(F424))=0</formula>
    </cfRule>
  </conditionalFormatting>
  <conditionalFormatting sqref="F424:F426">
    <cfRule type="containsBlanks" dxfId="169" priority="173">
      <formula>LEN(TRIM(F424))=0</formula>
    </cfRule>
  </conditionalFormatting>
  <conditionalFormatting sqref="G424:G426">
    <cfRule type="containsBlanks" dxfId="168" priority="172">
      <formula>LEN(TRIM(G424))=0</formula>
    </cfRule>
  </conditionalFormatting>
  <conditionalFormatting sqref="G424:G426">
    <cfRule type="containsBlanks" dxfId="167" priority="171">
      <formula>LEN(TRIM(G424))=0</formula>
    </cfRule>
  </conditionalFormatting>
  <conditionalFormatting sqref="G424:G426">
    <cfRule type="containsBlanks" dxfId="166" priority="170">
      <formula>LEN(TRIM(G424))=0</formula>
    </cfRule>
  </conditionalFormatting>
  <conditionalFormatting sqref="H424:H426">
    <cfRule type="containsBlanks" dxfId="165" priority="169">
      <formula>LEN(TRIM(H424))=0</formula>
    </cfRule>
  </conditionalFormatting>
  <conditionalFormatting sqref="I424:P426">
    <cfRule type="containsBlanks" dxfId="164" priority="168">
      <formula>LEN(TRIM(I424))=0</formula>
    </cfRule>
  </conditionalFormatting>
  <conditionalFormatting sqref="I424:P426">
    <cfRule type="containsBlanks" dxfId="163" priority="167">
      <formula>LEN(TRIM(I424))=0</formula>
    </cfRule>
  </conditionalFormatting>
  <conditionalFormatting sqref="I424:P426">
    <cfRule type="containsBlanks" dxfId="162" priority="166">
      <formula>LEN(TRIM(I424))=0</formula>
    </cfRule>
  </conditionalFormatting>
  <conditionalFormatting sqref="I424:P426">
    <cfRule type="containsBlanks" dxfId="161" priority="165">
      <formula>LEN(TRIM(I424))=0</formula>
    </cfRule>
  </conditionalFormatting>
  <conditionalFormatting sqref="R424:R426">
    <cfRule type="containsBlanks" dxfId="160" priority="161">
      <formula>LEN(TRIM(R424))=0</formula>
    </cfRule>
  </conditionalFormatting>
  <conditionalFormatting sqref="R424:R426">
    <cfRule type="containsBlanks" dxfId="159" priority="160">
      <formula>LEN(TRIM(R424))=0</formula>
    </cfRule>
  </conditionalFormatting>
  <conditionalFormatting sqref="R424:R426">
    <cfRule type="containsBlanks" dxfId="158" priority="159">
      <formula>LEN(TRIM(R424))=0</formula>
    </cfRule>
  </conditionalFormatting>
  <conditionalFormatting sqref="Q43:R43 Q138:R138 Q606:R606 Q611:R611 Q65:R65 Q145:R145 Q230:R230 Q233:R233 Q276:R276 Q310:R310 Q363:R363 Q537:R537 R539 Q577:R577 Q614:R614 Q306:R307 Q147:R148 Q40:R41 Q45:R51 Q55:R59 Q61:R63 Q67:R75 Q78:R89 Q92:R108 Q110:R133 Q150:R155 Q158:R177 Q222:R226 Q235:R242 Q279:R294 Q432:R433 Q436:R508 Q523:R525 Q529:R535 Q541:R544 Q547:R548 Q552:R559 Q560:S560 Q561:R564 Q637:R639 S529">
    <cfRule type="containsBlanks" dxfId="157" priority="158">
      <formula>LEN(TRIM(Q40))=0</formula>
    </cfRule>
  </conditionalFormatting>
  <conditionalFormatting sqref="Q139:R141">
    <cfRule type="containsBlanks" dxfId="156" priority="156">
      <formula>LEN(TRIM(Q139))=0</formula>
    </cfRule>
  </conditionalFormatting>
  <conditionalFormatting sqref="Q139:R141">
    <cfRule type="containsBlanks" dxfId="155" priority="157">
      <formula>LEN(TRIM(Q139))=0</formula>
    </cfRule>
  </conditionalFormatting>
  <conditionalFormatting sqref="Q139:R141">
    <cfRule type="containsBlanks" dxfId="154" priority="155">
      <formula>LEN(TRIM(Q139))=0</formula>
    </cfRule>
  </conditionalFormatting>
  <conditionalFormatting sqref="A70:C70">
    <cfRule type="containsBlanks" dxfId="153" priority="154">
      <formula>LEN(TRIM(A70))=0</formula>
    </cfRule>
  </conditionalFormatting>
  <conditionalFormatting sqref="A79:C79">
    <cfRule type="containsBlanks" dxfId="152" priority="153">
      <formula>LEN(TRIM(A79))=0</formula>
    </cfRule>
  </conditionalFormatting>
  <conditionalFormatting sqref="A88:C88">
    <cfRule type="containsBlanks" dxfId="151" priority="152">
      <formula>LEN(TRIM(A88))=0</formula>
    </cfRule>
  </conditionalFormatting>
  <conditionalFormatting sqref="C101">
    <cfRule type="containsBlanks" dxfId="150" priority="151">
      <formula>LEN(TRIM(C101))=0</formula>
    </cfRule>
  </conditionalFormatting>
  <conditionalFormatting sqref="C117">
    <cfRule type="containsBlanks" dxfId="149" priority="150">
      <formula>LEN(TRIM(C117))=0</formula>
    </cfRule>
  </conditionalFormatting>
  <conditionalFormatting sqref="C124:C127">
    <cfRule type="containsBlanks" dxfId="148" priority="149">
      <formula>LEN(TRIM(C124))=0</formula>
    </cfRule>
  </conditionalFormatting>
  <conditionalFormatting sqref="I539">
    <cfRule type="containsBlanks" dxfId="147" priority="148">
      <formula>LEN(TRIM(I539))=0</formula>
    </cfRule>
  </conditionalFormatting>
  <conditionalFormatting sqref="K539">
    <cfRule type="containsBlanks" dxfId="146" priority="147">
      <formula>LEN(TRIM(K539))=0</formula>
    </cfRule>
  </conditionalFormatting>
  <conditionalFormatting sqref="M539">
    <cfRule type="containsBlanks" dxfId="145" priority="146">
      <formula>LEN(TRIM(M539))=0</formula>
    </cfRule>
  </conditionalFormatting>
  <conditionalFormatting sqref="O539">
    <cfRule type="containsBlanks" dxfId="144" priority="145">
      <formula>LEN(TRIM(O539))=0</formula>
    </cfRule>
  </conditionalFormatting>
  <conditionalFormatting sqref="P71:P75 N71:N75 L71">
    <cfRule type="containsBlanks" dxfId="143" priority="144">
      <formula>LEN(TRIM(L71))=0</formula>
    </cfRule>
  </conditionalFormatting>
  <conditionalFormatting sqref="P129 N129 L129">
    <cfRule type="containsBlanks" dxfId="142" priority="143">
      <formula>LEN(TRIM(L129))=0</formula>
    </cfRule>
  </conditionalFormatting>
  <conditionalFormatting sqref="L148 N148 P148 L138 N138 P138">
    <cfRule type="containsBlanks" dxfId="141" priority="142">
      <formula>LEN(TRIM(L138))=0</formula>
    </cfRule>
  </conditionalFormatting>
  <conditionalFormatting sqref="P611">
    <cfRule type="containsBlanks" dxfId="140" priority="141">
      <formula>LEN(TRIM(P611))=0</formula>
    </cfRule>
  </conditionalFormatting>
  <conditionalFormatting sqref="P637:P639 P614 N637:N639 L637:L639">
    <cfRule type="containsBlanks" dxfId="139" priority="140">
      <formula>LEN(TRIM(L614))=0</formula>
    </cfRule>
  </conditionalFormatting>
  <conditionalFormatting sqref="N40 P40">
    <cfRule type="containsBlanks" dxfId="138" priority="139">
      <formula>LEN(TRIM(N40))=0</formula>
    </cfRule>
  </conditionalFormatting>
  <conditionalFormatting sqref="N436">
    <cfRule type="containsBlanks" dxfId="137" priority="138">
      <formula>LEN(TRIM(N436))=0</formula>
    </cfRule>
  </conditionalFormatting>
  <conditionalFormatting sqref="N437">
    <cfRule type="containsBlanks" dxfId="136" priority="137">
      <formula>LEN(TRIM(N437))=0</formula>
    </cfRule>
  </conditionalFormatting>
  <conditionalFormatting sqref="P436">
    <cfRule type="containsBlanks" dxfId="135" priority="136">
      <formula>LEN(TRIM(P436))=0</formula>
    </cfRule>
  </conditionalFormatting>
  <conditionalFormatting sqref="P437">
    <cfRule type="containsBlanks" dxfId="134" priority="135">
      <formula>LEN(TRIM(P437))=0</formula>
    </cfRule>
  </conditionalFormatting>
  <conditionalFormatting sqref="J621">
    <cfRule type="containsBlanks" dxfId="133" priority="134">
      <formula>LEN(TRIM(J621))=0</formula>
    </cfRule>
  </conditionalFormatting>
  <conditionalFormatting sqref="J621">
    <cfRule type="containsBlanks" dxfId="132" priority="133">
      <formula>LEN(TRIM(J621))=0</formula>
    </cfRule>
  </conditionalFormatting>
  <conditionalFormatting sqref="J63">
    <cfRule type="containsBlanks" dxfId="131" priority="132">
      <formula>LEN(TRIM(J63))=0</formula>
    </cfRule>
  </conditionalFormatting>
  <conditionalFormatting sqref="J63">
    <cfRule type="containsBlanks" dxfId="130" priority="131">
      <formula>LEN(TRIM(J63))=0</formula>
    </cfRule>
  </conditionalFormatting>
  <conditionalFormatting sqref="J71">
    <cfRule type="containsBlanks" dxfId="129" priority="130">
      <formula>LEN(TRIM(J71))=0</formula>
    </cfRule>
  </conditionalFormatting>
  <conditionalFormatting sqref="J71">
    <cfRule type="containsBlanks" dxfId="128" priority="129">
      <formula>LEN(TRIM(J71))=0</formula>
    </cfRule>
  </conditionalFormatting>
  <conditionalFormatting sqref="J71">
    <cfRule type="containsBlanks" dxfId="127" priority="128">
      <formula>LEN(TRIM(J71))=0</formula>
    </cfRule>
  </conditionalFormatting>
  <conditionalFormatting sqref="J71">
    <cfRule type="containsBlanks" dxfId="126" priority="127">
      <formula>LEN(TRIM(J71))=0</formula>
    </cfRule>
  </conditionalFormatting>
  <conditionalFormatting sqref="J71">
    <cfRule type="containsBlanks" dxfId="125" priority="126">
      <formula>LEN(TRIM(J71))=0</formula>
    </cfRule>
  </conditionalFormatting>
  <conditionalFormatting sqref="T529">
    <cfRule type="containsBlanks" dxfId="124" priority="125">
      <formula>LEN(TRIM(T529))=0</formula>
    </cfRule>
  </conditionalFormatting>
  <conditionalFormatting sqref="T537">
    <cfRule type="containsBlanks" dxfId="123" priority="124">
      <formula>LEN(TRIM(T537))=0</formula>
    </cfRule>
  </conditionalFormatting>
  <conditionalFormatting sqref="T539">
    <cfRule type="containsBlanks" dxfId="122" priority="123">
      <formula>LEN(TRIM(T539))=0</formula>
    </cfRule>
  </conditionalFormatting>
  <conditionalFormatting sqref="T539">
    <cfRule type="containsBlanks" dxfId="121" priority="122">
      <formula>LEN(TRIM(T539))=0</formula>
    </cfRule>
  </conditionalFormatting>
  <conditionalFormatting sqref="T580:T589">
    <cfRule type="containsBlanks" dxfId="120" priority="121">
      <formula>LEN(TRIM(T580))=0</formula>
    </cfRule>
  </conditionalFormatting>
  <conditionalFormatting sqref="T580">
    <cfRule type="containsBlanks" dxfId="119" priority="120">
      <formula>LEN(TRIM(T580))=0</formula>
    </cfRule>
  </conditionalFormatting>
  <conditionalFormatting sqref="T581:T582">
    <cfRule type="containsBlanks" dxfId="118" priority="119">
      <formula>LEN(TRIM(T581))=0</formula>
    </cfRule>
  </conditionalFormatting>
  <conditionalFormatting sqref="T306:T307">
    <cfRule type="containsBlanks" dxfId="117" priority="118">
      <formula>LEN(TRIM(T306))=0</formula>
    </cfRule>
  </conditionalFormatting>
  <conditionalFormatting sqref="T306:T307">
    <cfRule type="containsBlanks" dxfId="116" priority="117">
      <formula>LEN(TRIM(T306))=0</formula>
    </cfRule>
  </conditionalFormatting>
  <conditionalFormatting sqref="T306:T307">
    <cfRule type="containsBlanks" dxfId="115" priority="116">
      <formula>LEN(TRIM(T306))=0</formula>
    </cfRule>
  </conditionalFormatting>
  <conditionalFormatting sqref="T313">
    <cfRule type="containsBlanks" dxfId="114" priority="115">
      <formula>LEN(TRIM(T313))=0</formula>
    </cfRule>
  </conditionalFormatting>
  <conditionalFormatting sqref="T385">
    <cfRule type="containsBlanks" dxfId="113" priority="114">
      <formula>LEN(TRIM(T385))=0</formula>
    </cfRule>
  </conditionalFormatting>
  <conditionalFormatting sqref="T387">
    <cfRule type="containsBlanks" dxfId="112" priority="113">
      <formula>LEN(TRIM(T387))=0</formula>
    </cfRule>
  </conditionalFormatting>
  <conditionalFormatting sqref="T387">
    <cfRule type="containsBlanks" dxfId="111" priority="112">
      <formula>LEN(TRIM(T387))=0</formula>
    </cfRule>
  </conditionalFormatting>
  <conditionalFormatting sqref="T388">
    <cfRule type="containsBlanks" dxfId="110" priority="111">
      <formula>LEN(TRIM(T388))=0</formula>
    </cfRule>
  </conditionalFormatting>
  <conditionalFormatting sqref="T458 T460 T462:T497">
    <cfRule type="containsBlanks" dxfId="109" priority="110">
      <formula>LEN(TRIM(T458))=0</formula>
    </cfRule>
  </conditionalFormatting>
  <conditionalFormatting sqref="T507">
    <cfRule type="containsBlanks" dxfId="108" priority="109">
      <formula>LEN(TRIM(T507))=0</formula>
    </cfRule>
  </conditionalFormatting>
  <conditionalFormatting sqref="T498">
    <cfRule type="containsBlanks" dxfId="107" priority="108">
      <formula>LEN(TRIM(T498))=0</formula>
    </cfRule>
  </conditionalFormatting>
  <conditionalFormatting sqref="T43">
    <cfRule type="containsBlanks" dxfId="106" priority="107">
      <formula>LEN(TRIM(T43))=0</formula>
    </cfRule>
  </conditionalFormatting>
  <conditionalFormatting sqref="T43">
    <cfRule type="containsBlanks" dxfId="105" priority="106">
      <formula>LEN(TRIM(T43))=0</formula>
    </cfRule>
  </conditionalFormatting>
  <conditionalFormatting sqref="T45:T50">
    <cfRule type="containsBlanks" dxfId="104" priority="105">
      <formula>LEN(TRIM(T45))=0</formula>
    </cfRule>
  </conditionalFormatting>
  <conditionalFormatting sqref="T45">
    <cfRule type="containsBlanks" dxfId="103" priority="104">
      <formula>LEN(TRIM(T45))=0</formula>
    </cfRule>
  </conditionalFormatting>
  <conditionalFormatting sqref="T46:T47">
    <cfRule type="containsBlanks" dxfId="102" priority="103">
      <formula>LEN(TRIM(T46))=0</formula>
    </cfRule>
  </conditionalFormatting>
  <conditionalFormatting sqref="T48:T49">
    <cfRule type="containsBlanks" dxfId="101" priority="102">
      <formula>LEN(TRIM(T48))=0</formula>
    </cfRule>
  </conditionalFormatting>
  <conditionalFormatting sqref="T49">
    <cfRule type="containsBlanks" dxfId="100" priority="101">
      <formula>LEN(TRIM(T49))=0</formula>
    </cfRule>
  </conditionalFormatting>
  <conditionalFormatting sqref="T46">
    <cfRule type="containsBlanks" dxfId="99" priority="100">
      <formula>LEN(TRIM(T46))=0</formula>
    </cfRule>
  </conditionalFormatting>
  <conditionalFormatting sqref="T51">
    <cfRule type="containsBlanks" dxfId="98" priority="99">
      <formula>LEN(TRIM(T51))=0</formula>
    </cfRule>
  </conditionalFormatting>
  <conditionalFormatting sqref="T61:T63">
    <cfRule type="containsBlanks" dxfId="97" priority="98">
      <formula>LEN(TRIM(T61))=0</formula>
    </cfRule>
  </conditionalFormatting>
  <conditionalFormatting sqref="T61:T62">
    <cfRule type="containsBlanks" dxfId="96" priority="97">
      <formula>LEN(TRIM(T61))=0</formula>
    </cfRule>
  </conditionalFormatting>
  <conditionalFormatting sqref="T61:T63">
    <cfRule type="containsBlanks" dxfId="95" priority="96">
      <formula>LEN(TRIM(T61))=0</formula>
    </cfRule>
  </conditionalFormatting>
  <conditionalFormatting sqref="T61">
    <cfRule type="containsBlanks" dxfId="94" priority="95">
      <formula>LEN(TRIM(T61))=0</formula>
    </cfRule>
  </conditionalFormatting>
  <conditionalFormatting sqref="T61">
    <cfRule type="containsBlanks" dxfId="93" priority="94">
      <formula>LEN(TRIM(T61))=0</formula>
    </cfRule>
  </conditionalFormatting>
  <conditionalFormatting sqref="T71">
    <cfRule type="containsBlanks" dxfId="92" priority="93">
      <formula>LEN(TRIM(T71))=0</formula>
    </cfRule>
  </conditionalFormatting>
  <conditionalFormatting sqref="T72">
    <cfRule type="containsBlanks" dxfId="91" priority="92">
      <formula>LEN(TRIM(T72))=0</formula>
    </cfRule>
  </conditionalFormatting>
  <conditionalFormatting sqref="T72">
    <cfRule type="containsBlanks" dxfId="90" priority="91">
      <formula>LEN(TRIM(T72))=0</formula>
    </cfRule>
  </conditionalFormatting>
  <conditionalFormatting sqref="T72">
    <cfRule type="containsBlanks" dxfId="89" priority="90">
      <formula>LEN(TRIM(T72))=0</formula>
    </cfRule>
  </conditionalFormatting>
  <conditionalFormatting sqref="T72">
    <cfRule type="containsBlanks" dxfId="88" priority="89">
      <formula>LEN(TRIM(T72))=0</formula>
    </cfRule>
  </conditionalFormatting>
  <conditionalFormatting sqref="T72">
    <cfRule type="containsBlanks" dxfId="87" priority="88">
      <formula>LEN(TRIM(T72))=0</formula>
    </cfRule>
  </conditionalFormatting>
  <conditionalFormatting sqref="T73:T75">
    <cfRule type="containsBlanks" dxfId="86" priority="87">
      <formula>LEN(TRIM(T73))=0</formula>
    </cfRule>
  </conditionalFormatting>
  <conditionalFormatting sqref="T73:T75">
    <cfRule type="containsBlanks" dxfId="85" priority="86">
      <formula>LEN(TRIM(T73))=0</formula>
    </cfRule>
  </conditionalFormatting>
  <conditionalFormatting sqref="T73:T75">
    <cfRule type="containsBlanks" dxfId="84" priority="85">
      <formula>LEN(TRIM(T73))=0</formula>
    </cfRule>
  </conditionalFormatting>
  <conditionalFormatting sqref="T92:T108">
    <cfRule type="containsBlanks" dxfId="83" priority="84">
      <formula>LEN(TRIM(T92))=0</formula>
    </cfRule>
  </conditionalFormatting>
  <conditionalFormatting sqref="T102:T103">
    <cfRule type="containsBlanks" dxfId="82" priority="83">
      <formula>LEN(TRIM(T102))=0</formula>
    </cfRule>
  </conditionalFormatting>
  <conditionalFormatting sqref="T104">
    <cfRule type="containsBlanks" dxfId="81" priority="82">
      <formula>LEN(TRIM(T104))=0</formula>
    </cfRule>
  </conditionalFormatting>
  <conditionalFormatting sqref="T107:T108">
    <cfRule type="containsBlanks" dxfId="80" priority="81">
      <formula>LEN(TRIM(T107))=0</formula>
    </cfRule>
  </conditionalFormatting>
  <conditionalFormatting sqref="T107:T108">
    <cfRule type="containsBlanks" dxfId="79" priority="80">
      <formula>LEN(TRIM(T107))=0</formula>
    </cfRule>
  </conditionalFormatting>
  <conditionalFormatting sqref="T96">
    <cfRule type="containsBlanks" dxfId="78" priority="79">
      <formula>LEN(TRIM(T96))=0</formula>
    </cfRule>
  </conditionalFormatting>
  <conditionalFormatting sqref="T102">
    <cfRule type="containsBlanks" dxfId="77" priority="78">
      <formula>LEN(TRIM(T102))=0</formula>
    </cfRule>
  </conditionalFormatting>
  <conditionalFormatting sqref="T127:T128">
    <cfRule type="containsBlanks" dxfId="76" priority="77">
      <formula>LEN(TRIM(T127))=0</formula>
    </cfRule>
  </conditionalFormatting>
  <conditionalFormatting sqref="T129">
    <cfRule type="containsBlanks" dxfId="75" priority="76">
      <formula>LEN(TRIM(T129))=0</formula>
    </cfRule>
  </conditionalFormatting>
  <conditionalFormatting sqref="T127">
    <cfRule type="containsBlanks" dxfId="74" priority="75">
      <formula>LEN(TRIM(T127))=0</formula>
    </cfRule>
  </conditionalFormatting>
  <conditionalFormatting sqref="T127">
    <cfRule type="containsBlanks" dxfId="73" priority="74">
      <formula>LEN(TRIM(T127))=0</formula>
    </cfRule>
  </conditionalFormatting>
  <conditionalFormatting sqref="T132:T133">
    <cfRule type="containsBlanks" dxfId="72" priority="73">
      <formula>LEN(TRIM(T132))=0</formula>
    </cfRule>
  </conditionalFormatting>
  <conditionalFormatting sqref="T133">
    <cfRule type="containsBlanks" dxfId="71" priority="72">
      <formula>LEN(TRIM(T133))=0</formula>
    </cfRule>
  </conditionalFormatting>
  <conditionalFormatting sqref="T148">
    <cfRule type="containsBlanks" dxfId="70" priority="71">
      <formula>LEN(TRIM(T148))=0</formula>
    </cfRule>
  </conditionalFormatting>
  <conditionalFormatting sqref="T148">
    <cfRule type="containsBlanks" dxfId="69" priority="70">
      <formula>LEN(TRIM(T148))=0</formula>
    </cfRule>
  </conditionalFormatting>
  <conditionalFormatting sqref="T148">
    <cfRule type="containsBlanks" dxfId="68" priority="69">
      <formula>LEN(TRIM(T148))=0</formula>
    </cfRule>
  </conditionalFormatting>
  <conditionalFormatting sqref="T147">
    <cfRule type="containsBlanks" dxfId="67" priority="68">
      <formula>LEN(TRIM(T147))=0</formula>
    </cfRule>
  </conditionalFormatting>
  <conditionalFormatting sqref="T147">
    <cfRule type="containsBlanks" dxfId="66" priority="67">
      <formula>LEN(TRIM(T147))=0</formula>
    </cfRule>
  </conditionalFormatting>
  <conditionalFormatting sqref="T147">
    <cfRule type="containsBlanks" dxfId="65" priority="66">
      <formula>LEN(TRIM(T147))=0</formula>
    </cfRule>
  </conditionalFormatting>
  <conditionalFormatting sqref="T606">
    <cfRule type="containsBlanks" dxfId="64" priority="65">
      <formula>LEN(TRIM(T606))=0</formula>
    </cfRule>
  </conditionalFormatting>
  <conditionalFormatting sqref="T606">
    <cfRule type="containsBlanks" dxfId="63" priority="64">
      <formula>LEN(TRIM(T606))=0</formula>
    </cfRule>
  </conditionalFormatting>
  <conditionalFormatting sqref="T611">
    <cfRule type="containsBlanks" dxfId="62" priority="63">
      <formula>LEN(TRIM(T611))=0</formula>
    </cfRule>
  </conditionalFormatting>
  <conditionalFormatting sqref="T611">
    <cfRule type="containsBlanks" dxfId="61" priority="62">
      <formula>LEN(TRIM(T611))=0</formula>
    </cfRule>
  </conditionalFormatting>
  <conditionalFormatting sqref="T614">
    <cfRule type="containsBlanks" dxfId="60" priority="61">
      <formula>LEN(TRIM(T614))=0</formula>
    </cfRule>
  </conditionalFormatting>
  <conditionalFormatting sqref="T614">
    <cfRule type="containsBlanks" dxfId="59" priority="60">
      <formula>LEN(TRIM(T614))=0</formula>
    </cfRule>
  </conditionalFormatting>
  <conditionalFormatting sqref="T621">
    <cfRule type="containsBlanks" dxfId="58" priority="59">
      <formula>LEN(TRIM(T621))=0</formula>
    </cfRule>
  </conditionalFormatting>
  <conditionalFormatting sqref="T196:T197">
    <cfRule type="containsBlanks" dxfId="57" priority="58">
      <formula>LEN(TRIM(T196))=0</formula>
    </cfRule>
  </conditionalFormatting>
  <conditionalFormatting sqref="A16:T19">
    <cfRule type="containsBlanks" dxfId="56" priority="57">
      <formula>LEN(TRIM(A16))=0</formula>
    </cfRule>
  </conditionalFormatting>
  <conditionalFormatting sqref="T447">
    <cfRule type="containsBlanks" dxfId="55" priority="56">
      <formula>LEN(TRIM(T447))=0</formula>
    </cfRule>
  </conditionalFormatting>
  <conditionalFormatting sqref="T447">
    <cfRule type="containsBlanks" dxfId="54" priority="55">
      <formula>LEN(TRIM(T447))=0</formula>
    </cfRule>
  </conditionalFormatting>
  <conditionalFormatting sqref="T449">
    <cfRule type="containsBlanks" dxfId="53" priority="54">
      <formula>LEN(TRIM(T449))=0</formula>
    </cfRule>
  </conditionalFormatting>
  <conditionalFormatting sqref="T449">
    <cfRule type="containsBlanks" dxfId="52" priority="53">
      <formula>LEN(TRIM(T449))=0</formula>
    </cfRule>
  </conditionalFormatting>
  <conditionalFormatting sqref="T450">
    <cfRule type="containsBlanks" dxfId="51" priority="52">
      <formula>LEN(TRIM(T450))=0</formula>
    </cfRule>
  </conditionalFormatting>
  <conditionalFormatting sqref="T450">
    <cfRule type="containsBlanks" dxfId="50" priority="51">
      <formula>LEN(TRIM(T450))=0</formula>
    </cfRule>
  </conditionalFormatting>
  <conditionalFormatting sqref="T452">
    <cfRule type="containsBlanks" dxfId="49" priority="50">
      <formula>LEN(TRIM(T452))=0</formula>
    </cfRule>
  </conditionalFormatting>
  <conditionalFormatting sqref="T452">
    <cfRule type="containsBlanks" dxfId="48" priority="49">
      <formula>LEN(TRIM(T452))=0</formula>
    </cfRule>
  </conditionalFormatting>
  <conditionalFormatting sqref="T451">
    <cfRule type="containsBlanks" dxfId="47" priority="48">
      <formula>LEN(TRIM(T451))=0</formula>
    </cfRule>
  </conditionalFormatting>
  <conditionalFormatting sqref="T451">
    <cfRule type="containsBlanks" dxfId="46" priority="47">
      <formula>LEN(TRIM(T451))=0</formula>
    </cfRule>
  </conditionalFormatting>
  <conditionalFormatting sqref="T459">
    <cfRule type="containsBlanks" dxfId="45" priority="46">
      <formula>LEN(TRIM(T459))=0</formula>
    </cfRule>
  </conditionalFormatting>
  <conditionalFormatting sqref="T459">
    <cfRule type="containsBlanks" dxfId="44" priority="45">
      <formula>LEN(TRIM(T459))=0</formula>
    </cfRule>
  </conditionalFormatting>
  <conditionalFormatting sqref="T461">
    <cfRule type="containsBlanks" dxfId="43" priority="44">
      <formula>LEN(TRIM(T461))=0</formula>
    </cfRule>
  </conditionalFormatting>
  <conditionalFormatting sqref="T461">
    <cfRule type="containsBlanks" dxfId="42" priority="43">
      <formula>LEN(TRIM(T461))=0</formula>
    </cfRule>
  </conditionalFormatting>
  <conditionalFormatting sqref="T322">
    <cfRule type="containsBlanks" dxfId="41" priority="42">
      <formula>LEN(TRIM(T322))=0</formula>
    </cfRule>
  </conditionalFormatting>
  <conditionalFormatting sqref="T322">
    <cfRule type="containsBlanks" dxfId="40" priority="41">
      <formula>LEN(TRIM(T322))=0</formula>
    </cfRule>
  </conditionalFormatting>
  <conditionalFormatting sqref="T322">
    <cfRule type="containsBlanks" dxfId="39" priority="40">
      <formula>LEN(TRIM(T322))=0</formula>
    </cfRule>
  </conditionalFormatting>
  <conditionalFormatting sqref="T323">
    <cfRule type="containsBlanks" dxfId="38" priority="39">
      <formula>LEN(TRIM(T323))=0</formula>
    </cfRule>
  </conditionalFormatting>
  <conditionalFormatting sqref="T323">
    <cfRule type="containsBlanks" dxfId="37" priority="38">
      <formula>LEN(TRIM(T323))=0</formula>
    </cfRule>
  </conditionalFormatting>
  <conditionalFormatting sqref="T323">
    <cfRule type="containsBlanks" dxfId="36" priority="37">
      <formula>LEN(TRIM(T323))=0</formula>
    </cfRule>
  </conditionalFormatting>
  <conditionalFormatting sqref="T324">
    <cfRule type="containsBlanks" dxfId="35" priority="36">
      <formula>LEN(TRIM(T324))=0</formula>
    </cfRule>
  </conditionalFormatting>
  <conditionalFormatting sqref="T324">
    <cfRule type="containsBlanks" dxfId="34" priority="35">
      <formula>LEN(TRIM(T324))=0</formula>
    </cfRule>
  </conditionalFormatting>
  <conditionalFormatting sqref="T324">
    <cfRule type="containsBlanks" dxfId="33" priority="34">
      <formula>LEN(TRIM(T324))=0</formula>
    </cfRule>
  </conditionalFormatting>
  <conditionalFormatting sqref="T325">
    <cfRule type="containsBlanks" dxfId="32" priority="33">
      <formula>LEN(TRIM(T325))=0</formula>
    </cfRule>
  </conditionalFormatting>
  <conditionalFormatting sqref="T325">
    <cfRule type="containsBlanks" dxfId="31" priority="32">
      <formula>LEN(TRIM(T325))=0</formula>
    </cfRule>
  </conditionalFormatting>
  <conditionalFormatting sqref="T325">
    <cfRule type="containsBlanks" dxfId="30" priority="31">
      <formula>LEN(TRIM(T325))=0</formula>
    </cfRule>
  </conditionalFormatting>
  <conditionalFormatting sqref="T326">
    <cfRule type="containsBlanks" dxfId="29" priority="30">
      <formula>LEN(TRIM(T326))=0</formula>
    </cfRule>
  </conditionalFormatting>
  <conditionalFormatting sqref="T326">
    <cfRule type="containsBlanks" dxfId="28" priority="29">
      <formula>LEN(TRIM(T326))=0</formula>
    </cfRule>
  </conditionalFormatting>
  <conditionalFormatting sqref="T326">
    <cfRule type="containsBlanks" dxfId="27" priority="28">
      <formula>LEN(TRIM(T326))=0</formula>
    </cfRule>
  </conditionalFormatting>
  <conditionalFormatting sqref="T327">
    <cfRule type="containsBlanks" dxfId="26" priority="27">
      <formula>LEN(TRIM(T327))=0</formula>
    </cfRule>
  </conditionalFormatting>
  <conditionalFormatting sqref="T327">
    <cfRule type="containsBlanks" dxfId="25" priority="26">
      <formula>LEN(TRIM(T327))=0</formula>
    </cfRule>
  </conditionalFormatting>
  <conditionalFormatting sqref="T327">
    <cfRule type="containsBlanks" dxfId="24" priority="25">
      <formula>LEN(TRIM(T327))=0</formula>
    </cfRule>
  </conditionalFormatting>
  <conditionalFormatting sqref="T328">
    <cfRule type="containsBlanks" dxfId="23" priority="24">
      <formula>LEN(TRIM(T328))=0</formula>
    </cfRule>
  </conditionalFormatting>
  <conditionalFormatting sqref="T328">
    <cfRule type="containsBlanks" dxfId="22" priority="23">
      <formula>LEN(TRIM(T328))=0</formula>
    </cfRule>
  </conditionalFormatting>
  <conditionalFormatting sqref="T328">
    <cfRule type="containsBlanks" dxfId="21" priority="22">
      <formula>LEN(TRIM(T328))=0</formula>
    </cfRule>
  </conditionalFormatting>
  <conditionalFormatting sqref="T379">
    <cfRule type="containsBlanks" dxfId="20" priority="21">
      <formula>LEN(TRIM(T379))=0</formula>
    </cfRule>
  </conditionalFormatting>
  <conditionalFormatting sqref="T379">
    <cfRule type="containsBlanks" dxfId="19" priority="20">
      <formula>LEN(TRIM(T379))=0</formula>
    </cfRule>
  </conditionalFormatting>
  <conditionalFormatting sqref="T379">
    <cfRule type="containsBlanks" dxfId="18" priority="19">
      <formula>LEN(TRIM(T379))=0</formula>
    </cfRule>
  </conditionalFormatting>
  <conditionalFormatting sqref="T65">
    <cfRule type="containsBlanks" dxfId="17" priority="18">
      <formula>LEN(TRIM(T65))=0</formula>
    </cfRule>
  </conditionalFormatting>
  <conditionalFormatting sqref="T189">
    <cfRule type="containsBlanks" dxfId="16" priority="17">
      <formula>LEN(TRIM(T189))=0</formula>
    </cfRule>
  </conditionalFormatting>
  <conditionalFormatting sqref="T366">
    <cfRule type="containsBlanks" dxfId="15" priority="16">
      <formula>LEN(TRIM(T366))=0</formula>
    </cfRule>
  </conditionalFormatting>
  <conditionalFormatting sqref="T372">
    <cfRule type="containsBlanks" dxfId="14" priority="15">
      <formula>LEN(TRIM(T372))=0</formula>
    </cfRule>
  </conditionalFormatting>
  <conditionalFormatting sqref="T310">
    <cfRule type="containsBlanks" dxfId="13" priority="14">
      <formula>LEN(TRIM(T310))=0</formula>
    </cfRule>
  </conditionalFormatting>
  <conditionalFormatting sqref="T310">
    <cfRule type="containsBlanks" dxfId="12" priority="13">
      <formula>LEN(TRIM(T310))=0</formula>
    </cfRule>
  </conditionalFormatting>
  <conditionalFormatting sqref="T339">
    <cfRule type="containsBlanks" dxfId="11" priority="12">
      <formula>LEN(TRIM(T339))=0</formula>
    </cfRule>
  </conditionalFormatting>
  <conditionalFormatting sqref="T339">
    <cfRule type="containsBlanks" dxfId="10" priority="11">
      <formula>LEN(TRIM(T339))=0</formula>
    </cfRule>
  </conditionalFormatting>
  <conditionalFormatting sqref="T401">
    <cfRule type="containsBlanks" dxfId="9" priority="10">
      <formula>LEN(TRIM(T401))=0</formula>
    </cfRule>
  </conditionalFormatting>
  <conditionalFormatting sqref="T405">
    <cfRule type="containsBlanks" dxfId="8" priority="9">
      <formula>LEN(TRIM(T405))=0</formula>
    </cfRule>
  </conditionalFormatting>
  <conditionalFormatting sqref="T437">
    <cfRule type="containsBlanks" dxfId="7" priority="8">
      <formula>LEN(TRIM(T437))=0</formula>
    </cfRule>
  </conditionalFormatting>
  <conditionalFormatting sqref="T438">
    <cfRule type="containsBlanks" dxfId="6" priority="7">
      <formula>LEN(TRIM(T438))=0</formula>
    </cfRule>
  </conditionalFormatting>
  <conditionalFormatting sqref="T439">
    <cfRule type="containsBlanks" dxfId="5" priority="6">
      <formula>LEN(TRIM(T439))=0</formula>
    </cfRule>
  </conditionalFormatting>
  <conditionalFormatting sqref="T441">
    <cfRule type="containsBlanks" dxfId="4" priority="5">
      <formula>LEN(TRIM(T441))=0</formula>
    </cfRule>
  </conditionalFormatting>
  <conditionalFormatting sqref="T448">
    <cfRule type="containsBlanks" dxfId="3" priority="4">
      <formula>LEN(TRIM(T448))=0</formula>
    </cfRule>
  </conditionalFormatting>
  <conditionalFormatting sqref="T202">
    <cfRule type="containsBlanks" dxfId="2" priority="3">
      <formula>LEN(TRIM(T202))=0</formula>
    </cfRule>
  </conditionalFormatting>
  <conditionalFormatting sqref="T563">
    <cfRule type="containsBlanks" dxfId="1" priority="2">
      <formula>LEN(TRIM(T563))=0</formula>
    </cfRule>
  </conditionalFormatting>
  <conditionalFormatting sqref="T563">
    <cfRule type="containsBlanks" dxfId="0" priority="1">
      <formula>LEN(TRIM(T563))=0</formula>
    </cfRule>
  </conditionalFormatting>
  <printOptions horizontalCentered="1"/>
  <pageMargins left="0.35433070866141736" right="0.19685039370078741" top="0.78740157480314965" bottom="0.78740157480314965" header="0.51181102362204722" footer="0.51181102362204722"/>
  <pageSetup paperSize="9" scale="31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 Тамара Константиновна</dc:creator>
  <cp:lastModifiedBy>Ли Тамара Константиновна</cp:lastModifiedBy>
  <dcterms:created xsi:type="dcterms:W3CDTF">2020-11-13T11:08:42Z</dcterms:created>
  <dcterms:modified xsi:type="dcterms:W3CDTF">2020-11-13T11:21:43Z</dcterms:modified>
</cp:coreProperties>
</file>