
<file path=[Content_Types].xml><?xml version="1.0" encoding="utf-8"?>
<Types xmlns="http://schemas.openxmlformats.org/package/2006/content-types">
  <Default Extension="vml" ContentType="application/vnd.openxmlformats-officedocument.vmlDrawing"/>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docProps/custom.xml" ContentType="application/vnd.openxmlformats-officedocument.custom-properties+xml"/>
  <Override PartName="/xl/worksheets/sheet29.xml" ContentType="application/vnd.openxmlformats-officedocument.spreadsheetml.worksheet+xml"/>
  <Override PartName="/xl/worksheets/sheet71.xml" ContentType="application/vnd.openxmlformats-officedocument.spreadsheetml.worksheet+xml"/>
  <Override PartName="/xl/worksheets/sheet11.xml" ContentType="application/vnd.openxmlformats-officedocument.spreadsheetml.worksheet+xml"/>
  <Override PartName="/xl/worksheets/sheet3.xml" ContentType="application/vnd.openxmlformats-officedocument.spreadsheetml.worksheet+xml"/>
  <Override PartName="/xl/persons/person.xml" ContentType="application/vnd.ms-excel.person+xml"/>
  <Override PartName="/xl/worksheets/sheet76.xml" ContentType="application/vnd.openxmlformats-officedocument.spreadsheetml.worksheet+xml"/>
  <Override PartName="/xl/worksheets/sheet13.xml" ContentType="application/vnd.openxmlformats-officedocument.spreadsheetml.worksheet+xml"/>
  <Override PartName="/xl/worksheets/sheet45.xml" ContentType="application/vnd.openxmlformats-officedocument.spreadsheetml.worksheet+xml"/>
  <Override PartName="/xl/worksheets/sheet36.xml" ContentType="application/vnd.openxmlformats-officedocument.spreadsheetml.worksheet+xml"/>
  <Override PartName="/xl/worksheets/sheet6.xml" ContentType="application/vnd.openxmlformats-officedocument.spreadsheetml.worksheet+xml"/>
  <Override PartName="/xl/worksheets/sheet30.xml" ContentType="application/vnd.openxmlformats-officedocument.spreadsheetml.worksheet+xml"/>
  <Override PartName="/xl/worksheets/sheet7.xml" ContentType="application/vnd.openxmlformats-officedocument.spreadsheetml.worksheet+xml"/>
  <Override PartName="/xl/worksheets/sheet5.xml" ContentType="application/vnd.openxmlformats-officedocument.spreadsheetml.worksheet+xml"/>
  <Override PartName="/xl/worksheets/sheet25.xml" ContentType="application/vnd.openxmlformats-officedocument.spreadsheetml.worksheet+xml"/>
  <Override PartName="/xl/worksheets/sheet14.xml" ContentType="application/vnd.openxmlformats-officedocument.spreadsheetml.worksheet+xml"/>
  <Override PartName="/xl/worksheets/sheet9.xml" ContentType="application/vnd.openxmlformats-officedocument.spreadsheetml.worksheet+xml"/>
  <Override PartName="/xl/worksheets/sheet52.xml" ContentType="application/vnd.openxmlformats-officedocument.spreadsheetml.worksheet+xml"/>
  <Override PartName="/xl/worksheets/sheet16.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1.xml" ContentType="application/vnd.openxmlformats-officedocument.spreadsheetml.worksheet+xml"/>
  <Override PartName="/xl/worksheets/sheet75.xml" ContentType="application/vnd.openxmlformats-officedocument.spreadsheetml.worksheet+xml"/>
  <Override PartName="/xl/worksheets/sheet60.xml" ContentType="application/vnd.openxmlformats-officedocument.spreadsheetml.worksheet+xml"/>
  <Override PartName="/xl/worksheets/sheet51.xml" ContentType="application/vnd.openxmlformats-officedocument.spreadsheetml.worksheet+xml"/>
  <Override PartName="/xl/worksheets/sheet32.xml" ContentType="application/vnd.openxmlformats-officedocument.spreadsheetml.worksheet+xml"/>
  <Override PartName="/xl/worksheets/sheet72.xml" ContentType="application/vnd.openxmlformats-officedocument.spreadsheetml.worksheet+xml"/>
  <Override PartName="/xl/worksheets/sheet33.xml" ContentType="application/vnd.openxmlformats-officedocument.spreadsheetml.worksheet+xml"/>
  <Override PartName="/xl/threadedComments/threadedComment2.xml" ContentType="application/vnd.ms-excel.threadedcomments+xml"/>
  <Override PartName="/xl/worksheets/sheet34.xml" ContentType="application/vnd.openxmlformats-officedocument.spreadsheetml.worksheet+xml"/>
  <Override PartName="/xl/worksheets/sheet57.xml" ContentType="application/vnd.openxmlformats-officedocument.spreadsheetml.worksheet+xml"/>
  <Override PartName="/xl/worksheets/sheet35.xml" ContentType="application/vnd.openxmlformats-officedocument.spreadsheetml.worksheet+xml"/>
  <Override PartName="/xl/worksheets/sheet10.xml" ContentType="application/vnd.openxmlformats-officedocument.spreadsheetml.worksheet+xml"/>
  <Override PartName="/xl/worksheets/sheet40.xml" ContentType="application/vnd.openxmlformats-officedocument.spreadsheetml.worksheet+xml"/>
  <Override PartName="/xl/worksheets/sheet79.xml" ContentType="application/vnd.openxmlformats-officedocument.spreadsheetml.worksheet+xml"/>
  <Override PartName="/xl/worksheets/sheet18.xml" ContentType="application/vnd.openxmlformats-officedocument.spreadsheetml.worksheet+xml"/>
  <Override PartName="/xl/worksheets/sheet39.xml" ContentType="application/vnd.openxmlformats-officedocument.spreadsheetml.worksheet+xml"/>
  <Override PartName="/xl/worksheets/sheet19.xml" ContentType="application/vnd.openxmlformats-officedocument.spreadsheetml.worksheet+xml"/>
  <Override PartName="/xl/worksheets/sheet61.xml" ContentType="application/vnd.openxmlformats-officedocument.spreadsheetml.worksheet+xml"/>
  <Override PartName="/xl/worksheets/sheet8.xml" ContentType="application/vnd.openxmlformats-officedocument.spreadsheetml.worksheet+xml"/>
  <Override PartName="/xl/worksheets/sheet41.xml" ContentType="application/vnd.openxmlformats-officedocument.spreadsheetml.worksheet+xml"/>
  <Override PartName="/xl/worksheets/sheet49.xml" ContentType="application/vnd.openxmlformats-officedocument.spreadsheetml.worksheet+xml"/>
  <Override PartName="/xl/worksheets/sheet69.xml" ContentType="application/vnd.openxmlformats-officedocument.spreadsheetml.worksheet+xml"/>
  <Override PartName="/xl/worksheets/sheet28.xml" ContentType="application/vnd.openxmlformats-officedocument.spreadsheetml.worksheet+xml"/>
  <Override PartName="/xl/worksheets/sheet73.xml" ContentType="application/vnd.openxmlformats-officedocument.spreadsheetml.worksheet+xml"/>
  <Override PartName="/xl/worksheets/sheet85.xml" ContentType="application/vnd.openxmlformats-officedocument.spreadsheetml.worksheet+xml"/>
  <Override PartName="/xl/worksheets/sheet43.xml" ContentType="application/vnd.openxmlformats-officedocument.spreadsheetml.worksheet+xml"/>
  <Override PartName="/xl/worksheets/sheet4.xml" ContentType="application/vnd.openxmlformats-officedocument.spreadsheetml.worksheet+xml"/>
  <Override PartName="/xl/comments3.xml" ContentType="application/vnd.openxmlformats-officedocument.spreadsheetml.comments+xml"/>
  <Override PartName="/xl/worksheets/sheet63.xml" ContentType="application/vnd.openxmlformats-officedocument.spreadsheetml.worksheet+xml"/>
  <Override PartName="/xl/worksheets/sheet89.xml" ContentType="application/vnd.openxmlformats-officedocument.spreadsheetml.worksheet+xml"/>
  <Override PartName="/xl/worksheets/sheet44.xml" ContentType="application/vnd.openxmlformats-officedocument.spreadsheetml.worksheet+xml"/>
  <Override PartName="/xl/worksheets/sheet26.xml" ContentType="application/vnd.openxmlformats-officedocument.spreadsheetml.worksheet+xml"/>
  <Override PartName="/xl/worksheets/sheet46.xml" ContentType="application/vnd.openxmlformats-officedocument.spreadsheetml.worksheet+xml"/>
  <Override PartName="/xl/worksheets/sheet38.xml" ContentType="application/vnd.openxmlformats-officedocument.spreadsheetml.worksheet+xml"/>
  <Override PartName="/xl/threadedComments/threadedComment3.xml" ContentType="application/vnd.ms-excel.threadedcomments+xml"/>
  <Override PartName="/xl/worksheets/sheet54.xml" ContentType="application/vnd.openxmlformats-officedocument.spreadsheetml.worksheet+xml"/>
  <Override PartName="/xl/worksheets/sheet50.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worksheets/sheet15.xml" ContentType="application/vnd.openxmlformats-officedocument.spreadsheetml.worksheet+xml"/>
  <Override PartName="/xl/worksheets/sheet17.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82.xml" ContentType="application/vnd.openxmlformats-officedocument.spreadsheetml.worksheet+xml"/>
  <Override PartName="/xl/worksheets/sheet53.xml" ContentType="application/vnd.openxmlformats-officedocument.spreadsheetml.worksheet+xml"/>
  <Override PartName="/xl/worksheets/sheet22.xml" ContentType="application/vnd.openxmlformats-officedocument.spreadsheetml.worksheet+xml"/>
  <Override PartName="/xl/worksheets/sheet64.xml" ContentType="application/vnd.openxmlformats-officedocument.spreadsheetml.worksheet+xml"/>
  <Override PartName="/xl/sharedStrings.xml" ContentType="application/vnd.openxmlformats-officedocument.spreadsheetml.sharedStrings+xml"/>
  <Override PartName="/xl/worksheets/sheet65.xml" ContentType="application/vnd.openxmlformats-officedocument.spreadsheetml.worksheet+xml"/>
  <Override PartName="/xl/worksheets/sheet48.xml" ContentType="application/vnd.openxmlformats-officedocument.spreadsheetml.worksheet+xml"/>
  <Override PartName="/xl/comments2.xml" ContentType="application/vnd.openxmlformats-officedocument.spreadsheetml.comments+xml"/>
  <Override PartName="/xl/worksheets/sheet55.xml" ContentType="application/vnd.openxmlformats-officedocument.spreadsheetml.worksheet+xml"/>
  <Override PartName="/xl/worksheets/sheet77.xml" ContentType="application/vnd.openxmlformats-officedocument.spreadsheetml.worksheet+xml"/>
  <Override PartName="/xl/worksheets/sheet68.xml" ContentType="application/vnd.openxmlformats-officedocument.spreadsheetml.worksheet+xml"/>
  <Override PartName="/xl/worksheets/sheet47.xml" ContentType="application/vnd.openxmlformats-officedocument.spreadsheetml.worksheet+xml"/>
  <Override PartName="/xl/threadedComments/threadedComment1.xml" ContentType="application/vnd.ms-excel.threadedcomments+xml"/>
  <Override PartName="/xl/worksheets/sheet12.xml" ContentType="application/vnd.openxmlformats-officedocument.spreadsheetml.worksheet+xml"/>
  <Override PartName="/xl/worksheets/sheet74.xml" ContentType="application/vnd.openxmlformats-officedocument.spreadsheetml.worksheet+xml"/>
  <Override PartName="/xl/worksheets/sheet67.xml" ContentType="application/vnd.openxmlformats-officedocument.spreadsheetml.worksheet+xml"/>
  <Override PartName="/xl/worksheets/sheet37.xml" ContentType="application/vnd.openxmlformats-officedocument.spreadsheetml.worksheet+xml"/>
  <Override PartName="/xl/worksheets/sheet80.xml" ContentType="application/vnd.openxmlformats-officedocument.spreadsheetml.worksheet+xml"/>
  <Override PartName="/xl/worksheets/sheet59.xml" ContentType="application/vnd.openxmlformats-officedocument.spreadsheetml.worksheet+xml"/>
  <Override PartName="/xl/worksheets/sheet81.xml" ContentType="application/vnd.openxmlformats-officedocument.spreadsheetml.worksheet+xml"/>
  <Override PartName="/xl/worksheets/sheet27.xml" ContentType="application/vnd.openxmlformats-officedocument.spreadsheetml.worksheet+xml"/>
  <Override PartName="/xl/worksheets/sheet42.xml" ContentType="application/vnd.openxmlformats-officedocument.spreadsheetml.worksheet+xml"/>
  <Override PartName="/xl/worksheets/sheet83.xml" ContentType="application/vnd.openxmlformats-officedocument.spreadsheetml.worksheet+xml"/>
  <Override PartName="/xl/worksheets/sheet66.xml" ContentType="application/vnd.openxmlformats-officedocument.spreadsheetml.worksheet+xml"/>
  <Override PartName="/xl/worksheets/sheet78.xml" ContentType="application/vnd.openxmlformats-officedocument.spreadsheetml.worksheet+xml"/>
  <Override PartName="/xl/worksheets/sheet86.xml" ContentType="application/vnd.openxmlformats-officedocument.spreadsheetml.worksheet+xml"/>
  <Override PartName="/xl/worksheets/sheet62.xml" ContentType="application/vnd.openxmlformats-officedocument.spreadsheetml.worksheet+xml"/>
  <Override PartName="/xl/worksheets/sheet70.xml" ContentType="application/vnd.openxmlformats-officedocument.spreadsheetml.worksheet+xml"/>
  <Override PartName="/xl/worksheets/sheet84.xml" ContentType="application/vnd.openxmlformats-officedocument.spreadsheetml.worksheet+xml"/>
  <Override PartName="/xl/styles.xml" ContentType="application/vnd.openxmlformats-officedocument.spreadsheetml.styles+xml"/>
  <Override PartName="/xl/comments1.xml" ContentType="application/vnd.openxmlformats-officedocument.spreadsheetml.comments+xml"/>
  <Override PartName="/xl/worksheets/sheet88.xml" ContentType="application/vnd.openxmlformats-officedocument.spreadsheetml.worksheet+xml"/>
  <Override PartName="/xl/worksheets/sheet58.xml" ContentType="application/vnd.openxmlformats-officedocument.spreadsheetml.worksheet+xml"/>
  <Override PartName="/xl/worksheets/sheet87.xml" ContentType="application/vnd.openxmlformats-officedocument.spreadsheetml.worksheet+xml"/>
  <Override PartName="/xl/workbook.xml" ContentType="application/vnd.openxmlformats-officedocument.spreadsheetml.sheet.main+xml"/>
</Types>
</file>

<file path=_rels/.rels><?xml version="1.0" encoding="UTF-8" standalone="yes"?><Relationships xmlns="http://schemas.openxmlformats.org/package/2006/relationships"><Relationship  Id="rId4" Type="http://schemas.openxmlformats.org/officeDocument/2006/relationships/officeDocument" Target="xl/workbook.xml"/><Relationship  Id="rId3" Type="http://schemas.openxmlformats.org/officeDocument/2006/relationships/custom-properties" Target="docProps/custom.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57"/>
  </bookViews>
  <sheets>
    <sheet name="Инструкция" sheetId="1" state="visible" r:id="rId2"/>
    <sheet name="Титульный" sheetId="2" state="visible" r:id="rId3"/>
    <sheet name="Список территорий" sheetId="3" state="visible" r:id="rId4"/>
    <sheet name="Дифференциация" sheetId="4" state="hidden" r:id="rId5"/>
    <sheet name="Перечень тарифов" sheetId="5" state="visible"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visible"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state="visible" r:id="rId49"/>
    <sheet name="Сведения о закупках" sheetId="49" state="visible"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visible" r:id="rId59"/>
    <sheet name="Комментарии" sheetId="59" state="visible"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REESTR_IP!$A$2:$I$23</definedName>
    <definedName name="VD_LIST">REESTR_VED!$A$2:$B$11</definedName>
    <definedName name="VD_ID_LIST">REESTR_VED!$A$2:$A$11</definedName>
    <definedName name="VD_NAME_LIST">REESTR_VED!$B$2:$B$11</definedName>
    <definedName name="et_B_FHD20_1">et_union_hor!$127:$135</definedName>
    <definedName name="_xlnm._FilterDatabase" localSheetId="59" hidden="1">Проверка!$B$4:$D$4</definedName>
  </definedNames>
  <calcPr iterate="1" iterateCount="100" iterateDelta="0.001"/>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tc={00F800E8-0078-4F92-AE81-00D5004200C4}</author>
  </authors>
  <commentList>
    <comment ref="E37" authorId="0" xr:uid="{00F800E8-0078-4F92-AE81-00D5004200C4}">
      <text>
        <r>
          <rPr>
            <b/>
            <sz val="9"/>
            <rFont val="Tahoma"/>
          </rPr>
          <t>Author:</t>
        </r>
        <r>
          <rPr>
            <sz val="9"/>
            <rFont val="Tahoma"/>
          </rPr>
          <t xml:space="preserve">
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tc={0047004F-00BF-40C7-93FA-0079009C008E}</author>
    <author>tc={00CA001B-00CC-4DBA-BA5A-001000CD0044}</author>
  </authors>
  <commentList>
    <comment ref="AZ1" authorId="0" xr:uid="{0047004F-00BF-40C7-93FA-0079009C008E}">
      <text>
        <r>
          <rPr>
            <b/>
            <sz val="9"/>
            <rFont val="Tahoma"/>
          </rPr>
          <t>Author:</t>
        </r>
        <r>
          <rPr>
            <sz val="9"/>
            <rFont val="Tahoma"/>
          </rPr>
          <t xml:space="preserve">
Тип организации
</t>
        </r>
      </text>
    </comment>
    <comment ref="L6" authorId="1" xr:uid="{00CA001B-00CC-4DBA-BA5A-001000CD0044}">
      <text>
        <r>
          <rPr>
            <b/>
            <sz val="9"/>
            <rFont val="Tahoma"/>
          </rPr>
          <t>Author:</t>
        </r>
        <r>
          <rPr>
            <sz val="9"/>
            <rFont val="Tahoma"/>
          </rPr>
          <t xml:space="preserve">
тут будет больше 0, если выбран хотя бы один метод, отличный от экономически обоснованных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tc={0023005C-006B-435F-8C4E-009200A70052}</author>
    <author>tc={00390039-006B-4CAA-9D68-0083003200AE}</author>
  </authors>
  <commentList>
    <comment ref="P2" authorId="0" xr:uid="{0023005C-006B-435F-8C4E-009200A70052}">
      <text>
        <r>
          <rPr>
            <b/>
            <sz val="9"/>
            <rFont val="Tahoma"/>
          </rPr>
          <t>Author:</t>
        </r>
        <r>
          <rPr>
            <sz val="9"/>
            <rFont val="Tahoma"/>
          </rPr>
          <t xml:space="preserve">
сюда же для некоторых формул может входить:
- VOTV
- HOTVSNA
</t>
        </r>
      </text>
    </comment>
    <comment ref="U2" authorId="1" xr:uid="{00390039-006B-4CAA-9D68-0083003200AE}">
      <text>
        <r>
          <rPr>
            <b/>
            <sz val="9"/>
            <rFont val="Tahoma"/>
          </rPr>
          <t>Author:</t>
        </r>
        <r>
          <rPr>
            <sz val="9"/>
            <rFont val="Tahoma"/>
          </rPr>
          <t xml:space="preserve">
сюда же для некоторых формул может входить:
- VOTV
- HOTVSNA
</t>
        </r>
      </text>
    </comment>
  </commentList>
</comments>
</file>

<file path=xl/sharedStrings.xml><?xml version="1.0" encoding="utf-8"?>
<sst xmlns="http://schemas.openxmlformats.org/spreadsheetml/2006/main" count="3661" uniqueCount="3661">
  <si>
    <t xml:space="preserve"> (требуется обновление)</t>
  </si>
  <si>
    <t xml:space="preserve">Код отчёта: PP110.OPEN.INFO.REQUEST.HEAT.EIAS</t>
  </si>
  <si>
    <t xml:space="preserve">Версия отчёта: 1.1.1</t>
  </si>
  <si>
    <t xml:space="preserve">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</si>
  <si>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</si>
  <si>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</si>
  <si>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</si>
  <si>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</si>
  <si>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</si>
  <si>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Работа с реестрами</t>
  </si>
  <si>
    <t xml:space="preserve">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</si>
  <si>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 xml:space="preserve">Проверка отчёта</t>
  </si>
  <si>
    <t xml:space="preserve">• При сохранении отчётной формы осуществляется проверка корректности данных
• Для каждого сообщения возможны 2 статуса: ошибка и предупреждение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</si>
  <si>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31664312</t>
  </si>
  <si>
    <t>Flag_Row_Size</t>
  </si>
  <si>
    <t xml:space="preserve">Субъект РФ</t>
  </si>
  <si>
    <t xml:space="preserve">Приморский край</t>
  </si>
  <si>
    <t xml:space="preserve">Состав раскрываемой информации</t>
  </si>
  <si>
    <t xml:space="preserve">Привлечение к ответственности за указанный период отсутствует</t>
  </si>
  <si>
    <t>нет</t>
  </si>
  <si>
    <t xml:space="preserve">PRICE, REQUEST</t>
  </si>
  <si>
    <t xml:space="preserve">Начало
периода регулирования</t>
  </si>
  <si>
    <t xml:space="preserve">Как заполнить?</t>
  </si>
  <si>
    <t xml:space="preserve">Начало периода регулирования</t>
  </si>
  <si>
    <t xml:space="preserve">Окончание
периода регулирования</t>
  </si>
  <si>
    <t xml:space="preserve">Окончание периода регулирования</t>
  </si>
  <si>
    <t>ORG</t>
  </si>
  <si>
    <t xml:space="preserve">Дата
предоставления информации</t>
  </si>
  <si>
    <t/>
  </si>
  <si>
    <t xml:space="preserve">Дата предоставления информации</t>
  </si>
  <si>
    <t xml:space="preserve">BALANCE, QUARTER, TERMS</t>
  </si>
  <si>
    <t>Год</t>
  </si>
  <si>
    <t xml:space="preserve">Отчётный период (год)</t>
  </si>
  <si>
    <t>QUARTER</t>
  </si>
  <si>
    <t>Квартал</t>
  </si>
  <si>
    <t xml:space="preserve">Отчётный период (квартал)</t>
  </si>
  <si>
    <t xml:space="preserve">Тип отчёта</t>
  </si>
  <si>
    <t xml:space="preserve">изменения в раскрытой ранее информации</t>
  </si>
  <si>
    <t xml:space="preserve">Дата внесения изменений в информацию, подлежащую раскрытию</t>
  </si>
  <si>
    <t xml:space="preserve">Отображается, если тип отчёта - изменение</t>
  </si>
  <si>
    <t xml:space="preserve">Данный блок предлагается заполнять из отчётной формы BALANCE.CALC.TARIFF.ххх.хххх</t>
  </si>
  <si>
    <t>110-01/2095</t>
  </si>
  <si>
    <t xml:space="preserve">Наименование органа регулирования, принявшего решение об утверждении тарифов</t>
  </si>
  <si>
    <t xml:space="preserve">Источник официального опубликования решения</t>
  </si>
  <si>
    <t xml:space="preserve">Открывается, если Тип отчёта "изменения в раскрытой ранее информации"</t>
  </si>
  <si>
    <t>Исх-260/1397</t>
  </si>
  <si>
    <t xml:space="preserve">Наименование органа регулирования, принявшего решение об изменении тарифов</t>
  </si>
  <si>
    <t xml:space="preserve">АО "ДГК"</t>
  </si>
  <si>
    <t xml:space="preserve">Наименование (описание) обособленного подразделения</t>
  </si>
  <si>
    <t>ИНН</t>
  </si>
  <si>
    <t>1434031363</t>
  </si>
  <si>
    <t>КПП</t>
  </si>
  <si>
    <t>253645001</t>
  </si>
  <si>
    <t xml:space="preserve">Тип теплоснабжающей организации</t>
  </si>
  <si>
    <t xml:space="preserve">Регулируемая организация</t>
  </si>
  <si>
    <t xml:space="preserve">Система налогообложения</t>
  </si>
  <si>
    <t>ОСН</t>
  </si>
  <si>
    <t xml:space="preserve">Отсутствует Интернет в границах территории МО, где организация осуществляет регулируемые виды деятельности</t>
  </si>
  <si>
    <t xml:space="preserve">Опубликовать индикативный предельный уровень цен на тепловую энергию (мощность)</t>
  </si>
  <si>
    <t xml:space="preserve">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</si>
  <si>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rPr>
      <t xml:space="preserve">с (!)</t>
    </r>
    <r>
      <rPr>
        <sz val="9"/>
        <rFont val="Tahoma"/>
      </rPr>
      <t xml:space="preserve"> разбивкой по поставщикам</t>
    </r>
  </si>
  <si>
    <r>
      <t xml:space="preserve">Тариф на горячую воду предлагается </t>
    </r>
    <r>
      <rPr>
        <b/>
        <sz val="9"/>
        <rFont val="Tahoma"/>
      </rPr>
      <t xml:space="preserve">без (!)</t>
    </r>
    <r>
      <rPr>
        <sz val="9"/>
        <rFont val="Tahoma"/>
      </rPr>
      <t xml:space="preserve"> разбивки на компоненты</t>
    </r>
  </si>
  <si>
    <t xml:space="preserve">Организация осуществляет поставку товаров (оказание услуг) только по нерегулируемым ценам</t>
  </si>
  <si>
    <t xml:space="preserve">Регулируемая организация осуществляет сдачу годового бухгалтерского баланса в налоговые органы</t>
  </si>
  <si>
    <t xml:space="preserve">Дата направления годового бухгалтерского баланса в налоговые органы</t>
  </si>
  <si>
    <t xml:space="preserve">Превышает ли выручка от регулируемой деятельности 80% совокупной выручки за отчетный год</t>
  </si>
  <si>
    <t xml:space="preserve">Организация выполняет инвестиционную программу</t>
  </si>
  <si>
    <t>да</t>
  </si>
  <si>
    <t xml:space="preserve">Детализация инвестиционных программ осуществляется</t>
  </si>
  <si>
    <t xml:space="preserve">Оператор по обращению с твёрдыми коммунальными отходами, осуществляет деятельность по транспортированию твёрдых коммунальных отходов</t>
  </si>
  <si>
    <t xml:space="preserve">Почтовый адрес регулируемой организации</t>
  </si>
  <si>
    <t xml:space="preserve">680000, г. Хабаровск, ул. Фрунзе, 49</t>
  </si>
  <si>
    <t xml:space="preserve">Фамилия, имя, отчество руководителя</t>
  </si>
  <si>
    <t xml:space="preserve">Иртов Сергей Викторович</t>
  </si>
  <si>
    <t xml:space="preserve">Ответственный за заполнение формы</t>
  </si>
  <si>
    <t xml:space="preserve">Фамилия, имя, отчество</t>
  </si>
  <si>
    <t xml:space="preserve">Катриченко Татьяна Сергеевна</t>
  </si>
  <si>
    <t>Должность</t>
  </si>
  <si>
    <t xml:space="preserve">Ведущий экономист</t>
  </si>
  <si>
    <t xml:space="preserve">Контактный телефон</t>
  </si>
  <si>
    <t xml:space="preserve">(423) 2-62-97-00 доб. 55-453</t>
  </si>
  <si>
    <t>E-mail</t>
  </si>
  <si>
    <t>Katrichenko-TS@dgk.ru</t>
  </si>
  <si>
    <t>Flag_Col_Size</t>
  </si>
  <si>
    <t>МР</t>
  </si>
  <si>
    <t>МО</t>
  </si>
  <si>
    <t>ОКТМО</t>
  </si>
  <si>
    <t xml:space="preserve">Муниципальный район</t>
  </si>
  <si>
    <t xml:space="preserve">Муниципальное образование</t>
  </si>
  <si>
    <t xml:space="preserve">№ п/п</t>
  </si>
  <si>
    <t>Наименование</t>
  </si>
  <si>
    <t>3</t>
  </si>
  <si>
    <t>4</t>
  </si>
  <si>
    <t>6</t>
  </si>
  <si>
    <t>7</t>
  </si>
  <si>
    <t xml:space="preserve">размерженный МР</t>
  </si>
  <si>
    <t xml:space="preserve">флаг используемости территории на листе Перечень тарифов</t>
  </si>
  <si>
    <t xml:space="preserve">копия территорий</t>
  </si>
  <si>
    <t xml:space="preserve">МР (ОКТМО)</t>
  </si>
  <si>
    <t>ter_1</t>
  </si>
  <si>
    <t xml:space="preserve">Владивостокский городской округ</t>
  </si>
  <si>
    <t>05701000</t>
  </si>
  <si>
    <t xml:space="preserve">Добавить МО</t>
  </si>
  <si>
    <t xml:space="preserve">Добавить территорию оказания услуг</t>
  </si>
  <si>
    <t xml:space="preserve">Добавить территорию действия тарифа</t>
  </si>
  <si>
    <t xml:space="preserve">Вид деятельности</t>
  </si>
  <si>
    <t xml:space="preserve">Дифференциация по территориям</t>
  </si>
  <si>
    <t xml:space="preserve">Дифференциация по централизованным системам</t>
  </si>
  <si>
    <t>да/нет</t>
  </si>
  <si>
    <t>1</t>
  </si>
  <si>
    <t>2</t>
  </si>
  <si>
    <t>5</t>
  </si>
  <si>
    <t>8</t>
  </si>
  <si>
    <t>ID_DIFF</t>
  </si>
  <si>
    <t>VD</t>
  </si>
  <si>
    <t>AREA</t>
  </si>
  <si>
    <t>SYSTEM</t>
  </si>
  <si>
    <t>diff_1</t>
  </si>
  <si>
    <t>a</t>
  </si>
  <si>
    <t xml:space="preserve">Добавить централизованную систему</t>
  </si>
  <si>
    <t xml:space="preserve">Добавить описание территории</t>
  </si>
  <si>
    <t xml:space="preserve">Добавить вид деятельности</t>
  </si>
  <si>
    <t xml:space="preserve">Вид тарифа</t>
  </si>
  <si>
    <t xml:space="preserve">Наименование тарифа</t>
  </si>
  <si>
    <t xml:space="preserve">Дифференциация по
 МО (территориям)</t>
  </si>
  <si>
    <t xml:space="preserve">Дифференциация по 
централизованным системам</t>
  </si>
  <si>
    <t xml:space="preserve">Дифференциация по источникам тепловой энергии</t>
  </si>
  <si>
    <t>Примечание</t>
  </si>
  <si>
    <t xml:space="preserve">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</si>
  <si>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</si>
  <si>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</si>
  <si>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</si>
  <si>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</si>
  <si>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</si>
  <si>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</si>
  <si>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</si>
  <si>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</si>
  <si>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</si>
  <si>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</si>
  <si>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</si>
  <si>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</si>
  <si>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</si>
  <si>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</si>
  <si>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</si>
  <si>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xml:space="preserve">№ п.п НаименованиеТарифа</t>
  </si>
  <si>
    <t xml:space="preserve">№ п.п Территория</t>
  </si>
  <si>
    <t xml:space="preserve">№ п.п ЦентрализованнаяСистема</t>
  </si>
  <si>
    <t xml:space="preserve">№ п.п ИсточникТепловойЭнергии</t>
  </si>
  <si>
    <t>9</t>
  </si>
  <si>
    <t>10</t>
  </si>
  <si>
    <t>11</t>
  </si>
  <si>
    <t>12</t>
  </si>
  <si>
    <t>13</t>
  </si>
  <si>
    <t>14</t>
  </si>
  <si>
    <t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</si>
  <si>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</si>
  <si>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</si>
  <si>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</si>
  <si>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</si>
  <si>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</si>
  <si>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 xml:space="preserve">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</si>
  <si>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</si>
  <si>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</si>
  <si>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</si>
  <si>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</si>
  <si>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</si>
  <si>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 xml:space="preserve">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</si>
  <si>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</si>
  <si>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</si>
  <si>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</si>
  <si>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</si>
  <si>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</si>
  <si>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 xml:space="preserve">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</si>
  <si>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</si>
  <si>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</si>
  <si>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</si>
  <si>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</si>
  <si>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</si>
  <si>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 xml:space="preserve">Тарифы на услуги по передаче тепловой энергии</t>
  </si>
  <si>
    <t>pIns_PT_VTAR_E1</t>
  </si>
  <si>
    <t>pt_ntar_5</t>
  </si>
  <si>
    <t>pt_ter_5</t>
  </si>
  <si>
    <t>pt_cs_5</t>
  </si>
  <si>
    <t>pt_ist_te_5</t>
  </si>
  <si>
    <t xml:space="preserve">Тарифы на услуги по передаче теплоносителя</t>
  </si>
  <si>
    <t>pIns_PT_VTAR_E2</t>
  </si>
  <si>
    <t>pt_ntar_6</t>
  </si>
  <si>
    <t>pt_ter_6</t>
  </si>
  <si>
    <t>pt_cs_6</t>
  </si>
  <si>
    <t>pt_ist_te_6</t>
  </si>
  <si>
    <t xml:space="preserve">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</si>
  <si>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</si>
  <si>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</si>
  <si>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</si>
  <si>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</si>
  <si>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</si>
  <si>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 xml:space="preserve">Плата за подключение (технологическое присоединение) к системе теплоснабжения</t>
  </si>
  <si>
    <t>pIns_PT_VTAR_G</t>
  </si>
  <si>
    <t>pt_ntar_8</t>
  </si>
  <si>
    <t>pt_ter_8</t>
  </si>
  <si>
    <t>pt_cs_8</t>
  </si>
  <si>
    <t>pt_ist_te_8</t>
  </si>
  <si>
    <t xml:space="preserve">Плата за подключение (технологическое присоединение) к системе теплоснабжения (индивидуальная)</t>
  </si>
  <si>
    <t xml:space="preserve">Плата за подключение теплопотребляющих установок общества с ограниченной ответственностью Специализированный застройщик «Эдельвейс-5» для осуществления подключения объекта капитального строительства: «Многоэтажная жилая застройка со встроенными помещениями нежилого назначения, расположенная в районе ул. Кизлярской, 18 в г. Владивостоке», к системе теплоснабжения АО "ДГК" в индивидуальном порядке.</t>
  </si>
  <si>
    <t xml:space="preserve">Владивостокская ТЭЦ-2</t>
  </si>
  <si>
    <t>"4190072"</t>
  </si>
  <si>
    <t>pIns_PT_VTAR_H</t>
  </si>
  <si>
    <t>pt_ntar_20</t>
  </si>
  <si>
    <t>pt_ter_20</t>
  </si>
  <si>
    <t>pt_cs_20</t>
  </si>
  <si>
    <t>pt_ist_te_20</t>
  </si>
  <si>
    <t xml:space="preserve">Добавить источник для дифференциации</t>
  </si>
  <si>
    <t xml:space="preserve">Добавить централизованную систему для дифференциации</t>
  </si>
  <si>
    <t xml:space="preserve">Добавить территорию для дифференциации</t>
  </si>
  <si>
    <t xml:space="preserve">Добавить наименование тарифа</t>
  </si>
  <si>
    <t xml:space="preserve">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</si>
  <si>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</si>
  <si>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</si>
  <si>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</si>
  <si>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</si>
  <si>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</si>
  <si>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 xml:space="preserve">Информация о регулируемых ценах (тарифах) на товары (услуги) единой теплоснабжающей организации в ценовых зонах теплоснабжения включает сведения:</t>
  </si>
  <si>
    <t xml:space="preserve">-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</si>
  <si>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xml:space="preserve">-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</si>
  <si>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xml:space="preserve">-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</si>
  <si>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xml:space="preserve">-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</si>
  <si>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 xml:space="preserve">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</si>
  <si>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xml:space="preserve">-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</si>
  <si>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xml:space="preserve">- о тарифах на товары (услуги) в сфере теплоснабжения в случаях, указанных в частях 12.1 - 12.4 статьи 10 ФЗ "О теплоснабжении"</t>
  </si>
  <si>
    <t xml:space="preserve">Тариф на питьевую воду (питьевое водоснабжение)</t>
  </si>
  <si>
    <t>pIns_PT_VTAR_A_COLDVSNA</t>
  </si>
  <si>
    <t>pt_ntar_9</t>
  </si>
  <si>
    <t>pt_ter_9</t>
  </si>
  <si>
    <t>pt_cs_9</t>
  </si>
  <si>
    <t xml:space="preserve">Тариф на техническую воду</t>
  </si>
  <si>
    <t>pIns_PT_VTAR_B_COLDVSNA</t>
  </si>
  <si>
    <t>pt_ntar_10</t>
  </si>
  <si>
    <t>pt_ter_10</t>
  </si>
  <si>
    <t>pt_cs_10</t>
  </si>
  <si>
    <t xml:space="preserve">Тариф на транспортировку воды</t>
  </si>
  <si>
    <t>pIns_PT_VTAR_C_COLDVSNA</t>
  </si>
  <si>
    <t>pt_ntar_11</t>
  </si>
  <si>
    <t>pt_ter_11</t>
  </si>
  <si>
    <t>pt_cs_11</t>
  </si>
  <si>
    <t xml:space="preserve">Тариф на подвоз воды</t>
  </si>
  <si>
    <t>pIns_PT_VTAR_D_COLDVSNA</t>
  </si>
  <si>
    <t>pt_ntar_12</t>
  </si>
  <si>
    <t>pt_ter_12</t>
  </si>
  <si>
    <t>pt_cs_12</t>
  </si>
  <si>
    <t xml:space="preserve">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</si>
  <si>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</si>
  <si>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</si>
  <si>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</si>
  <si>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</si>
  <si>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 xml:space="preserve">Тариф на горячую воду (горячее водоснабжение)</t>
  </si>
  <si>
    <t>pIns_PT_VTAR_A_HOTVSNA</t>
  </si>
  <si>
    <t>pt_ntar_14</t>
  </si>
  <si>
    <t>pt_ter_14</t>
  </si>
  <si>
    <t>pt_cs_14</t>
  </si>
  <si>
    <t xml:space="preserve">Тариф на транспортировку горячей воды</t>
  </si>
  <si>
    <t>pIns_PT_VTAR_B_HOTVSNA</t>
  </si>
  <si>
    <t>pt_ntar_15</t>
  </si>
  <si>
    <t>pt_ter_15</t>
  </si>
  <si>
    <t>pt_cs_15</t>
  </si>
  <si>
    <t xml:space="preserve">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</si>
  <si>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</si>
  <si>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</si>
  <si>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</si>
  <si>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</si>
  <si>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 xml:space="preserve">Тариф на водоотведение</t>
  </si>
  <si>
    <t>pIns_PT_VTAR_A_VOTV</t>
  </si>
  <si>
    <t>pt_ntar_17</t>
  </si>
  <si>
    <t>pt_ter_17</t>
  </si>
  <si>
    <t>pt_cs_17</t>
  </si>
  <si>
    <t xml:space="preserve">Тариф на транспортировку сточных вод</t>
  </si>
  <si>
    <t>pIns_PT_VTAR_B_VOTV</t>
  </si>
  <si>
    <t>pt_ntar_18</t>
  </si>
  <si>
    <t>pt_ter_18</t>
  </si>
  <si>
    <t>pt_cs_18</t>
  </si>
  <si>
    <t xml:space="preserve">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</si>
  <si>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</si>
  <si>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</si>
  <si>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</si>
  <si>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</si>
  <si>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</si>
  <si>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</si>
  <si>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</si>
  <si>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 xml:space="preserve">Дифференциация тарифов в области обращения с твердыми коммунальными отходами</t>
  </si>
  <si>
    <t xml:space="preserve">Дифференциация по технологическим особенностям</t>
  </si>
  <si>
    <t xml:space="preserve">Дифференциация по территории оказания услуг</t>
  </si>
  <si>
    <t xml:space="preserve">Дифференциация по виду твердых коммунальных отходов</t>
  </si>
  <si>
    <t xml:space="preserve">Дифференциация по классу опасности твердых коммунальных отходов</t>
  </si>
  <si>
    <t>Комментарий</t>
  </si>
  <si>
    <t xml:space="preserve">Дифференциация, да/нет</t>
  </si>
  <si>
    <t>Значение</t>
  </si>
  <si>
    <t>Тарифы</t>
  </si>
  <si>
    <t xml:space="preserve">Прочие показатели</t>
  </si>
  <si>
    <t>AREA_ID</t>
  </si>
  <si>
    <t xml:space="preserve">Оказание услуги по обращению с твердыми коммунальными отходами региональным оператором</t>
  </si>
  <si>
    <t xml:space="preserve">Единый тариф на услугу регионального оператора по обращению с твердыми коммунальными отходами</t>
  </si>
  <si>
    <t xml:space="preserve">Тариф на обработку твердых коммунальных отходов</t>
  </si>
  <si>
    <t xml:space="preserve">Тариф на обезвреживание твердых коммунальных отходов</t>
  </si>
  <si>
    <t xml:space="preserve">Тариф на захоронение твердых коммунальных отходов</t>
  </si>
  <si>
    <t xml:space="preserve">Тариф на энергетическую утилизацию</t>
  </si>
  <si>
    <t xml:space="preserve">Фирменное наименование юридического лица (согласно уставу регулируемой организации)</t>
  </si>
  <si>
    <t xml:space="preserve">Параметры формы</t>
  </si>
  <si>
    <t xml:space="preserve">Описание параметров формы</t>
  </si>
  <si>
    <t xml:space="preserve">Наименование параметра</t>
  </si>
  <si>
    <t>Информация</t>
  </si>
  <si>
    <t xml:space="preserve">Субъект Российской Федерации</t>
  </si>
  <si>
    <t xml:space="preserve">Указывается наименование субъекта Российской Федерации</t>
  </si>
  <si>
    <t>x</t>
  </si>
  <si>
    <t>2.2</t>
  </si>
  <si>
    <t xml:space="preserve">идентификационный номер налогоплательщика (ИНН)</t>
  </si>
  <si>
    <t xml:space="preserve">Указывается идентификационный номер налогоплательщика.</t>
  </si>
  <si>
    <t>2.3</t>
  </si>
  <si>
    <t xml:space="preserve">код причины постановки на учет (КПП)</t>
  </si>
  <si>
    <t xml:space="preserve">Указывается код причины постановки на учет (при наличии).</t>
  </si>
  <si>
    <t>5.1</t>
  </si>
  <si>
    <t xml:space="preserve">Сведения о присвоении статуса единой теплоснабжающей организации:</t>
  </si>
  <si>
    <t xml:space="preserve">Информация в строках 5.x.1 - 5.x.4 указывается только едиными теплоснабжающими организациями.</t>
  </si>
  <si>
    <t xml:space="preserve">наименование органа, принявшего решение о присвоении статуса единой теплоснабжающей организации</t>
  </si>
  <si>
    <t xml:space="preserve">дата решения</t>
  </si>
  <si>
    <t xml:space="preserve">Дата принятия решения о присвоении статуса единой теплоснабжающей организации указывается в виде «ДД.ММ.ГГГГ».</t>
  </si>
  <si>
    <t xml:space="preserve">номер решения</t>
  </si>
  <si>
    <t xml:space="preserve">границы зоны (зон) деятельности</t>
  </si>
  <si>
    <t xml:space="preserve">Указывается описание зоны (зон) деятельности единой теплоснабжающей организации.</t>
  </si>
  <si>
    <t xml:space="preserve">Добавить сведения</t>
  </si>
  <si>
    <t xml:space="preserve">Данные должностного лица, ответственного за размещение данных</t>
  </si>
  <si>
    <t>3.1</t>
  </si>
  <si>
    <t xml:space="preserve">фамилия, имя и отчество должностного лица</t>
  </si>
  <si>
    <t>3.1.1</t>
  </si>
  <si>
    <t xml:space="preserve">фамилия должностного лица</t>
  </si>
  <si>
    <t>3.1.2</t>
  </si>
  <si>
    <t xml:space="preserve">имя должностного лица</t>
  </si>
  <si>
    <t>3.1.3</t>
  </si>
  <si>
    <t xml:space="preserve">отчество должностного лица</t>
  </si>
  <si>
    <t>3.2</t>
  </si>
  <si>
    <t>должность</t>
  </si>
  <si>
    <t>3.3</t>
  </si>
  <si>
    <t xml:space="preserve">контактный телефон</t>
  </si>
  <si>
    <t>3.4</t>
  </si>
  <si>
    <t xml:space="preserve">адрес электронной почты</t>
  </si>
  <si>
    <t xml:space="preserve">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ФГИС ЕИАС.</t>
  </si>
  <si>
    <t xml:space="preserve">Добавить контактный телефон</t>
  </si>
  <si>
    <t xml:space="preserve">Указывается при наличии</t>
  </si>
  <si>
    <t xml:space="preserve">Режим работы</t>
  </si>
  <si>
    <t xml:space="preserve">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</si>
  <si>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 xml:space="preserve">режим работы абонентских отделов</t>
  </si>
  <si>
    <t xml:space="preserve">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</si>
  <si>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 xml:space="preserve">режим работы сбытовых подразделений</t>
  </si>
  <si>
    <t xml:space="preserve">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</si>
  <si>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 xml:space="preserve">режим работы диспетчерских служб</t>
  </si>
  <si>
    <t xml:space="preserve">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</si>
  <si>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 xml:space="preserve">Добавить режим работы</t>
  </si>
  <si>
    <t xml:space="preserve">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</si>
  <si>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 xml:space="preserve">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</si>
  <si>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</si>
  <si>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</si>
  <si>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</si>
  <si>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</si>
  <si>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</si>
  <si>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 xml:space="preserve">Протяженность магистральных сетей (в однотрубном исчислении), км.</t>
  </si>
  <si>
    <t xml:space="preserve">Протяженность разводящих сетей (в однотрубном исчислении), км.</t>
  </si>
  <si>
    <t>Теплоэлектростанции</t>
  </si>
  <si>
    <t xml:space="preserve">Тепловые станции</t>
  </si>
  <si>
    <t>Котельные</t>
  </si>
  <si>
    <t xml:space="preserve">Количество центральных тепловых пунктов, шт.</t>
  </si>
  <si>
    <t xml:space="preserve">Протяженность канализационных сетей (в однотрубном исчислении), км.</t>
  </si>
  <si>
    <t xml:space="preserve">Количество насосных станций, шт.</t>
  </si>
  <si>
    <t xml:space="preserve">Количество очистных сооружений, шт.</t>
  </si>
  <si>
    <t xml:space="preserve">Протяженность водопроводных сетей (в однотрубном исчислении), км</t>
  </si>
  <si>
    <t xml:space="preserve">Количество скважин, шт.</t>
  </si>
  <si>
    <t xml:space="preserve">Количество подкачивающих насосных станций, шт.</t>
  </si>
  <si>
    <t xml:space="preserve">Протяженность сетей горячего водоснабжения (в однотрубном исчислении), км</t>
  </si>
  <si>
    <t xml:space="preserve">Количество теплоэлектростанций, шт.</t>
  </si>
  <si>
    <t xml:space="preserve">Установленная электрическая мощность</t>
  </si>
  <si>
    <t xml:space="preserve">Единицы изменения</t>
  </si>
  <si>
    <t xml:space="preserve">Установленная тепловая мощность, Гкал/ч</t>
  </si>
  <si>
    <t xml:space="preserve">Количество тепловых станций, шт.</t>
  </si>
  <si>
    <t xml:space="preserve">Количество котельных, шт.</t>
  </si>
  <si>
    <t>0</t>
  </si>
  <si>
    <t xml:space="preserve">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
В колонке "Единицы измерения" в блоке "Теплоэлектростанции" выбирается одно из значений: кВт*ч или МВт.
В случае оказания услуг в нескольких системах теплоснабжения информация по каждой из них указывается в отдельной строке.</t>
  </si>
  <si>
    <t xml:space="preserve">Значения протяженности сетей, количества насосных станций, количества очистных сооружений указываются в виде целых и  неотрицательных чисел.
В случае отсутствия канализационных сетей, насосных станций, очистных сооружений в соответствующей колонке указывается значение 0.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</si>
  <si>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 xml:space="preserve">Значения протяженности сетей, количества скважин, количества подкачивающих насосных станций указываются в виде целых и неотрицательных чисел.
В случае отсутствия водопроводных сетей, скважин, подкачивающих станций в соответствующей колонке указывается значение 0.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</si>
  <si>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 xml:space="preserve">Значения протяженности сетей, количества центральных тепловых пунктов указываются в виде целых и неотрицательных чисел.
В случае отсутствия водопроводных сетей, центральных тепловых пунктов в соответствующей колонке указывается значение 0.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</si>
  <si>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</si>
  <si>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 xml:space="preserve">64235586; 64235587</t>
  </si>
  <si>
    <t xml:space="preserve">Добавить вид объекта</t>
  </si>
  <si>
    <t xml:space="preserve">Форма 2. Вид деятельности и виды объектов, используемых для оказания услуг в области обращения с твердыми коммунальными отходами, и их количество</t>
  </si>
  <si>
    <t xml:space="preserve">Вид объекта, используемых для оказания услуг в области обращения с твердыми коммунальными отходами</t>
  </si>
  <si>
    <t xml:space="preserve">Количество объектов, используемых для оказания услуг в области обращения с твердыми коммунальными отходами, шт.</t>
  </si>
  <si>
    <t xml:space="preserve">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
В случае оказания услуг по нескольким видам деятельности информация по каждому из них указывается отдельно.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</si>
  <si>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 xml:space="preserve">Информация об отсутствии сети "Интернет" &lt;1&gt;</t>
  </si>
  <si>
    <t xml:space="preserve">Отсутствует доступ к сети "Интернет"</t>
  </si>
  <si>
    <t xml:space="preserve">Ссылка на документ</t>
  </si>
  <si>
    <t xml:space="preserve">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</si>
  <si>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 xml:space="preserve">Омский муниципальный район</t>
  </si>
  <si>
    <t xml:space="preserve">Ачаирское сельское поселение</t>
  </si>
  <si>
    <t>52644404</t>
  </si>
  <si>
    <t xml:space="preserve">Ачаирское сельское поселение (52644404)</t>
  </si>
  <si>
    <t xml:space="preserve">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t>
  </si>
  <si>
    <t xml:space="preserve">Территория действия тарифа</t>
  </si>
  <si>
    <t xml:space="preserve">Указывается наименование территории действия тарифа при наличии дифференциации тарифа по территориальному признаку.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</si>
  <si>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</si>
  <si>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 xml:space="preserve">Указывается наименование системы теплоснабжения при наличии дифференциации тарифа по системам теплоснабжения.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</si>
  <si>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</si>
  <si>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 xml:space="preserve">Указывается наименование источника тепловой энергии
В случае дифференциации тарифов по источникам тепловой энергии информация по ним указывается в отдельных строках.</t>
  </si>
  <si>
    <t>SCHEME</t>
  </si>
  <si>
    <t xml:space="preserve">Схема подключения теплопотребляющей установки к коллектору источника тепловой энергии</t>
  </si>
  <si>
    <t xml:space="preserve">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
Значение выбирается из перечня:
   - без дифференциации
   - к коллектору источника тепловой энергии
   - к тепловой сети без дополнительного преобразования на тепловых пунктах, эксплуатируемых теплоснабжающей организацией
   - к тепловой сети после тепловых пунктов (на тепловых пунктах), эксплуатируемых теплоснабжающей организацией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</si>
  <si>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</si>
  <si>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 xml:space="preserve">Группа потребителей</t>
  </si>
  <si>
    <t xml:space="preserve">Указывается группа потребителей при наличии дифференциации тарифа по группам потребителей.
Значение выбирается из перечня:
   - организации-перепродавцы;
   - бюджетные организации;
   - население;
   - прочие;
   - без дифференциации.
В случае дифференциации тарифов группам потребителей информация по ним указывается в отдельных строках.</t>
  </si>
  <si>
    <t>TN</t>
  </si>
  <si>
    <t xml:space="preserve">В колонке «Параметр дифференциации тарифов» указывается вид теплоносителя.
Значение выбирается из перечня:
   - вода;
   - пар;
   - отборный пар, 1.2 – 2.5 кг/см2;
   - отборный пар, 2.5 – 7 кг/см2;
   - отборный пар, 7 – 13 кг/см2;
   - отборный пар, &gt; 13 кг/см2;
   - острый и редуцированный пар;
   - горячая вода в системе централизованного теплоснабжения на отопление;
   - горячая вода в системе централизованного теплоснабжения на горячее водоснабжение;
   - прочее.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
В случае дифференциации тарифов по периодам действия тарифа информация по ним указывается в отдельных колонках.
В случае дифференциации тарифов по видам теплоносителя информация по ним указывается в отдельных строках.</t>
  </si>
  <si>
    <t xml:space="preserve">Добавить вид теплоносителя (параметры теплоносителя)</t>
  </si>
  <si>
    <t xml:space="preserve">Добавить группу потребителей</t>
  </si>
  <si>
    <t xml:space="preserve">Добавить схему подключения</t>
  </si>
  <si>
    <t>PERIOD_FROM_FIRST_ROW</t>
  </si>
  <si>
    <t>FLAG_BLOCK_COLUMN</t>
  </si>
  <si>
    <t>SPR</t>
  </si>
  <si>
    <t>FLAG_START_DATE</t>
  </si>
  <si>
    <t>FLAG_ETC_PERIOD</t>
  </si>
  <si>
    <t>FLAG_END_DATE</t>
  </si>
  <si>
    <t xml:space="preserve">Дата документа об утверждении тарифов</t>
  </si>
  <si>
    <t xml:space="preserve">Номер документа об утверждении тарифов</t>
  </si>
  <si>
    <t xml:space="preserve">Дата подачи заявления об утверждении тарифов</t>
  </si>
  <si>
    <t xml:space="preserve">Номер подачи заявления об утверждении тарифов</t>
  </si>
  <si>
    <t>dp</t>
  </si>
  <si>
    <t xml:space="preserve">Параметр дифференциации тарифа</t>
  </si>
  <si>
    <t xml:space="preserve">Величина и срок действия тарифа</t>
  </si>
  <si>
    <t xml:space="preserve">Наличие других периодов действия тарифа</t>
  </si>
  <si>
    <t xml:space="preserve">Наличие других сроков действия тарифа</t>
  </si>
  <si>
    <t xml:space="preserve">Добавить срок действия</t>
  </si>
  <si>
    <t xml:space="preserve">Одноставочный тариф,
руб./Гкал</t>
  </si>
  <si>
    <t xml:space="preserve">Ставка за содержание тепловой мощности,
тыс. руб./Гкал/ч/мес.</t>
  </si>
  <si>
    <t xml:space="preserve">Двухставочный тариф</t>
  </si>
  <si>
    <t xml:space="preserve">Срок действия</t>
  </si>
  <si>
    <t>NUM_NTAR</t>
  </si>
  <si>
    <t>NUM_TER</t>
  </si>
  <si>
    <t>NUM_CS</t>
  </si>
  <si>
    <t>NUM_IST_TE</t>
  </si>
  <si>
    <t>NUM_SCHEME</t>
  </si>
  <si>
    <t>NUM_GC</t>
  </si>
  <si>
    <t>NUM_TN</t>
  </si>
  <si>
    <t xml:space="preserve">ставка за тепловую энергию,
руб./Гкал</t>
  </si>
  <si>
    <t xml:space="preserve">ставка за содержание тепловой мощности,
тыс. руб./Гкал/ч/мес</t>
  </si>
  <si>
    <t xml:space="preserve">дата начала</t>
  </si>
  <si>
    <t xml:space="preserve">дата окончания</t>
  </si>
  <si>
    <t xml:space="preserve">Период действия</t>
  </si>
  <si>
    <t xml:space="preserve">Одноставочный тариф,
руб./куб.м</t>
  </si>
  <si>
    <t xml:space="preserve">В колонке «Параметр дифференциации тарифов» указывается вид теплоносителя.
Значение выбирается из перечня:
   - вода;
   - пар;
   - отборный пар, 1.2 – 2.5 кг/см2;
   - отборный пар, 2.5 – 7 кг/см2;
   - отборный пар, 7 – 13 кг/см2;
   - отборный пар, &gt; 13 кг/см2;
   - острый и редуцированный пар;
   - горячая вода в системе централизованного теплоснабжения на отопление;
   - горячая вода в системе централизованного теплоснабжения на горячее водоснабжение;
   - прочее.
При утверждении двухставочного тарифа тариф колонка "Одноставочный тариф" не заполняется.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</si>
  <si>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 xml:space="preserve">Указывается вид теплоносителя. 
Значение выбирается из перечня:
   - вода;
   - пар;
   - отборный пар, 1.2 – 2.5 кг/см2;
   - отборный пар, 2.5 – 7 кг/см2;
   - отборный пар, 7 – 13 кг/см2;
   - отборный пар, &gt; 13 кг/см2;
   - острый и редуцированный пар;
   - горячая вода в системе централизованного теплоснабжения на отопление;
   - горячая вода в системе централизованного теплоснабжения на горячее водоснабжение;
   - прочее.
В случае дифференциации тарифов по видам теплоносителя информация по ним указывается в отдельных строках.</t>
  </si>
  <si>
    <t xml:space="preserve">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
В случае дифференциации тарифов по поставщикам информация по ним указывается в отдельных строках.</t>
  </si>
  <si>
    <t xml:space="preserve">Добавить наименование поставщика</t>
  </si>
  <si>
    <t xml:space="preserve">Одноставочный тариф на горячую воду,
руб./куб. м</t>
  </si>
  <si>
    <t xml:space="preserve">Двухкомпонентный тариф на горячую воду</t>
  </si>
  <si>
    <t xml:space="preserve">Компонент на теплоноситель,
руб./куб. м</t>
  </si>
  <si>
    <t xml:space="preserve">Компонента на тепловую энергию</t>
  </si>
  <si>
    <t xml:space="preserve">Одноставочный компонент тарифа на тепловую энергию,
руб/Гкал</t>
  </si>
  <si>
    <t xml:space="preserve">Двухставочный компонент тарифа на тепловую энергию</t>
  </si>
  <si>
    <t>NUM_CONS</t>
  </si>
  <si>
    <t xml:space="preserve">ставка за потребление горячей воды,
руб./куб. м</t>
  </si>
  <si>
    <t xml:space="preserve">ставка за содержание тепловой мощности в компоненте на тепловую энергию,
тыс. руб./Гкал/ч в мес.</t>
  </si>
  <si>
    <t xml:space="preserve">В колонке "Параметр дифференциации тарифа/Заявитель" указывается наименование категории потребителей, к которой относится тариф.
Даты начала и окончания указываются в виде "ДД.ММ.ГГГГ".
В случае отсутствия даты окончания тарифа в колонке "Дата окончания" указывается "Нет".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
В случае дифференциации тарифов по периодам действия тарифа информация по ним указывается в отдельных колонках.</t>
  </si>
  <si>
    <t xml:space="preserve">Добавить диапазон диаметров тепловых сетей</t>
  </si>
  <si>
    <t xml:space="preserve">Добавить тип прокладки тепловых сетей</t>
  </si>
  <si>
    <t xml:space="preserve">Добавить подключаемую тепловую нагрузку</t>
  </si>
  <si>
    <t xml:space="preserve">Добавить строку</t>
  </si>
  <si>
    <t>FLAG</t>
  </si>
  <si>
    <t>LOAD</t>
  </si>
  <si>
    <t>NETS</t>
  </si>
  <si>
    <t>DIAMETERS</t>
  </si>
  <si>
    <t xml:space="preserve">Параметр дифференциации тарифа/ заявитель/ наименование объекта/адрес</t>
  </si>
  <si>
    <t xml:space="preserve">Подключаемая тепловая нагрузка,
Гкал/ч</t>
  </si>
  <si>
    <t xml:space="preserve">Тип прокладки тепловых сетей</t>
  </si>
  <si>
    <t xml:space="preserve">Диаметр тепловых сетей,
мм</t>
  </si>
  <si>
    <t xml:space="preserve">Плата за подключение (технологическое присоединение)</t>
  </si>
  <si>
    <t xml:space="preserve">с НДС</t>
  </si>
  <si>
    <t xml:space="preserve">без НДС</t>
  </si>
  <si>
    <t xml:space="preserve">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
Даты начала и окончания указываются в виде "ДД.ММ.ГГГГ".
В случае отсутствия даты окончания тарифа в колонке "Дата окончания" указывается "Нет".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
В случае дифференциации тарифов по периодам действия тарифа информация по ним указывается в отдельных колонках.</t>
  </si>
  <si>
    <t xml:space="preserve">Наименование централизованной системы холодного водоснабжения</t>
  </si>
  <si>
    <t xml:space="preserve">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
В случае дифференциации тарифов по централизованным системам холодного водоснабжения информация по ним указывается в отдельных строках.</t>
  </si>
  <si>
    <t xml:space="preserve">Наименование признака дифференциации</t>
  </si>
  <si>
    <t xml:space="preserve">Указывается наименование дополнительного признака дифференциации (при наличии).
Дифференциация тарифа осуществляется в соответствии с законодательством в сфере водоснабжения и водоотведения.
В случае дифференциации тарифов по дополнительным признакам информация по ним указывается в отдельных строках.</t>
  </si>
  <si>
    <t xml:space="preserve">Указывается группа потребителей при наличии дифференциации тарифа по группам потребителей.
Значение выбирается из перечня:
  - Организации-перепродавцы;
  - Бюджетные организации;
  - Население;
  - Прочие;
  - Без дифференциации.
В случае дифференциации тарифов по группам потребителей информация по ним указывается в отдельных строках.</t>
  </si>
  <si>
    <t xml:space="preserve">Добавить значение признака дифференциации</t>
  </si>
  <si>
    <t xml:space="preserve">В случае наличия нескольких значений признака дифференциации тарифов информация по ним указывается в отдельных строках.
В случае дифференциации тарифов по периодам действия тарифа информация по ним указывается в отдельных колонках.</t>
  </si>
  <si>
    <t xml:space="preserve">Добавить наименование признака дифференциации</t>
  </si>
  <si>
    <t xml:space="preserve">Одноставочный тариф</t>
  </si>
  <si>
    <t>NUM_FLAG_DIFF</t>
  </si>
  <si>
    <t>NUM_DATA_DIFF</t>
  </si>
  <si>
    <t xml:space="preserve">Одноставочный тариф,
руб./куб. м</t>
  </si>
  <si>
    <t xml:space="preserve">ставка платы за объем поданной воды,
руб./куб. м</t>
  </si>
  <si>
    <t xml:space="preserve">ставка платы за содержание мощности,
руб./куб. м в час</t>
  </si>
  <si>
    <t>pt_ist_te_9</t>
  </si>
  <si>
    <t>pt_ist_te_10</t>
  </si>
  <si>
    <t>pt_ist_te_11</t>
  </si>
  <si>
    <t>pt_ist_te_12</t>
  </si>
  <si>
    <t>Заявитель</t>
  </si>
  <si>
    <t xml:space="preserve">Наименование объекта, адрес</t>
  </si>
  <si>
    <t>тыс.руб./Гкал/ч</t>
  </si>
  <si>
    <t xml:space="preserve">ООО Специализированный застройщик «Эдельвейс-5»</t>
  </si>
  <si>
    <t xml:space="preserve">Многоэтажная жилая застройка со встроенными помещениями нежилого назначения, расположенная в районе ул. Кизлярской, 18 в г. Владивостоке</t>
  </si>
  <si>
    <t xml:space="preserve">В колонке "Параметр дифференциации тарифа/Заявитель" указывается наименование категории потребителей/заявителя, к которой относится тариф.
Даты начала и окончания указываются в виде "ДД.ММ.ГГГГ".
В случае отсутствия даты окончания тарифа в колонке "Дата окончания" указывается "Нет".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
В случае дифференциации тарифов по периодам действия тарифа информация по ним указывается в отдельных колонках.</t>
  </si>
  <si>
    <t xml:space="preserve">Добавить условия прокладки сетей</t>
  </si>
  <si>
    <t xml:space="preserve">Добавить протяженность водопроводной сети</t>
  </si>
  <si>
    <t xml:space="preserve">Добавить диапазон диаметров водопроводной сети</t>
  </si>
  <si>
    <t xml:space="preserve">Добавить подключаемую нагрузку</t>
  </si>
  <si>
    <t>DIAMETERS_2</t>
  </si>
  <si>
    <t xml:space="preserve">Параметр дифференциации тарифа/Заявитель/Наименование объекта/Адрес</t>
  </si>
  <si>
    <t xml:space="preserve">Подключаемая нагрузка водопроводной сети,
куб. м/сут</t>
  </si>
  <si>
    <t xml:space="preserve">Диапазон диаметров водопроводной сети,
мм</t>
  </si>
  <si>
    <t xml:space="preserve">Протяженность водопроводной сети,
км</t>
  </si>
  <si>
    <t xml:space="preserve">Условия прокладки сетей</t>
  </si>
  <si>
    <t xml:space="preserve">Ставка тарифа за подключаемую нагрузку водопроводной сети,
тыс. руб./куб. м в сутки</t>
  </si>
  <si>
    <t xml:space="preserve">Ставка тарифа за протяженность водопроводной сети диаметром d,
тыс. руб./км</t>
  </si>
  <si>
    <t xml:space="preserve">Срок действия тарифов</t>
  </si>
  <si>
    <t>pt_ist_te_13</t>
  </si>
  <si>
    <t xml:space="preserve">Наименование централизованной системы водоотведения</t>
  </si>
  <si>
    <t xml:space="preserve">Указывается наименование централизованной системы водоотведения при наличии дифференциации тарифа по централизованным системам водоотведения.
В случае дифференциации тарифов по централизованным системам водоотведения информация по ним указывается в отдельных строках.</t>
  </si>
  <si>
    <t xml:space="preserve">одноставочный тариф,
руб./куб. м</t>
  </si>
  <si>
    <t xml:space="preserve">ставка платы за объем 
принятых сточных вод,
руб./куб. м</t>
  </si>
  <si>
    <t>pt_ist_te_17</t>
  </si>
  <si>
    <t>pt_ist_te_18</t>
  </si>
  <si>
    <t xml:space="preserve">Добавить протяженность сети</t>
  </si>
  <si>
    <t xml:space="preserve">Добавить диапазон диаметров</t>
  </si>
  <si>
    <t xml:space="preserve">Подключаемая нагрузка канализационной сети,
куб. м/сут</t>
  </si>
  <si>
    <t xml:space="preserve">Диапазон диаметров канализационной сети,
мм</t>
  </si>
  <si>
    <t xml:space="preserve">Протяженность канализационной  сети,
км</t>
  </si>
  <si>
    <t xml:space="preserve">Ставка тарифа за подключаемую нагрузку канализационной сети,
тыс. руб./куб. м в сутки</t>
  </si>
  <si>
    <t xml:space="preserve">Ставка тарифа за протяженность канализационной сети диаметром d,
тыс. руб./км</t>
  </si>
  <si>
    <t>pt_ist_te_19</t>
  </si>
  <si>
    <t xml:space="preserve">Наименование централизованной системы горячего водоснабжения</t>
  </si>
  <si>
    <t xml:space="preserve">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
В случае дифференциации тарифов по централизованным системам горячего водоснабжения информация по ним указывается в отдельных строках.</t>
  </si>
  <si>
    <t xml:space="preserve">Одноставочный тариф, руб./куб. м</t>
  </si>
  <si>
    <t xml:space="preserve">Компонент на холодную воду</t>
  </si>
  <si>
    <t xml:space="preserve">Компонент на тепловую энергию</t>
  </si>
  <si>
    <t xml:space="preserve">Одноставочный, руб./куб.м</t>
  </si>
  <si>
    <t>Двухставочный тариф</t>
  </si>
  <si>
    <t xml:space="preserve">Одноставочный, руб./Гкал</t>
  </si>
  <si>
    <t xml:space="preserve">Ставка за содержание системы, руб./куб. м в час</t>
  </si>
  <si>
    <t xml:space="preserve">Ставка за объём поданной воды, руб./куб.м</t>
  </si>
  <si>
    <t xml:space="preserve">Ставка за тепловую энергию, руб./Гкал</t>
  </si>
  <si>
    <t xml:space="preserve">Ставка за содержание тепловой мощности, руб./Гкал в час в месяц</t>
  </si>
  <si>
    <t>pt_ist_te_14</t>
  </si>
  <si>
    <t>pt_ist_te_15</t>
  </si>
  <si>
    <t>pt_ist_te_16</t>
  </si>
  <si>
    <t>vt</t>
  </si>
  <si>
    <t>х</t>
  </si>
  <si>
    <t xml:space="preserve">В колонке «Наименование параметра» указывается вид приобретаемого топлива.
Если приобретается несколько видов топлива, то информация по каждому из них указывается отдельно.</t>
  </si>
  <si>
    <t xml:space="preserve">общая стоимость</t>
  </si>
  <si>
    <t>объём</t>
  </si>
  <si>
    <t xml:space="preserve">В колонке «Единица измерения» указываются единицы измерения объема приобретаемого топлива.
В колонке «Информация» указывается величина объема приобретаемого топлива.</t>
  </si>
  <si>
    <t xml:space="preserve">стоимость за единицу объёма</t>
  </si>
  <si>
    <t xml:space="preserve">тыс. руб.</t>
  </si>
  <si>
    <t xml:space="preserve">стоимость доставки</t>
  </si>
  <si>
    <t xml:space="preserve">способ приобретения</t>
  </si>
  <si>
    <t xml:space="preserve">Указываются прочие расходы, которые подлежат отнесению на регулируемые виды деятельности в соответствии с законодательством.</t>
  </si>
  <si>
    <t>Гкал/ч</t>
  </si>
  <si>
    <t xml:space="preserve">Указывается установленная тепловая мощность для источника тепловой энергии.</t>
  </si>
  <si>
    <t>%</t>
  </si>
  <si>
    <t xml:space="preserve">Указывается показатель использования по производственному объекту как процент объем перекачки по отношению к пиковому дню отчетного года.</t>
  </si>
  <si>
    <t xml:space="preserve">кг у. т./Гкал</t>
  </si>
  <si>
    <t xml:space="preserve">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</si>
  <si>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 xml:space="preserve">кг усл. топл./Гкал</t>
  </si>
  <si>
    <t xml:space="preserve">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</si>
  <si>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 xml:space="preserve">Территория оказания услуг</t>
  </si>
  <si>
    <t xml:space="preserve">Централизованная система</t>
  </si>
  <si>
    <t xml:space="preserve">Единица измерения</t>
  </si>
  <si>
    <t>p</t>
  </si>
  <si>
    <t>HEAT_P1</t>
  </si>
  <si>
    <t xml:space="preserve">Добавить вид топлива</t>
  </si>
  <si>
    <t>HOTVSNA_P1</t>
  </si>
  <si>
    <t>руб.</t>
  </si>
  <si>
    <t xml:space="preserve">тыс. кВт·ч</t>
  </si>
  <si>
    <t>HEAT_P6</t>
  </si>
  <si>
    <t>NOT_HOTVSNA</t>
  </si>
  <si>
    <t>отсутствует</t>
  </si>
  <si>
    <t>NOT_HEAT_P1</t>
  </si>
  <si>
    <t xml:space="preserve">Добавить прочие расходы</t>
  </si>
  <si>
    <t>HEAT_P2</t>
  </si>
  <si>
    <t>NOT_HEAT_P2</t>
  </si>
  <si>
    <t>COLDVSNA_P1</t>
  </si>
  <si>
    <t xml:space="preserve">тыс. куб. м</t>
  </si>
  <si>
    <t>HOTVSNA_P2</t>
  </si>
  <si>
    <t xml:space="preserve">тыс. Гкал</t>
  </si>
  <si>
    <t>VOTV_P1</t>
  </si>
  <si>
    <t>HEAT_P3</t>
  </si>
  <si>
    <t xml:space="preserve">Добавить источник тепловой энергии</t>
  </si>
  <si>
    <t xml:space="preserve">В случае наличия нескольких источников тепловой энергии установленная тепловая мощность по каждому из них указывается в отдельных строках.</t>
  </si>
  <si>
    <t>hyp</t>
  </si>
  <si>
    <t xml:space="preserve">тыс. Гкал/год</t>
  </si>
  <si>
    <t>человек</t>
  </si>
  <si>
    <t>HEAT_P4</t>
  </si>
  <si>
    <t>VSNA</t>
  </si>
  <si>
    <t xml:space="preserve">тыс. кВт·ч на тыс. куб. м</t>
  </si>
  <si>
    <t>COLDVSNA_P2</t>
  </si>
  <si>
    <t xml:space="preserve">Добавить производственный объект</t>
  </si>
  <si>
    <t xml:space="preserve">В случае наличия нескольких производственных объектов информация по каждому из них указывается в отдельной строке.</t>
  </si>
  <si>
    <t>HEAT_P5</t>
  </si>
  <si>
    <t xml:space="preserve">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</si>
  <si>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 xml:space="preserve">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</si>
  <si>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 xml:space="preserve">тыс. кВт.ч/Гкал</t>
  </si>
  <si>
    <t>куб.м/Гкал</t>
  </si>
  <si>
    <t xml:space="preserve">Способ приобретения</t>
  </si>
  <si>
    <t xml:space="preserve">Реквизиты договора</t>
  </si>
  <si>
    <t xml:space="preserve">Наименование товара/услуги</t>
  </si>
  <si>
    <t xml:space="preserve">Объем приобретенных товаров, услуг</t>
  </si>
  <si>
    <t xml:space="preserve">Единица измерения объема</t>
  </si>
  <si>
    <t xml:space="preserve">Стоимость, тыс. руб.</t>
  </si>
  <si>
    <t xml:space="preserve">Доля расходов, % (от суммы расходов по указанной статье)</t>
  </si>
  <si>
    <t>NOTSHOW</t>
  </si>
  <si>
    <t xml:space="preserve">Информация об объемах товаров и услуг, их стоимости и способах приобретения у организаций, в том числе:</t>
  </si>
  <si>
    <t xml:space="preserve">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</si>
  <si>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</si>
  <si>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 xml:space="preserve">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</si>
  <si>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 xml:space="preserve">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</si>
  <si>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</si>
  <si>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 xml:space="preserve">Установленная тепловая мощность объекта основных фондов</t>
  </si>
  <si>
    <t>ЧСЛ</t>
  </si>
  <si>
    <t>НОМЕР</t>
  </si>
  <si>
    <t xml:space="preserve">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</si>
  <si>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</si>
  <si>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</si>
  <si>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</si>
  <si>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</si>
  <si>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</si>
  <si>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</si>
  <si>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 xml:space="preserve">Годовая бухгалтерская (финансовая) отчетность</t>
  </si>
  <si>
    <t>СТР</t>
  </si>
  <si>
    <t xml:space="preserve">Не определено</t>
  </si>
  <si>
    <t xml:space="preserve">Годовая бухгалтерская (финансовая) отчетность, включая бухгалтерский баланс и приложения к нему</t>
  </si>
  <si>
    <t>p3</t>
  </si>
  <si>
    <t xml:space="preserve">Указывается ссылка на документ, предварительно загруженный в хранилище файлов ФГИС ЕИАС.</t>
  </si>
  <si>
    <t>L.HEAT.POWER</t>
  </si>
  <si>
    <t xml:space="preserve">Установленная тепловая мощность объектов основных фондов</t>
  </si>
  <si>
    <t xml:space="preserve">Установленная тепловая мощность объектов основных фондов, используемых для теплоснабжения, в том числе по каждому источнику тепловой энергии</t>
  </si>
  <si>
    <t xml:space="preserve">Указывается суммарная установленная тепловая мощность объектов основных фондов, используемых для осуществления теплоснабжения.</t>
  </si>
  <si>
    <t>2.0</t>
  </si>
  <si>
    <t>L.HEAT.LOAD</t>
  </si>
  <si>
    <t xml:space="preserve">Тепловая нагрузка по договорам теплоснабжения</t>
  </si>
  <si>
    <t xml:space="preserve">Информация раскрывается только единой теплоснабжающей организацией в ценовых зонах теплоснабжения.</t>
  </si>
  <si>
    <t>L.VOLUME.ENERGY.PRODUCED</t>
  </si>
  <si>
    <t xml:space="preserve">Объем вырабатываемой тепловой энергии</t>
  </si>
  <si>
    <t xml:space="preserve">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</si>
  <si>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</si>
  <si>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 xml:space="preserve">Объем приобретаемой тепловой энергии</t>
  </si>
  <si>
    <t xml:space="preserve">Объем приобретаемой единой теплоснабжающей организацией в ценовых зонах теплоснабжения тепловой энергии</t>
  </si>
  <si>
    <t>L.VOLUME.ENERGY.RELEASED</t>
  </si>
  <si>
    <t xml:space="preserve">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</si>
  <si>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</si>
  <si>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 xml:space="preserve">Указывается общий объем тепловой энергии, отпускаемой потребителям.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</si>
  <si>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</si>
  <si>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</si>
  <si>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</si>
  <si>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</si>
  <si>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</si>
  <si>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</si>
  <si>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</si>
  <si>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</si>
  <si>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</si>
  <si>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 xml:space="preserve">Объем тепловой энергии по нормативам потребления</t>
  </si>
  <si>
    <t>6.3</t>
  </si>
  <si>
    <t xml:space="preserve">по нормативам потребления коммунальных услуг и нормативам потребления коммунальных ресурсов</t>
  </si>
  <si>
    <t>L.VOLUME.LOSSES.PLAN</t>
  </si>
  <si>
    <t xml:space="preserve">Плановый объем потерь при передаче тепловой энергии</t>
  </si>
  <si>
    <t xml:space="preserve">тыс. Гкал/год </t>
  </si>
  <si>
    <t>L.VOLUME.LOSSES.FACT</t>
  </si>
  <si>
    <t xml:space="preserve">Фактический объем потерь при передаче тепловой энергии</t>
  </si>
  <si>
    <t>L.UNIT.COST.PLAN</t>
  </si>
  <si>
    <t xml:space="preserve">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</si>
  <si>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</si>
  <si>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</si>
  <si>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 xml:space="preserve">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</si>
  <si>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</si>
  <si>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</si>
  <si>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 xml:space="preserve">Среднесписочная численность основного производственного персонала</t>
  </si>
  <si>
    <t xml:space="preserve">L.ADMINISTRATIVE STAFF</t>
  </si>
  <si>
    <t xml:space="preserve">Среднесписочная численность административно-управленческого персонала</t>
  </si>
  <si>
    <t>L.UNIT.COST.EE</t>
  </si>
  <si>
    <t xml:space="preserve">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</si>
  <si>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</si>
  <si>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</si>
  <si>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 xml:space="preserve">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</si>
  <si>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</si>
  <si>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 xml:space="preserve">куб. м/Гкал</t>
  </si>
  <si>
    <t>L.CONDITION.INFO</t>
  </si>
  <si>
    <t xml:space="preserve">Информация о показателях технико-экономического состояния систем теплоснабжения</t>
  </si>
  <si>
    <t xml:space="preserve">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</si>
  <si>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</si>
  <si>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 xml:space="preserve">Прочие стандарты</t>
  </si>
  <si>
    <t>×</t>
  </si>
  <si>
    <t xml:space="preserve">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</si>
  <si>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</si>
  <si>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 xml:space="preserve">Стандарты качества обслуживания</t>
  </si>
  <si>
    <t xml:space="preserve">Стандарты качества обслуживания единой теплоснабжающей организацией в ценовых зонах теплоснабжения потребителей тепловой энергии</t>
  </si>
  <si>
    <t xml:space="preserve">Информация включает сведения о месте их опубликования.</t>
  </si>
  <si>
    <t>L.STANDARDS.INTERACTION</t>
  </si>
  <si>
    <t xml:space="preserve">Стандарты взаимодействия</t>
  </si>
  <si>
    <t xml:space="preserve">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</si>
  <si>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</si>
  <si>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 xml:space="preserve">Информация о выполнении соглашения</t>
  </si>
  <si>
    <t xml:space="preserve">Информация о выполнении соглашения об исполнении схемы теплоснабжения</t>
  </si>
  <si>
    <t xml:space="preserve">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</si>
  <si>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 xml:space="preserve">Добавить стандарты</t>
  </si>
  <si>
    <t xml:space="preserve">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</si>
  <si>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 xml:space="preserve">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</si>
  <si>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 xml:space="preserve">Выручка от регулируемого вида деятельности</t>
  </si>
  <si>
    <t xml:space="preserve">Указывается выручка от регулируемого вида деятельности </t>
  </si>
  <si>
    <t xml:space="preserve">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</si>
  <si>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</si>
  <si>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</si>
  <si>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 xml:space="preserve">производственные расходы, в том числе:</t>
  </si>
  <si>
    <t xml:space="preserve">Указывается общая сумма производственных расходов.</t>
  </si>
  <si>
    <t>2.1.1</t>
  </si>
  <si>
    <t xml:space="preserve">расходы на оплату труда основного производственного персонала</t>
  </si>
  <si>
    <t xml:space="preserve">Указывается общая сумма расходов на оплату труда и страховых взносов производственного персонала.</t>
  </si>
  <si>
    <t>2.1.2</t>
  </si>
  <si>
    <t xml:space="preserve">страховые взносы на обязательное социальное страхование, выплачиваемые из фонда оплаты труда основного производственного персонала</t>
  </si>
  <si>
    <t xml:space="preserve">ремонтные расходы, включая:</t>
  </si>
  <si>
    <t xml:space="preserve">Указывается общая сумма ремонтных расходов</t>
  </si>
  <si>
    <t>2.2.1</t>
  </si>
  <si>
    <t xml:space="preserve">расходы на текущий ремонт</t>
  </si>
  <si>
    <t>2.2.2</t>
  </si>
  <si>
    <t xml:space="preserve">расходы на капитальный ремонт</t>
  </si>
  <si>
    <t xml:space="preserve">административные расходы, в том числе:</t>
  </si>
  <si>
    <t xml:space="preserve">Указывается общая сумма расходов на оплату труда и страховых взносов административно-управленческого персонала</t>
  </si>
  <si>
    <t>2.3.1</t>
  </si>
  <si>
    <t xml:space="preserve">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</si>
  <si>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</si>
  <si>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</si>
  <si>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</si>
  <si>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 xml:space="preserve">расходы на амортизацию основных средств и нематериальных активов:</t>
  </si>
  <si>
    <t xml:space="preserve">Указывается общая сумма расходов на амортизацию основных средства и нематериальных активов</t>
  </si>
  <si>
    <t>2.4.1</t>
  </si>
  <si>
    <t xml:space="preserve">расходы на амортизацию основных средств</t>
  </si>
  <si>
    <t>2.4.2</t>
  </si>
  <si>
    <t xml:space="preserve">расходы на амортизацию нематериальных активов</t>
  </si>
  <si>
    <t>2.5</t>
  </si>
  <si>
    <t xml:space="preserve">расходы на арендную плату</t>
  </si>
  <si>
    <t>2.6</t>
  </si>
  <si>
    <t xml:space="preserve">расходы на лизинговые платежи</t>
  </si>
  <si>
    <t>2.7</t>
  </si>
  <si>
    <t xml:space="preserve"> расходы на концессионную плату</t>
  </si>
  <si>
    <t>2.8</t>
  </si>
  <si>
    <t xml:space="preserve">прочие расходы, которые подлежат отнесению на регулируемые виды деятельности, в том числе:</t>
  </si>
  <si>
    <t xml:space="preserve">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</si>
  <si>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 xml:space="preserve">В случае наличия нескольких видов прочих расходов информация указывается в отдельных строках.</t>
  </si>
  <si>
    <t>2.9</t>
  </si>
  <si>
    <t xml:space="preserve">расходы на транспортирование твёрдых коммунальных отходов</t>
  </si>
  <si>
    <t xml:space="preserve">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</si>
  <si>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 xml:space="preserve">Чистая прибыль с разбивкой по регулируемым видам деятельности, в том числе:</t>
  </si>
  <si>
    <t xml:space="preserve">Указывается общая сумма чистой прибыли, полученной от регулируемого вида деятельности.</t>
  </si>
  <si>
    <t xml:space="preserve">размер расходования чистой прибыли на финансирование мероприятий, предусмотренных инвестиционной программой</t>
  </si>
  <si>
    <t xml:space="preserve">Изменение стоимости основных фондов, в том числе:</t>
  </si>
  <si>
    <t xml:space="preserve">Указывается общее изменение стоимости основных фондов.</t>
  </si>
  <si>
    <t>4.1</t>
  </si>
  <si>
    <t xml:space="preserve">изменение стоимости основных фондов за счет их ввода в эксплуатацию (вывода из эксплуатации)</t>
  </si>
  <si>
    <t xml:space="preserve">Указываются общее изменение стоимости основных фондов за счет их ввода в эксплуатацию (вывода из эксплуатации).</t>
  </si>
  <si>
    <t>4.1.1</t>
  </si>
  <si>
    <t xml:space="preserve">изменение стоимости основных фондов за счет их ввода в эксплуатацию</t>
  </si>
  <si>
    <t xml:space="preserve">Указываются изменение стоимости основных фондов за счет их ввода в эксплуатацию.</t>
  </si>
  <si>
    <t>4.1.2</t>
  </si>
  <si>
    <t xml:space="preserve">изменение стоимости основных фондов за счет их вывода в эксплуатацию</t>
  </si>
  <si>
    <t xml:space="preserve">Указываются изменение стоимости основных фондов за счет их вывода из эксплуатации.</t>
  </si>
  <si>
    <t>4.1.3</t>
  </si>
  <si>
    <t xml:space="preserve">изменение стоимости основных фондов за счет их переоценки</t>
  </si>
  <si>
    <t xml:space="preserve">Указываются изменение стоимости основных фондов за счет их переоценки.</t>
  </si>
  <si>
    <t>-</t>
  </si>
  <si>
    <t xml:space="preserve">Указывается ссылка на документ, предварительно загруженный в хранилище файлов ФГИС ЕИАС.
Раскрывается организацией, выручка от регулируемых видов деятельности которой превышает 80 процентов совокупной выручки за отчетный год.</t>
  </si>
  <si>
    <t xml:space="preserve">Объём принятых твёрдых коммунальных отходов</t>
  </si>
  <si>
    <t xml:space="preserve">тыс. куб. м
в год</t>
  </si>
  <si>
    <t xml:space="preserve">Указание объема принятых твёрдых коммунальных отходов необязательно при указании массы принятых твёрдых коммунальных отходов.</t>
  </si>
  <si>
    <t xml:space="preserve">Масса принятых твёрдых коммунальных отходов</t>
  </si>
  <si>
    <t xml:space="preserve">тонн в год</t>
  </si>
  <si>
    <t xml:space="preserve">Указание массы принятых твёрдых коммунальных отходов необязательно при указании объёма принятых твёрдых коммунальных отходов.</t>
  </si>
  <si>
    <t xml:space="preserve">Среднесписочная численность основного персонала</t>
  </si>
  <si>
    <t xml:space="preserve">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</si>
  <si>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 xml:space="preserve">Выручка от деятельности</t>
  </si>
  <si>
    <t xml:space="preserve">Указывается выручка от деятельности</t>
  </si>
  <si>
    <t xml:space="preserve">Себестоимость оказываемых услуг по регулируемому виду деятельности, включая:</t>
  </si>
  <si>
    <t xml:space="preserve">Указывается суммарная себестоимость</t>
  </si>
  <si>
    <t xml:space="preserve">расходы на оплату труда и страховые взносы на обязательное социальное страхование, выплачиваемые из фонда оплаты труда</t>
  </si>
  <si>
    <t xml:space="preserve">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</si>
  <si>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</si>
  <si>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</si>
  <si>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 xml:space="preserve">расходы на топливо и горюче-смазочные материалы для транспортных средств, используемых для транспортирования твёрдых коммунальных отходов</t>
  </si>
  <si>
    <t xml:space="preserve">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</si>
  <si>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 xml:space="preserve">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</si>
  <si>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 xml:space="preserve">расходы на амортизацию транспортных средств, используемых для транспортирования твёрдых коммунальных отходов</t>
  </si>
  <si>
    <t xml:space="preserve">расходы на арендную плату и лизинговые платежи в отношении транспортных средств, используемых для транспортирования твёрдых коммунальных отходов</t>
  </si>
  <si>
    <t xml:space="preserve">административные расходы (за исключением расходов, предусмотренных пунктами 2.1 и 2.8 данной формы)</t>
  </si>
  <si>
    <t xml:space="preserve">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</si>
  <si>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 xml:space="preserve">прочие расходы</t>
  </si>
  <si>
    <t xml:space="preserve">Чистая прибыль в отношении деятельности по транспортированию твёрдых коммунальных отходов</t>
  </si>
  <si>
    <t xml:space="preserve">Изменение стоимости основных фондов (транспортных средств, используемых для транспортирования твёрдых коммунальных отходов), в том числе:</t>
  </si>
  <si>
    <t xml:space="preserve">Указывается общее изменение стоимости основных фондов за счет их ввода в эксплуатацию (вывода из эксплуатации), переоценки.</t>
  </si>
  <si>
    <t xml:space="preserve">Указывается изменение стоимости основных фондов за счет их ввода в эксплуатацию.</t>
  </si>
  <si>
    <t>4.2</t>
  </si>
  <si>
    <t xml:space="preserve">изменение стоимости основных фондов за счет их вывода из эксплуатации</t>
  </si>
  <si>
    <t xml:space="preserve">Указывается изменение стоимости основных фондов за счет их вывода из эксплуатации.</t>
  </si>
  <si>
    <t>4.3</t>
  </si>
  <si>
    <t xml:space="preserve">Указывается изменение стоимости основных фондов за счет их переоценки.</t>
  </si>
  <si>
    <t xml:space="preserve">Указывается ссылка на документ, предварительно загруженный в хранилище файлов ФГИС ЕИАС.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</si>
  <si>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 xml:space="preserve">Объём принятых для транспортирования твёрдых коммунальных отходов</t>
  </si>
  <si>
    <t xml:space="preserve">Масса принятых для транспортирования твёрдых коммунальных отходов</t>
  </si>
  <si>
    <t>&lt;1&gt;</t>
  </si>
  <si>
    <t xml:space="preserve">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</si>
  <si>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 xml:space="preserve">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</si>
  <si>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 xml:space="preserve">Информация, подлежащая раскрытию</t>
  </si>
  <si>
    <t>HEAT</t>
  </si>
  <si>
    <t xml:space="preserve">Количество аварий на тепловых сетях</t>
  </si>
  <si>
    <t xml:space="preserve">ед. на км</t>
  </si>
  <si>
    <t xml:space="preserve">Указывается количество любых нарушений на тепловых сетях в расчете на один километр трубопровода.</t>
  </si>
  <si>
    <t xml:space="preserve">Количество аварий на источниках тепловой энергии</t>
  </si>
  <si>
    <t xml:space="preserve">ед. на источник</t>
  </si>
  <si>
    <t xml:space="preserve">Указывается количество любых нарушений на источниках тепловой энергии</t>
  </si>
  <si>
    <t xml:space="preserve">Сведения о несоблюдении значений параметров качества теплоснабжения и (или) параметров, отражающих допустимые перерывы в теплоснабжении</t>
  </si>
  <si>
    <t xml:space="preserve">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</si>
  <si>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 xml:space="preserve">количество составленных актов, подтверждающих факт превышения разрешенных отклонений значений параметров</t>
  </si>
  <si>
    <t>шт.</t>
  </si>
  <si>
    <t xml:space="preserve">средняя продолжительность устранения превышения разрешенных отклонений значений параметров</t>
  </si>
  <si>
    <t>дн.</t>
  </si>
  <si>
    <t xml:space="preserve">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</si>
  <si>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 xml:space="preserve">Показатели надежности и энергетической эффективности, установленные в соответствии с законодательством Российской Федерации</t>
  </si>
  <si>
    <t xml:space="preserve">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
В случае, если показатели не утверждены в колонке «Информация» указывается «Не утверждены».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</si>
  <si>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 xml:space="preserve">Плановые показатели надежности объектов теплоснабжения</t>
  </si>
  <si>
    <t xml:space="preserve">количество прекращений подачи тепловой энергии, теплоносителя в результате технологических нарушений на тепловых сетях на 1 км тепловых сетей</t>
  </si>
  <si>
    <t xml:space="preserve">ед.в год/км</t>
  </si>
  <si>
    <t xml:space="preserve">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</si>
  <si>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</si>
  <si>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</si>
  <si>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</si>
  <si>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 xml:space="preserve">удельный расход топлива на производство единицы тепловой энергии, отпускаемой с коллекторов источников тепловой энергии</t>
  </si>
  <si>
    <t>т.у.т./Гкал</t>
  </si>
  <si>
    <t>4.2.2</t>
  </si>
  <si>
    <t xml:space="preserve">отношение величины технологических потерь к материальной характеристике тепловой сети</t>
  </si>
  <si>
    <t>4.2.1.1</t>
  </si>
  <si>
    <t xml:space="preserve">при передаче тепловой энергии</t>
  </si>
  <si>
    <t>Гкал/кв.м</t>
  </si>
  <si>
    <t>4.2.1.2</t>
  </si>
  <si>
    <t xml:space="preserve">при передаче теплоносителя</t>
  </si>
  <si>
    <t>тонн/кв.м</t>
  </si>
  <si>
    <t>4.2.3</t>
  </si>
  <si>
    <t xml:space="preserve">величина технологических потерь</t>
  </si>
  <si>
    <t>4.2.3.1</t>
  </si>
  <si>
    <t>Гкал/год</t>
  </si>
  <si>
    <t>4.2.3.2</t>
  </si>
  <si>
    <t xml:space="preserve">при передаче теплоносителя по тепловым сетям</t>
  </si>
  <si>
    <t>тонн/год</t>
  </si>
  <si>
    <t xml:space="preserve">Доля исполненных в срок договоров о подключении (технологическом присоединении) к системе теплоснабжения</t>
  </si>
  <si>
    <t xml:space="preserve">Указывается процент от общего количества заключенных договоров о подключении (технологическом присоединении) к системе теплоснабжения.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</si>
  <si>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Средняя продолжительность рассмотрения заявок на заключение договоров о подключении (технологическом присоединении) к системе теплоснабжения</t>
  </si>
  <si>
    <t xml:space="preserve">Единой теплоснабжающей организацией информация раскрывается в зоне ее деятельности в ценовых зонах теплоснабжения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</si>
  <si>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</si>
  <si>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 xml:space="preserve">характеристиках товаров и услуг, поставляемых и оказываемых этими организациями в ценовых зонах теплоснабжения.</t>
  </si>
  <si>
    <t>COLDVSNA</t>
  </si>
  <si>
    <t xml:space="preserve">Количество аварий на системах холодного водоснабжения</t>
  </si>
  <si>
    <t xml:space="preserve">Указывается количество любых нарушений функционирования системы холодного водоснабжения в расчете на один километр трубопровода.</t>
  </si>
  <si>
    <t xml:space="preserve">Количество случаев временного ограничения холодного водоснабжения по графику</t>
  </si>
  <si>
    <t xml:space="preserve">количество случаев ограничения холодного водоснабжения по графику для ограничений сроком менее 24 часов в сутки</t>
  </si>
  <si>
    <t>ед.</t>
  </si>
  <si>
    <t xml:space="preserve">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</si>
  <si>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 xml:space="preserve">срок действия ограничений холодного водоснабжения по графику для ограничений сроком менее 24 часов в сутки</t>
  </si>
  <si>
    <t>ч</t>
  </si>
  <si>
    <t xml:space="preserve">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</si>
  <si>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 xml:space="preserve">Доля потребителей, в отношении которых ограничено холодное водоснабжение:</t>
  </si>
  <si>
    <t xml:space="preserve">доля потребителей, в отношении которых ограничено холодное водоснабжение сроком менее 24 часов в сутки</t>
  </si>
  <si>
    <t xml:space="preserve">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</si>
  <si>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 xml:space="preserve">доля потребителей, в отношении которых ограничено холодное водоснабжение сроком 24 часа в сутки и более</t>
  </si>
  <si>
    <t xml:space="preserve">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</si>
  <si>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 xml:space="preserve">Общее количество отобранных проб питьевой воды по следующим показателям</t>
  </si>
  <si>
    <t>мутность</t>
  </si>
  <si>
    <t>цветность</t>
  </si>
  <si>
    <t xml:space="preserve">хлор остаточный общий, в том числе:</t>
  </si>
  <si>
    <t>4.3.1</t>
  </si>
  <si>
    <t xml:space="preserve">хлор остаточный связанный</t>
  </si>
  <si>
    <t>4.3.2</t>
  </si>
  <si>
    <t xml:space="preserve">хлор остаточный свободный</t>
  </si>
  <si>
    <t>4.4</t>
  </si>
  <si>
    <t xml:space="preserve">общие колиформные бактерии</t>
  </si>
  <si>
    <t>4.5</t>
  </si>
  <si>
    <t xml:space="preserve">термотолерантные колиформные бактерии</t>
  </si>
  <si>
    <t xml:space="preserve">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</si>
  <si>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</si>
  <si>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</si>
  <si>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</si>
  <si>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</si>
  <si>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</si>
  <si>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</si>
  <si>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 xml:space="preserve">Доля исполненных в срок договоров о подключении (технологическом присоединении) к централизованной системе холодного водоснабжения</t>
  </si>
  <si>
    <t xml:space="preserve">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</si>
  <si>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 xml:space="preserve">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</si>
  <si>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 xml:space="preserve">О результатах технического обследования централизованных систем холодного водоснабжения, в том числе:</t>
  </si>
  <si>
    <t>8.1</t>
  </si>
  <si>
    <t xml:space="preserve">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</si>
  <si>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</si>
  <si>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 xml:space="preserve">Количество аварий на системах горячего водоснабжения</t>
  </si>
  <si>
    <t xml:space="preserve">Указывается количество нарушений функционирования системы горячего водоснабжения в расчете на один километр трубопровода.</t>
  </si>
  <si>
    <t xml:space="preserve">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</si>
  <si>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 xml:space="preserve">количество часов (суммарно за календарный год), превышающих установленную продолжительность временного прекращения горячего водоснабжения</t>
  </si>
  <si>
    <t xml:space="preserve">количество часов (суммарно за календарный год), превышающих установленную продолжительность ограничения горячего водоснабжения</t>
  </si>
  <si>
    <t xml:space="preserve">доля потребителей, в отношении которых было осуществлено временное прекращение горячего водоснабжения</t>
  </si>
  <si>
    <t xml:space="preserve">доля потребителей, в отношении которых было осуществлено ограничение горячего водоснабжения</t>
  </si>
  <si>
    <t xml:space="preserve">Количество часов (суммарно за календарный год) отклонения показателей температуры подачи горячей воды от нормативных значений в точке разбора</t>
  </si>
  <si>
    <t xml:space="preserve">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</si>
  <si>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 xml:space="preserve">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</si>
  <si>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 xml:space="preserve">О результатах технического обследования централизованных систем горячего водоснабжения, в том числе:</t>
  </si>
  <si>
    <t xml:space="preserve">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</si>
  <si>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</si>
  <si>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 xml:space="preserve">Показатели аварийности на канализационных сетях</t>
  </si>
  <si>
    <t xml:space="preserve">Указывается количество любых нарушений на канализационных сетях.</t>
  </si>
  <si>
    <t xml:space="preserve">Количество засоров на самотечных сетях</t>
  </si>
  <si>
    <t xml:space="preserve">Указывается количество засоров на самотечных сетях.</t>
  </si>
  <si>
    <t xml:space="preserve">Общее количество отобранных проб на сбросе очищенных (частично очищенных) сточных вод:</t>
  </si>
  <si>
    <t xml:space="preserve">Указывается суммарное количество проведенных проб на сбросе очищенных вод.</t>
  </si>
  <si>
    <t xml:space="preserve">взвешенные вещества</t>
  </si>
  <si>
    <t>БПК5</t>
  </si>
  <si>
    <t>аммоний-ион</t>
  </si>
  <si>
    <t>нитрит-анион</t>
  </si>
  <si>
    <t>3.5</t>
  </si>
  <si>
    <t xml:space="preserve">фосфаты (по Р)</t>
  </si>
  <si>
    <t>3.6</t>
  </si>
  <si>
    <t>нефтепродукты</t>
  </si>
  <si>
    <t>3.7</t>
  </si>
  <si>
    <t>микробиология</t>
  </si>
  <si>
    <t xml:space="preserve">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</si>
  <si>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 xml:space="preserve">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</si>
  <si>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</si>
  <si>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</si>
  <si>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 xml:space="preserve">Доля исполненных в срок договоров о подключении (технологическом присоединении) к централизованной системе водоотведения</t>
  </si>
  <si>
    <t xml:space="preserve">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</si>
  <si>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 xml:space="preserve">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</si>
  <si>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 xml:space="preserve">О результатах технического обследования централизованных систем водоотведения, в том числе:</t>
  </si>
  <si>
    <t>7.1</t>
  </si>
  <si>
    <t xml:space="preserve">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</si>
  <si>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 xml:space="preserve">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</si>
  <si>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 xml:space="preserve">О показателях эффективности удаления загрязняющих веществ очистными сооружениями регулируемых организаций</t>
  </si>
  <si>
    <t xml:space="preserve">Наименование выведенного источника тепловой энергии</t>
  </si>
  <si>
    <t xml:space="preserve">В случае вывода из эксплуатации нескольких источников тепловой энергии информация по каждому из них указывается в отдельно.</t>
  </si>
  <si>
    <t xml:space="preserve">Дата вывода</t>
  </si>
  <si>
    <t xml:space="preserve">Дата вывода указывается в виде «ДД.ММ.ГГГГ».</t>
  </si>
  <si>
    <t xml:space="preserve">Наименование тепловой сети</t>
  </si>
  <si>
    <t xml:space="preserve">В случае вывода из эксплуатации нескольких тепловых сетей информация по каждой из них указывается в отдельно.</t>
  </si>
  <si>
    <t xml:space="preserve">Описание ограничения подачи тепловой энергии потребителям</t>
  </si>
  <si>
    <t xml:space="preserve">Дата начала ограничения</t>
  </si>
  <si>
    <t xml:space="preserve">Дата начала ограничения указывается в виде «ДД.ММ.ГГГГ».</t>
  </si>
  <si>
    <t xml:space="preserve">Дата завершения ограничения</t>
  </si>
  <si>
    <t xml:space="preserve">Дата завершения ограничения указывается в виде «ДД.ММ.ГГГГ».</t>
  </si>
  <si>
    <t xml:space="preserve">Описание прекращения режима потребления</t>
  </si>
  <si>
    <t xml:space="preserve">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</si>
  <si>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 xml:space="preserve">Дата прекращения</t>
  </si>
  <si>
    <t xml:space="preserve">Дата прекращения указывается в виде «ДД.ММ.ГГГГ».</t>
  </si>
  <si>
    <t>1.0</t>
  </si>
  <si>
    <t xml:space="preserve">Сведения о выводе источников тепловой энергии из эксплуатации</t>
  </si>
  <si>
    <t xml:space="preserve">Сведения о выводе тепловых сетей из эксплуатации</t>
  </si>
  <si>
    <t xml:space="preserve">Добавить тепловую сеть</t>
  </si>
  <si>
    <t>3.0</t>
  </si>
  <si>
    <t xml:space="preserve">Сведения об основаниях ограничения подачи тепловой энергии</t>
  </si>
  <si>
    <t>Осуществлялось</t>
  </si>
  <si>
    <t xml:space="preserve">В случае, если ограничения подачи тепловой энергии тепловой энергии не происходили, в колонке «Информация» указывается «Не осуществлялось».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
В неоднократных ограничений подачи потребления тепловой энергии потребителями информация по каждому случаю указывается отдельно.</t>
  </si>
  <si>
    <t xml:space="preserve">Добавить ограничение подачи ТЭ</t>
  </si>
  <si>
    <t>4.0</t>
  </si>
  <si>
    <t xml:space="preserve">Сведения об основаниях прекращения подачи тепловой энергии потребителям</t>
  </si>
  <si>
    <t xml:space="preserve">В случае, если прекращения подачи тепловой энергии потребителям не происходили, в колонке «Информация» указывается «Не осуществлялось».
Указывается информация о случаях прекращения подачи тепловой энергии потребителям, предусмотренных законодательством в сфере теплоснабжения.
В случае нескольких прекращений подачи тепловой энергии потребителям информация по каждому случаю указывается отдельно.</t>
  </si>
  <si>
    <t xml:space="preserve">Добавить прекращение подачи ТЭ</t>
  </si>
  <si>
    <t xml:space="preserve">Наименование ИП</t>
  </si>
  <si>
    <t xml:space="preserve">Инвестиционная программа разбивается по мероприятиям и (или) группам мероприятий</t>
  </si>
  <si>
    <t xml:space="preserve">Дата утверждения инвестиционной программы</t>
  </si>
  <si>
    <t xml:space="preserve">Дата изменения инвестиционной программы</t>
  </si>
  <si>
    <t xml:space="preserve">Цель инвестиционной программы</t>
  </si>
  <si>
    <t xml:space="preserve">Наименование исполнительного органа субъекта Российской Федерации (органа местного самоуправления), утвердившего инвестиционную программу</t>
  </si>
  <si>
    <t xml:space="preserve">Наименование органа местного самоуправления, согласовавшего инвестиционную программу</t>
  </si>
  <si>
    <t xml:space="preserve">Период реализации инвестиционной программы</t>
  </si>
  <si>
    <t xml:space="preserve">Решение уполномоченного органа об утверждении инвестиционной программы</t>
  </si>
  <si>
    <t xml:space="preserve">Решение уполномоченного органа о внесении изменений, корректировке инвестиционной программы</t>
  </si>
  <si>
    <t xml:space="preserve">О наличии в инвестиционной программе мероприятий, включенных в концессионное(-ые) соглашение(-я)</t>
  </si>
  <si>
    <t xml:space="preserve">Дата начала</t>
  </si>
  <si>
    <t xml:space="preserve">Дата окончания</t>
  </si>
  <si>
    <t xml:space="preserve">Период реализации</t>
  </si>
  <si>
    <t>Вид</t>
  </si>
  <si>
    <t>Номер</t>
  </si>
  <si>
    <t xml:space="preserve">Дата принятия</t>
  </si>
  <si>
    <t>Тип</t>
  </si>
  <si>
    <t>Наличие</t>
  </si>
  <si>
    <t xml:space="preserve">Реквизиты концессионного(-ых) соглашения(-ий)</t>
  </si>
  <si>
    <t>ip_1</t>
  </si>
  <si>
    <t xml:space="preserve">Добавить инвестиционную программу</t>
  </si>
  <si>
    <t xml:space="preserve">Год реализации инвестиционной программы</t>
  </si>
  <si>
    <t xml:space="preserve">№ п/п
мероприятия</t>
  </si>
  <si>
    <t xml:space="preserve">Группа, к которой относятся мероприятия инвестиционной программы</t>
  </si>
  <si>
    <t>Мероприятие</t>
  </si>
  <si>
    <t xml:space="preserve">№ источника</t>
  </si>
  <si>
    <t xml:space="preserve">О плановых и фактических размерах и источниках финансирования предусмотренных в утвержденной инвестиционной программе с распределением по годам</t>
  </si>
  <si>
    <t xml:space="preserve">Плановый срок реализации мероприятия и (или) группы мероприятий с распределением по годам</t>
  </si>
  <si>
    <t xml:space="preserve">Плановый срок ввода в эксплуатацию/выполнения мероприятия и (или) группы мероприятий</t>
  </si>
  <si>
    <t xml:space="preserve">Фактический срок реализации мероприятия и (или) группы мероприятий с распределением по годам</t>
  </si>
  <si>
    <t xml:space="preserve">Фактический срок ввода в эксплуатацию/выполнения мероприятия и (или) группы мероприятий</t>
  </si>
  <si>
    <t xml:space="preserve">Наименование мероприятия</t>
  </si>
  <si>
    <t xml:space="preserve">Входит в концессионное соглашение</t>
  </si>
  <si>
    <t xml:space="preserve">Объект инфраструктуры</t>
  </si>
  <si>
    <t>Признак</t>
  </si>
  <si>
    <t xml:space="preserve">Номер концессионного соглашения</t>
  </si>
  <si>
    <t xml:space="preserve">№ объекта</t>
  </si>
  <si>
    <t xml:space="preserve">Наименование объекта</t>
  </si>
  <si>
    <t xml:space="preserve">Тип объекта</t>
  </si>
  <si>
    <t xml:space="preserve">Адрес объекта</t>
  </si>
  <si>
    <t>План</t>
  </si>
  <si>
    <t>Факт</t>
  </si>
  <si>
    <t xml:space="preserve">в том числе</t>
  </si>
  <si>
    <t xml:space="preserve">Населенный пункт</t>
  </si>
  <si>
    <t xml:space="preserve">улица, проезд, проспект, переулок, и т.п.</t>
  </si>
  <si>
    <t xml:space="preserve">дом, корпус, строение</t>
  </si>
  <si>
    <t xml:space="preserve">Источник финансирования</t>
  </si>
  <si>
    <t xml:space="preserve">Размер финансирования</t>
  </si>
  <si>
    <t>месяц</t>
  </si>
  <si>
    <t>год</t>
  </si>
  <si>
    <r>
      <rPr>
        <vertAlign val="superscript"/>
        <sz val="9"/>
        <rFont val="Tahoma"/>
      </rPr>
      <t>1</t>
    </r>
    <r>
      <rPr>
        <sz val="9"/>
        <rFont val="Tahoma"/>
      </rPr>
      <t xml:space="preserve"> В соответствии с утвержденной инвестиционной программой</t>
    </r>
  </si>
  <si>
    <t xml:space="preserve">Источники финансирования</t>
  </si>
  <si>
    <t xml:space="preserve">Объем фактического выполнения за счет источников финансирования (тыс. руб. без НДС)</t>
  </si>
  <si>
    <t>Всего</t>
  </si>
  <si>
    <t>I</t>
  </si>
  <si>
    <t xml:space="preserve">Расходы на мероприятия инвестиционной программы</t>
  </si>
  <si>
    <t xml:space="preserve">Собственные средства</t>
  </si>
  <si>
    <t>1.1</t>
  </si>
  <si>
    <t xml:space="preserve">Амортизационные отчисления за исключением переоценки основных средств и нематериальных активов</t>
  </si>
  <si>
    <t>1.2</t>
  </si>
  <si>
    <t xml:space="preserve">Амортизационные отчисления в результате переоценки основных средств и нематериальных активов</t>
  </si>
  <si>
    <t>1.3</t>
  </si>
  <si>
    <t xml:space="preserve">Капитальные вложения (инвестиции), финансируемые за счет нормативной прибыли, учитываемой в необходимой валовой выручке</t>
  </si>
  <si>
    <t>1.4</t>
  </si>
  <si>
    <t xml:space="preserve">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</si>
  <si>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</si>
  <si>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 xml:space="preserve">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</si>
  <si>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</si>
  <si>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 xml:space="preserve">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</si>
  <si>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</si>
  <si>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 xml:space="preserve">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</si>
  <si>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</si>
  <si>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 xml:space="preserve">Экономия средств, достигнутая регулируемой организацией в результате снижения расходов</t>
  </si>
  <si>
    <t>1.9</t>
  </si>
  <si>
    <t xml:space="preserve">Средства, полученные за счет платы за подключение (технологическое присоединение)</t>
  </si>
  <si>
    <t>1.10</t>
  </si>
  <si>
    <t xml:space="preserve">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</si>
  <si>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</si>
  <si>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 xml:space="preserve">Средства, полученные регулируемой организацией в виде платы за негативное воздействие на работу централизованной системы водоотведения</t>
  </si>
  <si>
    <t>1.12</t>
  </si>
  <si>
    <t xml:space="preserve">Прочие собственные средства</t>
  </si>
  <si>
    <t xml:space="preserve">Привлеченные средства</t>
  </si>
  <si>
    <t>Займы</t>
  </si>
  <si>
    <t>Кредиты</t>
  </si>
  <si>
    <t xml:space="preserve">Прочие привлеченные средства</t>
  </si>
  <si>
    <t xml:space="preserve">Бюджетное финансирование</t>
  </si>
  <si>
    <t xml:space="preserve">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</si>
  <si>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 xml:space="preserve">Иные бюджетные средства.</t>
  </si>
  <si>
    <t xml:space="preserve">Прочие источники финансирования</t>
  </si>
  <si>
    <t xml:space="preserve">ИТОГО по программе</t>
  </si>
  <si>
    <t>II</t>
  </si>
  <si>
    <t xml:space="preserve">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</si>
  <si>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 xml:space="preserve">Cредства на возврат займов и кредитов, привлекаемых на реализацию мероприятий инвестиционной программ</t>
  </si>
  <si>
    <t>1.1.1</t>
  </si>
  <si>
    <t xml:space="preserve">Финансируемые за счет нормативной прибыли, учитываемой в необходимой валовой выручке</t>
  </si>
  <si>
    <t>1.1.2</t>
  </si>
  <si>
    <t xml:space="preserve">Амортизационные отчисления</t>
  </si>
  <si>
    <t>1.1.3</t>
  </si>
  <si>
    <t xml:space="preserve">Иные собственные средства</t>
  </si>
  <si>
    <t>1.1.4</t>
  </si>
  <si>
    <t xml:space="preserve">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</si>
  <si>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</si>
  <si>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</si>
  <si>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</si>
  <si>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 xml:space="preserve">Cредства на проценты по займам и кредитам, привлекаемым на реализацию мероприятий инвестиционной программ</t>
  </si>
  <si>
    <t>2.1.3</t>
  </si>
  <si>
    <t>2.1.4</t>
  </si>
  <si>
    <t xml:space="preserve">WARM FEATURES</t>
  </si>
  <si>
    <t xml:space="preserve">OTKO FEATURES</t>
  </si>
  <si>
    <t xml:space="preserve">Цель(-и) ИП</t>
  </si>
  <si>
    <t xml:space="preserve">Способ утверждения показателей</t>
  </si>
  <si>
    <t xml:space="preserve">Описание способа утверждения показателей</t>
  </si>
  <si>
    <t xml:space="preserve">Показатели качества, надежности и бесперебойности, энергетической эффективности</t>
  </si>
  <si>
    <t xml:space="preserve">Показатели надежности</t>
  </si>
  <si>
    <t xml:space="preserve">Показатели энергетической эффективности </t>
  </si>
  <si>
    <t xml:space="preserve">Показатели качества питьевой воды</t>
  </si>
  <si>
    <t xml:space="preserve">Показатели качества горячей воды</t>
  </si>
  <si>
    <t xml:space="preserve">Показатели надежности и бесперебойности</t>
  </si>
  <si>
    <t xml:space="preserve">Показатели энергетической эффективности</t>
  </si>
  <si>
    <t xml:space="preserve">Показатели очистки сточных вод</t>
  </si>
  <si>
    <t xml:space="preserve">Показатель надежности и бесперебойности</t>
  </si>
  <si>
    <t xml:space="preserve">Количество прекращений подачи тепловой энергии, теплоносителя в результате технологических нарушений</t>
  </si>
  <si>
    <t xml:space="preserve">удельный расход топлива на производство единицы тепловой энергии</t>
  </si>
  <si>
    <t xml:space="preserve">Отношение величины технологических потерь к материальной характеристике тепловой сети</t>
  </si>
  <si>
    <t xml:space="preserve">Величина технологических потерь</t>
  </si>
  <si>
    <t xml:space="preserve">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</si>
  <si>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 xml:space="preserve">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</si>
  <si>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 xml:space="preserve">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</si>
  <si>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 xml:space="preserve">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</si>
  <si>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</si>
  <si>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 xml:space="preserve">Доля потерь воды в централизованных системах водоснабжения при транспортировке в общем объёме воды, поданной в водопроводную сеть</t>
  </si>
  <si>
    <t xml:space="preserve">Удельное количество тепловой энергии, расходуемое на подогрев горячей воды</t>
  </si>
  <si>
    <t xml:space="preserve">Удельный расход электрической энергии, потребляемой в технологическом процессе</t>
  </si>
  <si>
    <t xml:space="preserve">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</si>
  <si>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</si>
  <si>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 xml:space="preserve">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</si>
  <si>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 xml:space="preserve">Удельное количество аварий и засоров в расчете на протяженность канализационной сети</t>
  </si>
  <si>
    <t xml:space="preserve">Удельный расход электрической энергии, потребляемой в технологическом процессе для:</t>
  </si>
  <si>
    <t xml:space="preserve">на тепловых сетях на 1 км тепловых сетей</t>
  </si>
  <si>
    <t xml:space="preserve">на источниках тепловой энергии на 1 Гкал/час установленной мощности</t>
  </si>
  <si>
    <t xml:space="preserve">подготовки питьевой воды, на единицу объёма воды, отпускаемой в сеть
</t>
  </si>
  <si>
    <t xml:space="preserve">транспортировки питьевой воды, на единицу объёма транспортируемой воды
</t>
  </si>
  <si>
    <t xml:space="preserve">очистки сточных вод, на единицу объёма очищаемых сточных вод</t>
  </si>
  <si>
    <t xml:space="preserve">транспортировки сточных вод, на единицу объёма транспортируемых сточных вод</t>
  </si>
  <si>
    <t xml:space="preserve">ед. в год/км</t>
  </si>
  <si>
    <t xml:space="preserve">Гкал/куб. м</t>
  </si>
  <si>
    <t xml:space="preserve">кВт*ч/куб. м</t>
  </si>
  <si>
    <t>кВт*ч/куб.м</t>
  </si>
  <si>
    <t>план</t>
  </si>
  <si>
    <t>факт</t>
  </si>
  <si>
    <t>ед</t>
  </si>
  <si>
    <t>5.0</t>
  </si>
  <si>
    <t xml:space="preserve">Добавить систему</t>
  </si>
  <si>
    <t xml:space="preserve">Добавить описание формы публичного договора</t>
  </si>
  <si>
    <t xml:space="preserve">Добавить описание договора</t>
  </si>
  <si>
    <t xml:space="preserve">сведения о договорах, заключенных в соответствии с частями 2.1 и 2.2 статьи 8 Федерального закона "О теплоснабжении"</t>
  </si>
  <si>
    <t xml:space="preserve">Статья 8 ФЗ 190-ФЗ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
2) цены на теплоноситель в виде пара, поставляемый теплоснабжающими организациями потребителям, другим теплоснабжающим организациям;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
(часть 2.1 введена Федеральным законом от 01.12.2014 № 404-ФЗ)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</si>
  <si>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 xml:space="preserve">Прочие договора</t>
  </si>
  <si>
    <t xml:space="preserve">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</si>
  <si>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</si>
  <si>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 xml:space="preserve">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
В случае наличия нескольких форм таких договоров информация по каждой из них указывается в отдельной строке.</t>
  </si>
  <si>
    <t xml:space="preserve">Добавить описание формы договора</t>
  </si>
  <si>
    <t xml:space="preserve">наименование НПА</t>
  </si>
  <si>
    <t xml:space="preserve">контактный телефон службы</t>
  </si>
  <si>
    <t xml:space="preserve">адрес службы</t>
  </si>
  <si>
    <t xml:space="preserve">график работы службы</t>
  </si>
  <si>
    <t xml:space="preserve">c 01:03 до 18:55</t>
  </si>
  <si>
    <t xml:space="preserve">Информация о размещении данных на сайте регулируемой организации</t>
  </si>
  <si>
    <t xml:space="preserve">дата размещения информации</t>
  </si>
  <si>
    <t xml:space="preserve">Дата размещения информации указывается в виде «ДД.ММ.ГГГГ».</t>
  </si>
  <si>
    <t xml:space="preserve">адрес страницы сайта в сети «Интернет» и ссылка на документ</t>
  </si>
  <si>
    <t xml:space="preserve">В колонке «Информация» указывается адрес страницы сайта в сети «Интернет», на которой размещена информация.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</si>
  <si>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
В случае наличия дополнительных сведений информация по ним указывается в отдельных строках.
</t>
  </si>
  <si>
    <t xml:space="preserve">В колонке «Информация» указывается полное наименование и реквизиты НПА.
В случае наличия нескольких НПА каждое из них указывается в отдельной строке.</t>
  </si>
  <si>
    <t>5.1.1</t>
  </si>
  <si>
    <t xml:space="preserve">Указывается номер контактного телефона службы, ответственной за прием и обработку заявок о подключении к централизованной системе теплоснабжения. 
В случае наличия нескольких служб и (или) номеров телефонов, информация по каждому из них указывается в отдельной строке.</t>
  </si>
  <si>
    <t>5.2.1</t>
  </si>
  <si>
    <t xml:space="preserve">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
В случае наличия нескольких служб и (или) адресов, информация по каждому из них указывается в отдельной строке.</t>
  </si>
  <si>
    <t xml:space="preserve">Указывается график работы службы, ответственной за прием и обработку заявок о подключении к централизованной системе теплоснабжения. 
В случае наличия нескольких служб и (или) графиков работы, информация по каждому из них указывается в отдельной строке.</t>
  </si>
  <si>
    <t>p1</t>
  </si>
  <si>
    <t xml:space="preserve">Добавить период</t>
  </si>
  <si>
    <t>p2</t>
  </si>
  <si>
    <t xml:space="preserve">Период действия тарифов</t>
  </si>
  <si>
    <t>с</t>
  </si>
  <si>
    <t>по</t>
  </si>
  <si>
    <t>p1_0</t>
  </si>
  <si>
    <t xml:space="preserve">метод экономически обоснованных расходов (затрат)</t>
  </si>
  <si>
    <t xml:space="preserve">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</si>
  <si>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 xml:space="preserve">Необходимая валовая выручка на соответствующий период, в том числе с разбивкой по годам</t>
  </si>
  <si>
    <t>p2_0</t>
  </si>
  <si>
    <t xml:space="preserve">Локальные нормативные документы (акты) Группы "РусГидро" и ПАО "РусГидро" </t>
  </si>
  <si>
    <t>https://portal.eias.ru/Portal/DownloadPage.aspx?type=12&amp;guid=026c6f1b-2ad6-4985-a197-b2a3496ef3d1</t>
  </si>
  <si>
    <t xml:space="preserve">В колонке «Информация» указывается описательная информация, характеризующая размещаемые данные.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</si>
  <si>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 xml:space="preserve">Единая информационная система в сфере закупок; сайт АО "ДГК"</t>
  </si>
  <si>
    <t xml:space="preserve">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</si>
  <si>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 xml:space="preserve">Показатели надежности и качества, установленные в соответствии с законодательством Российской Федерации</t>
  </si>
  <si>
    <t xml:space="preserve">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
В случае, если показатели надежности и качества не утверждены в колонке «Информация» указывается «Не утверждены».
Информация в данной строке не указывается теплоснабжающими организациями, теплосетевыми организациями в ценовых зонах теплоснабжения.</t>
  </si>
  <si>
    <t xml:space="preserve">Информация в строках 3.1 – 3.3 указывается в случае, если организация имеет статус единой теплоснабжающей организации в ценовых зонах теплоснабжения.</t>
  </si>
  <si>
    <t xml:space="preserve">Доля числа исполненных в срок договоров о подключении</t>
  </si>
  <si>
    <t xml:space="preserve">Указывается процент общего количества заключенных договоров о подключении (технологическом присоединении).
Информация в данной строке не указывается теплоснабжающими организациями, теплосетевыми организациями в ценовых зонах теплоснабжения.</t>
  </si>
  <si>
    <t xml:space="preserve">Средняя продолжительность рассмотрения заявлений о подключении</t>
  </si>
  <si>
    <t>Гкал/час</t>
  </si>
  <si>
    <t xml:space="preserve">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</si>
  <si>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</si>
  <si>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</si>
  <si>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</si>
  <si>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</si>
  <si>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 xml:space="preserve">Месяц
(MONTH)</t>
  </si>
  <si>
    <t xml:space="preserve">Квартал
(QUARTER)</t>
  </si>
  <si>
    <t xml:space="preserve">Месяц
(kind_of_publication)</t>
  </si>
  <si>
    <t xml:space="preserve">НДС
/kind_of_NDS/</t>
  </si>
  <si>
    <t xml:space="preserve">Номер СЦХВ(СЦВО)
/SKI_number/</t>
  </si>
  <si>
    <t xml:space="preserve">Единица измерения объема оказываемых услуг ГВС
/kind_of_unit_GVS/</t>
  </si>
  <si>
    <t xml:space="preserve">Метод регулирования
/kind_of_control_method/</t>
  </si>
  <si>
    <t xml:space="preserve">Сколько раз встретилось</t>
  </si>
  <si>
    <t xml:space="preserve">Вид деятельности, на которую установлен тариф /kind_of_activity_WARM/</t>
  </si>
  <si>
    <t xml:space="preserve">Вид теплоносителя
(kind_of_heat_transfer)</t>
  </si>
  <si>
    <t xml:space="preserve">Тип данных
(kind_of_data_type)</t>
  </si>
  <si>
    <t xml:space="preserve">Схема подключения
(kind_of_scheme_in)
(kind_of_scheme_in2)</t>
  </si>
  <si>
    <t xml:space="preserve">Группы потребителей
(kind_of_cons)</t>
  </si>
  <si>
    <t xml:space="preserve">Тип прокладки тепловых сетей
(kind_of_nets)</t>
  </si>
  <si>
    <t xml:space="preserve">Диапазаны диаметров тепловых сетей
(kind_of_diameters)</t>
  </si>
  <si>
    <t xml:space="preserve">Подключаемая тепловая нагрузка
(kind_of_load)</t>
  </si>
  <si>
    <t xml:space="preserve">Форма 2, таблица Х</t>
  </si>
  <si>
    <t xml:space="preserve">виды тарифа
/kind_group_rates/</t>
  </si>
  <si>
    <t xml:space="preserve">Заголовок таблицы</t>
  </si>
  <si>
    <t>name_rates_4</t>
  </si>
  <si>
    <t>name_rates_8</t>
  </si>
  <si>
    <t xml:space="preserve">Подключаемая тепловая нагрузка
(kind_of_load3)</t>
  </si>
  <si>
    <t xml:space="preserve">Вид теплоносителя
(kind_of_heat_transfer2)</t>
  </si>
  <si>
    <t xml:space="preserve">Вид теплоносителя
(kind_of_heat_transfer3)</t>
  </si>
  <si>
    <t xml:space="preserve">Вид топлива
(kind_of_fuel)</t>
  </si>
  <si>
    <t xml:space="preserve">Способ закупки товаров
(kind_of_zak)</t>
  </si>
  <si>
    <t xml:space="preserve">виды тарифа
/kind_group_rates_load/</t>
  </si>
  <si>
    <t xml:space="preserve">виды тарифа
/kind_group_rates_load_filter/</t>
  </si>
  <si>
    <t xml:space="preserve">виды признаков дифференциации
/kind_of_diff/</t>
  </si>
  <si>
    <t xml:space="preserve">Диапазаны диаметров водопроводных сетей
(kind_of_diameters2)</t>
  </si>
  <si>
    <t>List_H</t>
  </si>
  <si>
    <t>List_M</t>
  </si>
  <si>
    <t>kind_of_org_type</t>
  </si>
  <si>
    <t xml:space="preserve">Виды топлива
/kind_of_fuels/</t>
  </si>
  <si>
    <t>YEAR_IP_LIST</t>
  </si>
  <si>
    <t>MONTH_IP_LIST</t>
  </si>
  <si>
    <t>COLDVSNA/HOTVSNA</t>
  </si>
  <si>
    <t>OTKO</t>
  </si>
  <si>
    <t xml:space="preserve">Алтайский край</t>
  </si>
  <si>
    <t>январь</t>
  </si>
  <si>
    <t xml:space="preserve">I квартал</t>
  </si>
  <si>
    <t xml:space="preserve">На официальном сайте организации</t>
  </si>
  <si>
    <t>тыс.куб.м/сутки</t>
  </si>
  <si>
    <t>Передача+Сбыт</t>
  </si>
  <si>
    <t>вода</t>
  </si>
  <si>
    <t xml:space="preserve">первичное раскрытие информации</t>
  </si>
  <si>
    <t xml:space="preserve">без дифференциации</t>
  </si>
  <si>
    <t>организации-перепродавцы</t>
  </si>
  <si>
    <t xml:space="preserve">надземная (наземная)</t>
  </si>
  <si>
    <t xml:space="preserve">50 - 250 мм</t>
  </si>
  <si>
    <t xml:space="preserve">не превышает 0,1 Гкал/ч</t>
  </si>
  <si>
    <t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</si>
  <si>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 xml:space="preserve">Форма 4.2.1 Информация о величинах тарифов на тепловую энергию, поддержанию резервной тепловой мощности</t>
  </si>
  <si>
    <t xml:space="preserve">Тариф на теплоноситель, поставляемый потребителям</t>
  </si>
  <si>
    <t xml:space="preserve">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</si>
  <si>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</si>
  <si>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 xml:space="preserve">Газ природный по регулируемой цене</t>
  </si>
  <si>
    <t>Конкурс</t>
  </si>
  <si>
    <t xml:space="preserve">объемы потребления воды абонентами</t>
  </si>
  <si>
    <t xml:space="preserve">40 мм и менее</t>
  </si>
  <si>
    <t>00</t>
  </si>
  <si>
    <t xml:space="preserve">газ природный по регулируемой цене</t>
  </si>
  <si>
    <t xml:space="preserve">тыс м3</t>
  </si>
  <si>
    <t>Январь</t>
  </si>
  <si>
    <t xml:space="preserve">Амурская область</t>
  </si>
  <si>
    <t>февраль</t>
  </si>
  <si>
    <t xml:space="preserve">II квартал</t>
  </si>
  <si>
    <t xml:space="preserve">На сайте регулирующего органа</t>
  </si>
  <si>
    <t>УСН</t>
  </si>
  <si>
    <t xml:space="preserve">метод индексации установленных тарифов</t>
  </si>
  <si>
    <t>Передача</t>
  </si>
  <si>
    <t>пар</t>
  </si>
  <si>
    <t xml:space="preserve">к коллектору источника тепловой энергии</t>
  </si>
  <si>
    <t xml:space="preserve">бюджетные организации</t>
  </si>
  <si>
    <t xml:space="preserve">подземная (канальная)</t>
  </si>
  <si>
    <t xml:space="preserve">251 - 400 мм</t>
  </si>
  <si>
    <t xml:space="preserve">более 0,1 Гкал/ч и не превышает 1,5 Гкал/ч</t>
  </si>
  <si>
    <t xml:space="preserve">Тарифы на тепловую энергию (мощность), поставляемую другим теплоснабжающим организациям теплоснабжающими организациями</t>
  </si>
  <si>
    <t xml:space="preserve">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</si>
  <si>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 xml:space="preserve">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</si>
  <si>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 xml:space="preserve">Отборный пар, 1,2-2,5 кг/см2</t>
  </si>
  <si>
    <t>Пар</t>
  </si>
  <si>
    <t xml:space="preserve">Газ природный по нерегулируемой цене</t>
  </si>
  <si>
    <t>Аукцион</t>
  </si>
  <si>
    <t xml:space="preserve">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</si>
  <si>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 xml:space="preserve">соответствие качества питьевой воды и горячей воды требованиям, установленным санитарными нормами и правилами</t>
  </si>
  <si>
    <t xml:space="preserve">от 41 мм до 70 мм включительно</t>
  </si>
  <si>
    <t>01</t>
  </si>
  <si>
    <t xml:space="preserve">Единая теплоснабжающая организация в ценовой зоне теплоснабжения</t>
  </si>
  <si>
    <t xml:space="preserve">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</si>
  <si>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</si>
  <si>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</si>
  <si>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</si>
  <si>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</si>
  <si>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</si>
  <si>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</si>
  <si>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</si>
  <si>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</si>
  <si>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</si>
  <si>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 xml:space="preserve">Архангельская область</t>
  </si>
  <si>
    <t>март</t>
  </si>
  <si>
    <t xml:space="preserve">III квартал</t>
  </si>
  <si>
    <t>ЕСХН</t>
  </si>
  <si>
    <t>куб.м/ч</t>
  </si>
  <si>
    <t xml:space="preserve">метод обеспечения доходности инвестированного капитала</t>
  </si>
  <si>
    <t xml:space="preserve">производство комбинированная выработка</t>
  </si>
  <si>
    <t xml:space="preserve">отборный пар, 1.2-2.5 кг/см2</t>
  </si>
  <si>
    <t xml:space="preserve">к тепловой сети без дополнительного преобразования на тепловых пунктах, эксплуатируемых теплоснабжающей организацией</t>
  </si>
  <si>
    <t xml:space="preserve">население и приравненные категории</t>
  </si>
  <si>
    <t xml:space="preserve">подземная (бесканальная)</t>
  </si>
  <si>
    <t xml:space="preserve">401 - 550 мм</t>
  </si>
  <si>
    <t xml:space="preserve">превышает 1,5 Гкал/ч при наличии технической возможности подключения</t>
  </si>
  <si>
    <t xml:space="preserve">Предельный уровнь цены на тепловую энергию (мощность), поставляемую теплоснабжающими организациями потребителям</t>
  </si>
  <si>
    <t xml:space="preserve">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</si>
  <si>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 xml:space="preserve">Отборный пар, 2,5-7 кг/см2</t>
  </si>
  <si>
    <t>Уголь</t>
  </si>
  <si>
    <t xml:space="preserve">Аукцион в электронной форме</t>
  </si>
  <si>
    <t>иное</t>
  </si>
  <si>
    <t xml:space="preserve">от 71 мм до 100 мм включительно</t>
  </si>
  <si>
    <t>02</t>
  </si>
  <si>
    <t xml:space="preserve">Теплоснабжающая организация в ценовой зоне теплоснабжения</t>
  </si>
  <si>
    <t xml:space="preserve">газ сжиженный</t>
  </si>
  <si>
    <t>кг</t>
  </si>
  <si>
    <t>Март</t>
  </si>
  <si>
    <t xml:space="preserve">[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</si>
  <si>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</si>
  <si>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</si>
  <si>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</si>
  <si>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</si>
  <si>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</si>
  <si>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</si>
  <si>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</si>
  <si>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</si>
  <si>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 xml:space="preserve">Астраханская область</t>
  </si>
  <si>
    <t>апрель</t>
  </si>
  <si>
    <t xml:space="preserve">IV квартал</t>
  </si>
  <si>
    <t>ПСН</t>
  </si>
  <si>
    <t xml:space="preserve">метод сравнения аналогов</t>
  </si>
  <si>
    <t xml:space="preserve">производство (некомбинированная выработка)+передача+сбыт</t>
  </si>
  <si>
    <t xml:space="preserve">отборный пар, 2.5-7 кг/см2</t>
  </si>
  <si>
    <t xml:space="preserve">к тепловой сети после тепловых пунктов (на тепловых пунктах), эксплуатируемых теплоснабжающей организацией</t>
  </si>
  <si>
    <t>прочие</t>
  </si>
  <si>
    <t xml:space="preserve">551 - 700 мм</t>
  </si>
  <si>
    <t xml:space="preserve">превышает 1,5 Гкал/ч при отсутствии технической возможности подключения</t>
  </si>
  <si>
    <t xml:space="preserve">Форма 4.2.2 Информация о величинах тарифов на теплоноситель, передачу тепловой энергии, теплоносителя</t>
  </si>
  <si>
    <t xml:space="preserve">не известна</t>
  </si>
  <si>
    <t xml:space="preserve">Отборный пар, 7-13 кг/см2</t>
  </si>
  <si>
    <t>Мазут</t>
  </si>
  <si>
    <t xml:space="preserve">Запрос котировок</t>
  </si>
  <si>
    <t xml:space="preserve">от 101 мм до 150 мм включительно</t>
  </si>
  <si>
    <t>03</t>
  </si>
  <si>
    <t xml:space="preserve">Теплосетевая организация в ценовой зоне теплоснабжения</t>
  </si>
  <si>
    <t xml:space="preserve">газовый конденсат</t>
  </si>
  <si>
    <t>тонны</t>
  </si>
  <si>
    <t>Апрель</t>
  </si>
  <si>
    <t xml:space="preserve">  Прибыль направляемая на инвестиции</t>
  </si>
  <si>
    <t xml:space="preserve">  Нормативная прибыль</t>
  </si>
  <si>
    <t xml:space="preserve">Тариф на горячую воду в закрытой системе горячего водоснабжения (горячее водоснабжение)</t>
  </si>
  <si>
    <t xml:space="preserve">Тариф на подключение (технологическое присоединение) к централизованной системе водоотведения в индивидуальном порядке</t>
  </si>
  <si>
    <t xml:space="preserve">Белгородская область</t>
  </si>
  <si>
    <t>май</t>
  </si>
  <si>
    <t>НПД</t>
  </si>
  <si>
    <t xml:space="preserve">Вид тарифа на передачу тепловой энергии /kind_of_tariff_unit/</t>
  </si>
  <si>
    <t xml:space="preserve">производство (некомбинированная выработка)+передача</t>
  </si>
  <si>
    <t xml:space="preserve">отборный пар, 7-13 кг/см2</t>
  </si>
  <si>
    <t xml:space="preserve">701 мм и выше</t>
  </si>
  <si>
    <t xml:space="preserve">Форма 4.2.3 Информация о величинах тарифов на горячую воду (в открытых системах)</t>
  </si>
  <si>
    <t xml:space="preserve">Отборный пар, &gt; 13 кг/см2</t>
  </si>
  <si>
    <t xml:space="preserve">Дизельное топливо</t>
  </si>
  <si>
    <t xml:space="preserve">Единственный поставщик</t>
  </si>
  <si>
    <t xml:space="preserve">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</si>
  <si>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</si>
  <si>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</si>
  <si>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</si>
  <si>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</si>
  <si>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</si>
  <si>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</si>
  <si>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 xml:space="preserve">Тариф на подключение к централизованной системе водоотведения</t>
  </si>
  <si>
    <t xml:space="preserve">Брянская область</t>
  </si>
  <si>
    <t>июнь</t>
  </si>
  <si>
    <t xml:space="preserve">налогообложение казённых учреждений</t>
  </si>
  <si>
    <t>руб./Гкал/ч/мес</t>
  </si>
  <si>
    <t xml:space="preserve">производство (некомбинированная выработка)+сбыт</t>
  </si>
  <si>
    <t xml:space="preserve">отборный пар, &gt; 13 кг/см2</t>
  </si>
  <si>
    <t xml:space="preserve">Острый и редуцированный пар</t>
  </si>
  <si>
    <t>Дрова</t>
  </si>
  <si>
    <t>Иное</t>
  </si>
  <si>
    <t xml:space="preserve">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</si>
  <si>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</si>
  <si>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</si>
  <si>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</si>
  <si>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</si>
  <si>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</si>
  <si>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xml:space="preserve">[ Привлеченные средства ]</t>
  </si>
  <si>
    <t xml:space="preserve">Тариф на подключение к централизованной системе горячего водоснабжения</t>
  </si>
  <si>
    <t xml:space="preserve">Владимирская область</t>
  </si>
  <si>
    <t>июль</t>
  </si>
  <si>
    <t xml:space="preserve">смешанное налогообложение</t>
  </si>
  <si>
    <t>руб./Гкал</t>
  </si>
  <si>
    <t xml:space="preserve">производство (некомбинированная выработка)</t>
  </si>
  <si>
    <t xml:space="preserve">острый и редуцированный пар</t>
  </si>
  <si>
    <t>Электроэнергия</t>
  </si>
  <si>
    <t xml:space="preserve">от 250  мм и более</t>
  </si>
  <si>
    <t>06</t>
  </si>
  <si>
    <t xml:space="preserve">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</si>
  <si>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</si>
  <si>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</si>
  <si>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</si>
  <si>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</si>
  <si>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</si>
  <si>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 xml:space="preserve">Тариф на подключение (технологическое присоединение) к централизованной системе холодного водоснабжения в индивидуальном порядке</t>
  </si>
  <si>
    <t xml:space="preserve">Тариф на подключение к централизованной системе горячего водоснабжения (инд)</t>
  </si>
  <si>
    <t xml:space="preserve">Волгоградская область</t>
  </si>
  <si>
    <t>август</t>
  </si>
  <si>
    <t xml:space="preserve">НДС общий
/kind_of_NDS_tariff/</t>
  </si>
  <si>
    <t xml:space="preserve">НДС
/kind_of_NDS_tariff/</t>
  </si>
  <si>
    <t xml:space="preserve">горячая вода в системе централизованного теплоснабжения на отопление</t>
  </si>
  <si>
    <t>Прочее</t>
  </si>
  <si>
    <t xml:space="preserve">Плата за подключение к системе теплоснабжения</t>
  </si>
  <si>
    <t>07</t>
  </si>
  <si>
    <t xml:space="preserve">по группам мероприятий</t>
  </si>
  <si>
    <t xml:space="preserve">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</si>
  <si>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</si>
  <si>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</si>
  <si>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</si>
  <si>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</si>
  <si>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 xml:space="preserve">Вологодская область</t>
  </si>
  <si>
    <t>сентябрь</t>
  </si>
  <si>
    <t xml:space="preserve">тариф указан с НДС для плательщиков НДС</t>
  </si>
  <si>
    <t xml:space="preserve">тариф для организаций не являющихся плательщиками НДС</t>
  </si>
  <si>
    <t xml:space="preserve">Установленная электрическая мощность. Теплоэлектростанции. Ед.измерения  /kind_of_power_te_unit/</t>
  </si>
  <si>
    <t xml:space="preserve">цель инвестиционной программы /kind_of_purchase_method/</t>
  </si>
  <si>
    <t xml:space="preserve">горячая вода в системе централизованного теплоснабжения на горячее водоснабжение</t>
  </si>
  <si>
    <t xml:space="preserve">Плата за подключение к системе теплоснабжения (индивидуальная)</t>
  </si>
  <si>
    <t xml:space="preserve">Форма 4.2.5 Информация о плате за подключение к системе теплоснабжения в индивидуальном порядке</t>
  </si>
  <si>
    <t>08</t>
  </si>
  <si>
    <t xml:space="preserve">в целом на инвестиционную программу</t>
  </si>
  <si>
    <t xml:space="preserve">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</si>
  <si>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</si>
  <si>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</si>
  <si>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</si>
  <si>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</si>
  <si>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 xml:space="preserve">Воронежская область</t>
  </si>
  <si>
    <t>октябрь</t>
  </si>
  <si>
    <t xml:space="preserve">тариф указан без НДС для плательщиков НДС</t>
  </si>
  <si>
    <t xml:space="preserve">тариф не утверждался</t>
  </si>
  <si>
    <t>кВт*ч</t>
  </si>
  <si>
    <t>Торги/аукционы</t>
  </si>
  <si>
    <t>прочее</t>
  </si>
  <si>
    <t xml:space="preserve">Форма 4.2.4 Информация о величинах тарифов на подключение к системе теплоснабжения</t>
  </si>
  <si>
    <t>09</t>
  </si>
  <si>
    <t xml:space="preserve">по муниципальным образованиям/территориям</t>
  </si>
  <si>
    <t xml:space="preserve">уголь каменный</t>
  </si>
  <si>
    <t>Октябрь</t>
  </si>
  <si>
    <t xml:space="preserve">  [ Экономия расходов ]</t>
  </si>
  <si>
    <t xml:space="preserve">      Прочие займы</t>
  </si>
  <si>
    <t>г.Байконур</t>
  </si>
  <si>
    <t>ноябрь</t>
  </si>
  <si>
    <t>МВт</t>
  </si>
  <si>
    <t xml:space="preserve">Прямые договора без торгов</t>
  </si>
  <si>
    <t xml:space="preserve">Предельный уровнь цены на тепловую энергию (мощность), поставляемую теплоснабжающими организациями потребителям. Индикативы</t>
  </si>
  <si>
    <t xml:space="preserve">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</si>
  <si>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</si>
  <si>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</si>
  <si>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</si>
  <si>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</si>
  <si>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xml:space="preserve">[ Бюджетное финансирование ]</t>
  </si>
  <si>
    <t xml:space="preserve">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</si>
  <si>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</si>
  <si>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</si>
  <si>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</si>
  <si>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</si>
  <si>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</si>
  <si>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</si>
  <si>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</si>
  <si>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 xml:space="preserve">Объём приобретаемой тепловой энергии (мощности), используемой для горячего водоснабжения. Ед.измерения  /kind_of_volume_te_unit/</t>
  </si>
  <si>
    <t xml:space="preserve">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</si>
  <si>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</si>
  <si>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</si>
  <si>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</si>
  <si>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</si>
  <si>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</si>
  <si>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</si>
  <si>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 xml:space="preserve">НДС общий люди
/kind_of_NDS_tariff_people/</t>
  </si>
  <si>
    <t xml:space="preserve">НДС
/kind_of_NDS_tariff_people/</t>
  </si>
  <si>
    <t xml:space="preserve">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</si>
  <si>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 xml:space="preserve">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</si>
  <si>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</si>
  <si>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</si>
  <si>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 xml:space="preserve">Донецкая Народная Республика</t>
  </si>
  <si>
    <t>START_FILL</t>
  </si>
  <si>
    <t xml:space="preserve">тариф с НДС организаций-плательщиков НДС</t>
  </si>
  <si>
    <t xml:space="preserve">тариф организаций не являющихся плательщиками НДС</t>
  </si>
  <si>
    <t>15</t>
  </si>
  <si>
    <t xml:space="preserve">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</si>
  <si>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 xml:space="preserve">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</si>
  <si>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</si>
  <si>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xml:space="preserve">[ Прочие источники финансирования ]</t>
  </si>
  <si>
    <t xml:space="preserve">Еврейская автономная область</t>
  </si>
  <si>
    <t>16</t>
  </si>
  <si>
    <t xml:space="preserve">производство тепловой энергии (мощности) не в режиме комбинированной выработки электрической и тепловой энергии источниками тепловой энергии</t>
  </si>
  <si>
    <t xml:space="preserve">по мероприятиям и группам мероприятий</t>
  </si>
  <si>
    <t xml:space="preserve">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</si>
  <si>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</si>
  <si>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</si>
  <si>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</si>
  <si>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</si>
  <si>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</si>
  <si>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</si>
  <si>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 xml:space="preserve">Забайкальский край</t>
  </si>
  <si>
    <t xml:space="preserve">Тарифы на тепло для REQUEST.HEAT
/kind_of_tariff_RHEAT/</t>
  </si>
  <si>
    <t>17</t>
  </si>
  <si>
    <t xml:space="preserve">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</si>
  <si>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</si>
  <si>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</si>
  <si>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</si>
  <si>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</si>
  <si>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</si>
  <si>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</si>
  <si>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</si>
  <si>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</si>
  <si>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</si>
  <si>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</si>
  <si>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</si>
  <si>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 xml:space="preserve">Запорожская область</t>
  </si>
  <si>
    <t>18</t>
  </si>
  <si>
    <t xml:space="preserve">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</si>
  <si>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</si>
  <si>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</si>
  <si>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</si>
  <si>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</si>
  <si>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 xml:space="preserve">Производство тепловой энергии. Некомбинированная выработка</t>
  </si>
  <si>
    <t xml:space="preserve">Холодное водоснабжение. Питьевая вода</t>
  </si>
  <si>
    <t xml:space="preserve">Горячее водоснабжение</t>
  </si>
  <si>
    <t>Водоотведение</t>
  </si>
  <si>
    <t xml:space="preserve">Захоронение твердых коммунальных отходов</t>
  </si>
  <si>
    <t xml:space="preserve">Ивановская область</t>
  </si>
  <si>
    <t>19</t>
  </si>
  <si>
    <t xml:space="preserve">сбыт тепловой энергии и теплоносителя</t>
  </si>
  <si>
    <t xml:space="preserve">уменьшение удельных затрат (повышение КПД)</t>
  </si>
  <si>
    <t>щепа</t>
  </si>
  <si>
    <t xml:space="preserve">Производство тепловой энергии. Комбинированная выработка с уст. мощностью производства электрической энергии менее 25 МВт</t>
  </si>
  <si>
    <t xml:space="preserve">Холодное водоснабжение. Техническая вода</t>
  </si>
  <si>
    <t>Транспортировка</t>
  </si>
  <si>
    <t xml:space="preserve">Обезвреживание твердых коммунальных отходов</t>
  </si>
  <si>
    <t xml:space="preserve">Иркутская область</t>
  </si>
  <si>
    <t>20</t>
  </si>
  <si>
    <t xml:space="preserve">подключение к системе теплоснабжения</t>
  </si>
  <si>
    <t xml:space="preserve">автоматизация (с уменьшением штата)</t>
  </si>
  <si>
    <t xml:space="preserve">горючий сланец</t>
  </si>
  <si>
    <t xml:space="preserve">Производство тепловой энергии. Комбинированная выработка с уст. мощностью производства электрической энергии 25 МВт и более</t>
  </si>
  <si>
    <t xml:space="preserve">Холодное водоснабжение. Подвозная вода</t>
  </si>
  <si>
    <t xml:space="preserve">Подключение (технологическое присоединение) к централизованной системе горячего водоснабжения</t>
  </si>
  <si>
    <t xml:space="preserve">Подключение (технологическое присоединение) к централизованной системе водоотведения</t>
  </si>
  <si>
    <t xml:space="preserve">Обработка твердых коммунальных отходов</t>
  </si>
  <si>
    <t xml:space="preserve">Кабардино-Балкарская республика</t>
  </si>
  <si>
    <t xml:space="preserve">поддержание резервной тепловой мощности при отсутствии потребления тепловой энергии</t>
  </si>
  <si>
    <t xml:space="preserve">уменьшение издержек на производство</t>
  </si>
  <si>
    <t>керосин</t>
  </si>
  <si>
    <t xml:space="preserve">Производство. Теплоноситель</t>
  </si>
  <si>
    <t xml:space="preserve">Транспортировка. Питьевая вода</t>
  </si>
  <si>
    <t xml:space="preserve">Калининградская область</t>
  </si>
  <si>
    <t>21</t>
  </si>
  <si>
    <t xml:space="preserve">снижение аварийности</t>
  </si>
  <si>
    <t xml:space="preserve">кислородно-водородная смесь</t>
  </si>
  <si>
    <t xml:space="preserve">Передача. Тепловая энергия</t>
  </si>
  <si>
    <t xml:space="preserve">Транспортировка. Техническая вода</t>
  </si>
  <si>
    <t xml:space="preserve">Энергетическая утилизация</t>
  </si>
  <si>
    <t xml:space="preserve">Калужская область</t>
  </si>
  <si>
    <t>22</t>
  </si>
  <si>
    <t xml:space="preserve">улучшение качества</t>
  </si>
  <si>
    <t xml:space="preserve">электроэнергия (НН)</t>
  </si>
  <si>
    <t xml:space="preserve">тыс кВт.ч</t>
  </si>
  <si>
    <t xml:space="preserve">Передача. Теплоноситель</t>
  </si>
  <si>
    <t xml:space="preserve">Транспортировка. Подвозная вода</t>
  </si>
  <si>
    <t xml:space="preserve">Транспортирование твердых коммунальных отходов</t>
  </si>
  <si>
    <t xml:space="preserve">Камчатский край</t>
  </si>
  <si>
    <t>23</t>
  </si>
  <si>
    <t xml:space="preserve">повышение надёжности и энергетической эффективности</t>
  </si>
  <si>
    <t xml:space="preserve">электроэнергия (СН1)</t>
  </si>
  <si>
    <t xml:space="preserve">Сбыт. Тепловая энергия</t>
  </si>
  <si>
    <t xml:space="preserve">Подключение (технологическое присоединение) к централизованной системе водоснабжения</t>
  </si>
  <si>
    <t xml:space="preserve">Карачаево-Черкесская республика</t>
  </si>
  <si>
    <t>CROSSES</t>
  </si>
  <si>
    <t>24</t>
  </si>
  <si>
    <t xml:space="preserve">электроэнергия (СН2)</t>
  </si>
  <si>
    <t xml:space="preserve">Сбыт. Теплоноситель</t>
  </si>
  <si>
    <t xml:space="preserve">Кемеровская область</t>
  </si>
  <si>
    <t>25</t>
  </si>
  <si>
    <t xml:space="preserve">электроэнергия (ВН)</t>
  </si>
  <si>
    <t xml:space="preserve">Подключение (технологическое присоединение) к системе теплоснабжения</t>
  </si>
  <si>
    <t xml:space="preserve">Кировская область</t>
  </si>
  <si>
    <t xml:space="preserve">Текущая дата</t>
  </si>
  <si>
    <t>26</t>
  </si>
  <si>
    <t>PT_GROUP_CONSUMER_LIST</t>
  </si>
  <si>
    <t>мощность</t>
  </si>
  <si>
    <t xml:space="preserve">тыс кВт</t>
  </si>
  <si>
    <t xml:space="preserve">Поддержание резервной тепловой мощности при отсутствии потребления тепловой энергии</t>
  </si>
  <si>
    <t xml:space="preserve">Костромская область</t>
  </si>
  <si>
    <t>Организация</t>
  </si>
  <si>
    <t xml:space="preserve">25.07.2023 22:51:32</t>
  </si>
  <si>
    <t>27</t>
  </si>
  <si>
    <t xml:space="preserve">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</si>
  <si>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</si>
  <si>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</si>
  <si>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 xml:space="preserve">Красноярский край</t>
  </si>
  <si>
    <t>29</t>
  </si>
  <si>
    <t>население</t>
  </si>
  <si>
    <t xml:space="preserve">  Иные бюджетные средства</t>
  </si>
  <si>
    <t xml:space="preserve">Курганская область</t>
  </si>
  <si>
    <t xml:space="preserve">Виды деятельности</t>
  </si>
  <si>
    <t>https://appsrv.regportal-tariff.ru/procwsxls/</t>
  </si>
  <si>
    <t>30</t>
  </si>
  <si>
    <t xml:space="preserve">Курская область</t>
  </si>
  <si>
    <t>31</t>
  </si>
  <si>
    <t xml:space="preserve">Ленинградская область</t>
  </si>
  <si>
    <t>32</t>
  </si>
  <si>
    <t xml:space="preserve">Липецкая область</t>
  </si>
  <si>
    <t>33</t>
  </si>
  <si>
    <t>PT_SCHEME_LIST</t>
  </si>
  <si>
    <t xml:space="preserve">  Доход от взимания платы за нарушение нормативов по объему и (или) составу сточных вод</t>
  </si>
  <si>
    <t xml:space="preserve">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</si>
  <si>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</si>
  <si>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</si>
  <si>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</si>
  <si>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 xml:space="preserve">Магаданская область</t>
  </si>
  <si>
    <t>теплоснабжения</t>
  </si>
  <si>
    <t>теплоснабжение</t>
  </si>
  <si>
    <t>35</t>
  </si>
  <si>
    <t xml:space="preserve">Московская область</t>
  </si>
  <si>
    <t xml:space="preserve">холодного водоснабжения</t>
  </si>
  <si>
    <t xml:space="preserve">холодное водоснабжение</t>
  </si>
  <si>
    <t>36</t>
  </si>
  <si>
    <t>HEAT_FIN_SRC_VLD_LIST</t>
  </si>
  <si>
    <t>VSNA_FIN_SRC_VLD_LIST</t>
  </si>
  <si>
    <t>VOTV_FIN_SRC_VLD_LIST</t>
  </si>
  <si>
    <t>OTKO_FIN_SRC_VLD_LIST</t>
  </si>
  <si>
    <t xml:space="preserve">Мурманская область</t>
  </si>
  <si>
    <t>водоотведения</t>
  </si>
  <si>
    <t>водоотведение</t>
  </si>
  <si>
    <t>37</t>
  </si>
  <si>
    <t xml:space="preserve">Прибыль направляемая на инвестиции</t>
  </si>
  <si>
    <t xml:space="preserve">Нормативная прибыль</t>
  </si>
  <si>
    <t xml:space="preserve">Ненецкий автономный округ</t>
  </si>
  <si>
    <t xml:space="preserve">горячего водоснабжения</t>
  </si>
  <si>
    <t xml:space="preserve">горячее водоснабжение</t>
  </si>
  <si>
    <t>38</t>
  </si>
  <si>
    <t xml:space="preserve">Амортизационные отчисления с выделением результатов переоценки основных средств и нематериальных активов</t>
  </si>
  <si>
    <t xml:space="preserve">Нижегородская область</t>
  </si>
  <si>
    <t xml:space="preserve">обращения с твердыми коммунальными отходами</t>
  </si>
  <si>
    <t>TKO</t>
  </si>
  <si>
    <t>39</t>
  </si>
  <si>
    <t>PT_TN_LIST</t>
  </si>
  <si>
    <t xml:space="preserve">Прочие амортизационные отчисления</t>
  </si>
  <si>
    <t xml:space="preserve">Новгородская область</t>
  </si>
  <si>
    <t>40</t>
  </si>
  <si>
    <t xml:space="preserve">Займы, предоставленные Фондом ЖКХ за счет средств ФНБ</t>
  </si>
  <si>
    <t xml:space="preserve">Новосибирская область</t>
  </si>
  <si>
    <t>41</t>
  </si>
  <si>
    <t xml:space="preserve">За счет платы за технологическое присоединение</t>
  </si>
  <si>
    <t xml:space="preserve">Прочие займы</t>
  </si>
  <si>
    <t xml:space="preserve">Омская область</t>
  </si>
  <si>
    <t>PeriodIsEmpty</t>
  </si>
  <si>
    <t>NameTemplatesInTitle</t>
  </si>
  <si>
    <t>NameTemplatesInListMO</t>
  </si>
  <si>
    <t>42</t>
  </si>
  <si>
    <t xml:space="preserve">Экономия расходов в результате реализации мероприятий инвестиционной программы</t>
  </si>
  <si>
    <t xml:space="preserve">Федеральный бюджет</t>
  </si>
  <si>
    <t xml:space="preserve">Оренбургская область</t>
  </si>
  <si>
    <t>TEMPLATE_GROUP</t>
  </si>
  <si>
    <t>R</t>
  </si>
  <si>
    <t>CodeTemplate</t>
  </si>
  <si>
    <t>StartDate</t>
  </si>
  <si>
    <t>EndDate</t>
  </si>
  <si>
    <t>43</t>
  </si>
  <si>
    <t xml:space="preserve">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</si>
  <si>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Бюджет субъекта РФ</t>
  </si>
  <si>
    <t xml:space="preserve">Орловская область</t>
  </si>
  <si>
    <t>O</t>
  </si>
  <si>
    <t>44</t>
  </si>
  <si>
    <t xml:space="preserve">Бюджет муниципального образования</t>
  </si>
  <si>
    <t xml:space="preserve">Пензенская область</t>
  </si>
  <si>
    <t>Q</t>
  </si>
  <si>
    <t>45</t>
  </si>
  <si>
    <t>Лизинг</t>
  </si>
  <si>
    <t xml:space="preserve">Пермский край</t>
  </si>
  <si>
    <t>BALANCE</t>
  </si>
  <si>
    <t>B</t>
  </si>
  <si>
    <t xml:space="preserve">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</si>
  <si>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</si>
  <si>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</si>
  <si>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TERMS</t>
  </si>
  <si>
    <t>T</t>
  </si>
  <si>
    <t>47</t>
  </si>
  <si>
    <t xml:space="preserve">Псковская область</t>
  </si>
  <si>
    <t>INVEST</t>
  </si>
  <si>
    <t>48</t>
  </si>
  <si>
    <t xml:space="preserve">Республика Адыгея</t>
  </si>
  <si>
    <t>REQUEST</t>
  </si>
  <si>
    <t>49</t>
  </si>
  <si>
    <t xml:space="preserve">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</si>
  <si>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 xml:space="preserve">Республика Алтай</t>
  </si>
  <si>
    <t>PRICE</t>
  </si>
  <si>
    <t>P</t>
  </si>
  <si>
    <t>50</t>
  </si>
  <si>
    <t xml:space="preserve">Республика Башкортостан</t>
  </si>
  <si>
    <t>ROIV</t>
  </si>
  <si>
    <t xml:space="preserve">Показатели, подлежащие раскрытию органами регулирования</t>
  </si>
  <si>
    <t>51</t>
  </si>
  <si>
    <t xml:space="preserve">Республика Бурятия</t>
  </si>
  <si>
    <t>52</t>
  </si>
  <si>
    <t>PT_NETS_LIST</t>
  </si>
  <si>
    <t xml:space="preserve">Республика Дагестан</t>
  </si>
  <si>
    <t>53</t>
  </si>
  <si>
    <t xml:space="preserve">Республика Ингушетия</t>
  </si>
  <si>
    <t>TERRITORY_ID</t>
  </si>
  <si>
    <t xml:space="preserve">начинать только с 2, остальное по умолчанию</t>
  </si>
  <si>
    <t>54</t>
  </si>
  <si>
    <t xml:space="preserve">Республика Калмыкия</t>
  </si>
  <si>
    <t>DIFFERENTIATION_ID</t>
  </si>
  <si>
    <t>55</t>
  </si>
  <si>
    <t xml:space="preserve">Республика Карелия</t>
  </si>
  <si>
    <t>IP_ID</t>
  </si>
  <si>
    <t>56</t>
  </si>
  <si>
    <t xml:space="preserve">Республика Коми</t>
  </si>
  <si>
    <t xml:space="preserve">начинать только с 30, остальное по умолчанию</t>
  </si>
  <si>
    <t>57</t>
  </si>
  <si>
    <t>PT_DIAMETERS_LIST</t>
  </si>
  <si>
    <t xml:space="preserve">Республика Крым</t>
  </si>
  <si>
    <t>VDET_ID</t>
  </si>
  <si>
    <t>58</t>
  </si>
  <si>
    <t xml:space="preserve">Республика Марий Эл</t>
  </si>
  <si>
    <t>NTAR_ID</t>
  </si>
  <si>
    <t>59</t>
  </si>
  <si>
    <t xml:space="preserve">Республика Мордовия</t>
  </si>
  <si>
    <t xml:space="preserve">Республика Саха (Якутия)</t>
  </si>
  <si>
    <t>CS_ID</t>
  </si>
  <si>
    <t xml:space="preserve">Республика Северная Осетия-Алания</t>
  </si>
  <si>
    <t>IST_TE_ID</t>
  </si>
  <si>
    <t xml:space="preserve">Республика Татарстан</t>
  </si>
  <si>
    <t xml:space="preserve">Республика Тыва</t>
  </si>
  <si>
    <t>PT_LOAD_LIST</t>
  </si>
  <si>
    <t xml:space="preserve">Республика Хакасия</t>
  </si>
  <si>
    <t xml:space="preserve">Ростовская область</t>
  </si>
  <si>
    <t>HEAT_IP_EVENT_GROUP_LIST</t>
  </si>
  <si>
    <t>VSNA_IP_EVENT_GROUP_LIST</t>
  </si>
  <si>
    <t>VOTV_IP_EVENT_GROUP_LIST</t>
  </si>
  <si>
    <t>OTKO_IP_EVENT_GROUP_LIST</t>
  </si>
  <si>
    <t xml:space="preserve">Рязанская область</t>
  </si>
  <si>
    <t xml:space="preserve">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</si>
  <si>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 xml:space="preserve">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</si>
  <si>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 xml:space="preserve">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</si>
  <si>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 xml:space="preserve">Мероприятия инвестиционной программы в части накопления твердых коммунальных отходов</t>
  </si>
  <si>
    <t xml:space="preserve">Самарская область</t>
  </si>
  <si>
    <t xml:space="preserve">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</si>
  <si>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 xml:space="preserve">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</si>
  <si>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 xml:space="preserve">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</si>
  <si>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 xml:space="preserve">Мероприятия инвестиционной программы в части обработки твердых коммунальных отходов</t>
  </si>
  <si>
    <t xml:space="preserve">Саратовская область</t>
  </si>
  <si>
    <t xml:space="preserve">Реконструкция или модернизация существующих объектов теплоснабжения в целях снижения уровня износа существующих объектов теплоснабжения</t>
  </si>
  <si>
    <t xml:space="preserve">Реконструкция или модернизация существующих объектов водоснабжения в целях снижения уровня износа существующих объектов водоснабжения</t>
  </si>
  <si>
    <t xml:space="preserve">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</si>
  <si>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 xml:space="preserve">Мероприятия инвестиционной программы в части утилизации твердых коммунальных отходов</t>
  </si>
  <si>
    <t xml:space="preserve">Сахалинская область</t>
  </si>
  <si>
    <t xml:space="preserve">Мероприятия, направленные на повышение экологической эффективности</t>
  </si>
  <si>
    <t xml:space="preserve">Мероприятия инвестиционной программы в части обезвреживания твердых коммунальных отходов</t>
  </si>
  <si>
    <t xml:space="preserve">Свердловская область</t>
  </si>
  <si>
    <t xml:space="preserve">Вывод из эксплуатации, консервации и демонтаж объектов теплоснабжения</t>
  </si>
  <si>
    <t xml:space="preserve">Вывод из эксплуатации, консервация и демонтаж объектов водоснабжения</t>
  </si>
  <si>
    <t xml:space="preserve">Вывод из эксплуатации, консервация и демонтаж объектов водоотведения и очистки сточных вод</t>
  </si>
  <si>
    <t xml:space="preserve">Мероприятия инвестиционной программы в части хранения твердых коммунальных отходов</t>
  </si>
  <si>
    <t xml:space="preserve">Смоленская область</t>
  </si>
  <si>
    <t xml:space="preserve">Мероприятия, направленные на повышение энергоэффективности в сфере теплоснабжения</t>
  </si>
  <si>
    <t xml:space="preserve">Мероприятия, направленные на повышение энергоэффективности в сфере водоснабжения</t>
  </si>
  <si>
    <t xml:space="preserve">Мероприятия, направленные на повышение энергоэффективности в сфере водоотведения и очистки сточных вод</t>
  </si>
  <si>
    <t xml:space="preserve">Мероприятия инвестиционной программы в части захоронения твердых коммунальных отходов</t>
  </si>
  <si>
    <t xml:space="preserve">Ставропольский край</t>
  </si>
  <si>
    <t>PT_DIAMETERS_2_LIST</t>
  </si>
  <si>
    <t xml:space="preserve">Мероприятия по подготовке проектной документации</t>
  </si>
  <si>
    <t xml:space="preserve">Тамбовская область</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</si>
  <si>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</si>
  <si>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</si>
  <si>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
</t>
  </si>
  <si>
    <t xml:space="preserve">Тверская область</t>
  </si>
  <si>
    <t xml:space="preserve">Томская область</t>
  </si>
  <si>
    <t xml:space="preserve">Тульская область</t>
  </si>
  <si>
    <t>HEAT_IP_EVENT_SUBGROUP_1_LIST</t>
  </si>
  <si>
    <t>VSNA_IP_EVENT_SUBGROUP_1_LIST</t>
  </si>
  <si>
    <t>VOTV_IP_EVENT_SUBGROUP_1_LIST</t>
  </si>
  <si>
    <t xml:space="preserve">Тюменская область</t>
  </si>
  <si>
    <t xml:space="preserve">строительство новых тепловых сетей в целях подключения потребителей</t>
  </si>
  <si>
    <t xml:space="preserve">строительство новых сетей водоснабжения в целях подключения потребителей</t>
  </si>
  <si>
    <t xml:space="preserve">строительство новых сетей водоотведения и очистки сточных вод в целях подключения потребителей</t>
  </si>
  <si>
    <t xml:space="preserve">Удмуртская республика</t>
  </si>
  <si>
    <t xml:space="preserve">строительство иных объектов теплоснабжения за исключением тепловых сетей в целях подключения потребителей</t>
  </si>
  <si>
    <t xml:space="preserve">строительство иных объектов водоснабжения, за исключением сетей водоснабжения в целях подключения потребителей</t>
  </si>
  <si>
    <t xml:space="preserve">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</si>
  <si>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 xml:space="preserve">Ульяновская область</t>
  </si>
  <si>
    <t xml:space="preserve">увеличение пропускной способности существующих тепловых сетей в целях подключения потребителей</t>
  </si>
  <si>
    <t xml:space="preserve">увеличение пропускной способности существующих сетей водоснабжения в целях подключения потребителей</t>
  </si>
  <si>
    <t xml:space="preserve">увеличение пропускной способности существующих сетей водоотведения и очистки сточных вод в целях подключения потребителей</t>
  </si>
  <si>
    <t xml:space="preserve">Хабаровский край</t>
  </si>
  <si>
    <t xml:space="preserve">увеличение мощности и производительности существующих объектов теплоснабжения за исключением тепловых сетей в целях подключения потребителей</t>
  </si>
  <si>
    <t xml:space="preserve">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</si>
  <si>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 xml:space="preserve">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</si>
  <si>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 xml:space="preserve">Ханты-Мансийский автономный округ</t>
  </si>
  <si>
    <t>TYPE_TKO_LIST</t>
  </si>
  <si>
    <t xml:space="preserve">Херсонская область</t>
  </si>
  <si>
    <t>несортированные</t>
  </si>
  <si>
    <t xml:space="preserve">Челябинская область</t>
  </si>
  <si>
    <t>сортированные</t>
  </si>
  <si>
    <t>HEAT_IP_EVENT_SUBGROUP_3_LIST</t>
  </si>
  <si>
    <t>VSNA_IP_EVENT_SUBGROUP_3_LIST</t>
  </si>
  <si>
    <t>VOTV_IP_EVENT_SUBGROUP_3_LIST</t>
  </si>
  <si>
    <t xml:space="preserve">Чеченская республика</t>
  </si>
  <si>
    <t>крупногабаритные</t>
  </si>
  <si>
    <t xml:space="preserve">реконструкция или модернизация существующих тепловых сетей</t>
  </si>
  <si>
    <t xml:space="preserve">реконструкция или модернизация существующих сетей водоснабжения</t>
  </si>
  <si>
    <t xml:space="preserve">реконструкция или модернизация существующих сетей водоотведения и очистки сточных вод</t>
  </si>
  <si>
    <t xml:space="preserve">Чувашская республика</t>
  </si>
  <si>
    <t xml:space="preserve">реконструкция или модернизация существующих объектов теплоснабжения, за исключением тепловых сетей</t>
  </si>
  <si>
    <t xml:space="preserve">реконструкция или модернизация существующих объектов водоснабжения, за исключением сетей водоснабжения</t>
  </si>
  <si>
    <t xml:space="preserve">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</si>
  <si>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 xml:space="preserve">Чукотский автономный округ</t>
  </si>
  <si>
    <t>CLASS_TKO_LIST</t>
  </si>
  <si>
    <t xml:space="preserve">Ямало-Ненецкий автономный округ</t>
  </si>
  <si>
    <t xml:space="preserve">Ярославская область</t>
  </si>
  <si>
    <t>HEAT_IP_EVENT_SUBGROUP_5_LIST</t>
  </si>
  <si>
    <t>VSNA_IP_EVENT_SUBGROUP_5_LIST</t>
  </si>
  <si>
    <t>VOTV_IP_EVENT_SUBGROUP_5_LIST</t>
  </si>
  <si>
    <t>III</t>
  </si>
  <si>
    <t xml:space="preserve">вывод из эксплуатации, консервация и демонтаж тепловых сетей</t>
  </si>
  <si>
    <t xml:space="preserve">вывод из эксплуатации, консервация и демонтаж сетей водоснабжения</t>
  </si>
  <si>
    <t xml:space="preserve">вывод из эксплуатации, консервация и демонтаж сетей водоотведения и очистки сточных вод</t>
  </si>
  <si>
    <t>IV</t>
  </si>
  <si>
    <t xml:space="preserve">вывод из эксплуатации, консервация и демонтаж иных объектов теплоснабжения, за исключением тепловых сетей</t>
  </si>
  <si>
    <t xml:space="preserve">вывод из эксплуатации, консервация и демонтаж иных объектов водоснабжения, за исключением сетей водоснабжения</t>
  </si>
  <si>
    <t xml:space="preserve">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</si>
  <si>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</si>
  <si>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</si>
  <si>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</si>
  <si>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</si>
  <si>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</si>
  <si>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</si>
  <si>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 xml:space="preserve">информация об органе регулирования и перечень организаций</t>
  </si>
  <si>
    <t xml:space="preserve">в течение 30 дней со дня изменения такой информации</t>
  </si>
  <si>
    <t xml:space="preserve">производство тепловой энергии</t>
  </si>
  <si>
    <t xml:space="preserve">на забор и подъём воды</t>
  </si>
  <si>
    <t xml:space="preserve">на транспортировку сточных вод</t>
  </si>
  <si>
    <t>сбор</t>
  </si>
  <si>
    <t xml:space="preserve">доклад о результатах правоприменительной практики</t>
  </si>
  <si>
    <t xml:space="preserve">не позднее 3 дней со дня утверждения доклада</t>
  </si>
  <si>
    <t xml:space="preserve">передача теплоэнергии по региональным тепловым сетям</t>
  </si>
  <si>
    <t xml:space="preserve">на водоподготовку</t>
  </si>
  <si>
    <t xml:space="preserve">очистка сточных вод</t>
  </si>
  <si>
    <t>накопление</t>
  </si>
  <si>
    <t xml:space="preserve">дата, время и место проведения заседания об установлении тарифов</t>
  </si>
  <si>
    <t xml:space="preserve">прочие объекты и мероприятия, относимые к регулируемому виду деятельности</t>
  </si>
  <si>
    <t xml:space="preserve">на транспортировку воды</t>
  </si>
  <si>
    <t xml:space="preserve">обращение с осадком сточных вод</t>
  </si>
  <si>
    <t>транспортирование</t>
  </si>
  <si>
    <t xml:space="preserve">информация о принятых решениях об установлении тарифов</t>
  </si>
  <si>
    <t>обработка</t>
  </si>
  <si>
    <t xml:space="preserve">информация о принятых решениях об утверждении предельного уровня цены на тепловую энергию (мощность)</t>
  </si>
  <si>
    <t xml:space="preserve">в течение 10 дней со дня принятия соответствующего решения</t>
  </si>
  <si>
    <t>утилизация</t>
  </si>
  <si>
    <t xml:space="preserve">протокол заседания правления</t>
  </si>
  <si>
    <t>обезвреживание</t>
  </si>
  <si>
    <t xml:space="preserve">информация о привлечении к ответственности</t>
  </si>
  <si>
    <t xml:space="preserve">до 30 апреля года, следующего за отчётным годом</t>
  </si>
  <si>
    <t xml:space="preserve">размещение отходов</t>
  </si>
  <si>
    <t xml:space="preserve">энергетическая утилизация</t>
  </si>
  <si>
    <t>UNIT_CONNECT_LIST</t>
  </si>
  <si>
    <t>тыс.руб.</t>
  </si>
  <si>
    <t>WARM_IP_EVENT_TYPE_LIST</t>
  </si>
  <si>
    <t>VSNA_IP_EVENT_TYPE_LIST</t>
  </si>
  <si>
    <t>VOTV_IP_EVENT_TYPE_LIST</t>
  </si>
  <si>
    <t>OTKO_IP_EVENT_TYPE_LIST</t>
  </si>
  <si>
    <t xml:space="preserve">Производство тепловой энергии</t>
  </si>
  <si>
    <t>Водоснабжение</t>
  </si>
  <si>
    <t xml:space="preserve">Обращение с твердыми коммунальными отходами</t>
  </si>
  <si>
    <t xml:space="preserve">Прочие объекты и мероприятия, относимые к регулируемому виду деятельности</t>
  </si>
  <si>
    <t>ROIV_INFO_LIST_NO_HEAT</t>
  </si>
  <si>
    <t>HEAT_PT_SCHEME</t>
  </si>
  <si>
    <t xml:space="preserve">Фамилия, имя и отчество (при наличии) руководителя:</t>
  </si>
  <si>
    <t>фамилия</t>
  </si>
  <si>
    <t xml:space="preserve">Указывается фамилия руководителя в соответствии с паспортными данными физического лица.</t>
  </si>
  <si>
    <t>имя</t>
  </si>
  <si>
    <t xml:space="preserve">Указывается имя руководителя в соответствии с паспортными данными физического лица.</t>
  </si>
  <si>
    <t xml:space="preserve">отчество (при наличии)</t>
  </si>
  <si>
    <t xml:space="preserve">Указывается отчество руководителя в соответствии с паспортными данными физического лица (при наличии).</t>
  </si>
  <si>
    <t xml:space="preserve">Почтовый адрес </t>
  </si>
  <si>
    <t xml:space="preserve">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t>
  </si>
  <si>
    <t xml:space="preserve">Адрес места нахождения </t>
  </si>
  <si>
    <t xml:space="preserve">Справочные телефоны</t>
  </si>
  <si>
    <t xml:space="preserve">Указывается номер контактного телефона. В случае наличия нескольких номеров телефонов, информация по каждому из них указывается в отдельной строке.</t>
  </si>
  <si>
    <t xml:space="preserve">Адрес официального сайта органа регулирования тарифов в сети "Интернет"</t>
  </si>
  <si>
    <t xml:space="preserve">Указывается адрес официального сайта в сети "Интернет". В случае отсутствия официального сайта в сети "Интернет" указывается "Отсутствует".</t>
  </si>
  <si>
    <t xml:space="preserve">Адрес электронной почты</t>
  </si>
  <si>
    <t xml:space="preserve">Указывается при наличии.</t>
  </si>
  <si>
    <t xml:space="preserve">Наименование организации</t>
  </si>
  <si>
    <t xml:space="preserve">ОГРН (ОГРНИП)</t>
  </si>
  <si>
    <t xml:space="preserve">Добавить организацию</t>
  </si>
  <si>
    <t>дата</t>
  </si>
  <si>
    <t>время</t>
  </si>
  <si>
    <t>место</t>
  </si>
  <si>
    <t xml:space="preserve">Добавить заседание</t>
  </si>
  <si>
    <t xml:space="preserve">Наименование органа тарифного регулирования</t>
  </si>
  <si>
    <t xml:space="preserve">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</si>
  <si>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 xml:space="preserve">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</si>
  <si>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 xml:space="preserve">Добавить должностное лицо</t>
  </si>
  <si>
    <t xml:space="preserve">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</si>
  <si>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</si>
  <si>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 xml:space="preserve">Краткое описание нарушения</t>
  </si>
  <si>
    <t xml:space="preserve">Результат рассмотрения дела об административном правонарушении</t>
  </si>
  <si>
    <t xml:space="preserve">Наименование регулируемой организации</t>
  </si>
  <si>
    <t xml:space="preserve">В поле "Субъект Российской Федерации" указывается наименование субъекта Российской Федерации.
В поле "Наименование организации" указывается наименование юридического лица согласно уставу организации
В поле "ИНН" указывается идентификационный номер налогоплательщика.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</si>
  <si>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rPr>
      <t>2</t>
    </r>
  </si>
  <si>
    <t xml:space="preserve">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</si>
  <si>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 xml:space="preserve">Название документа</t>
  </si>
  <si>
    <t xml:space="preserve">Исходящий номер</t>
  </si>
  <si>
    <t xml:space="preserve">Дата отправления</t>
  </si>
  <si>
    <t xml:space="preserve">В колонке "Дата отправления" дата указывается в виде «ДД.ММ.ГГГГ».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</si>
  <si>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rPr>
      <t>2</t>
    </r>
    <r>
      <rPr>
        <sz val="9"/>
        <rFont val="Tahoma"/>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</si>
  <si>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 xml:space="preserve">Сведения об изменениях в первоначально опубликованной информации*</t>
  </si>
  <si>
    <t>Сведения</t>
  </si>
  <si>
    <t xml:space="preserve">Внесены изменения в части увеличения тепловой нагрузки, платы за подключение, продления периода регулирования.</t>
  </si>
  <si>
    <t>Добавить</t>
  </si>
  <si>
    <t xml:space="preserve">* Лист заполняется в случае, если на Титульном листе в поле "Тип отчета" выбрано значение «Изменения в раскрытой ранее информации».</t>
  </si>
  <si>
    <t>Комментарии</t>
  </si>
  <si>
    <t xml:space="preserve">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</si>
  <si>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</si>
  <si>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</si>
  <si>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</si>
  <si>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</si>
  <si>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</si>
  <si>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</si>
  <si>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</si>
  <si>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</si>
  <si>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</si>
  <si>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</si>
  <si>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</si>
  <si>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</si>
  <si>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</si>
  <si>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</si>
  <si>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</si>
  <si>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</si>
  <si>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</si>
  <si>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</si>
  <si>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</si>
  <si>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 xml:space="preserve">Добавить реквизиты</t>
  </si>
  <si>
    <t>et_IP_MAIN_PROPERTY</t>
  </si>
  <si>
    <t>et_IP_DETAILED</t>
  </si>
  <si>
    <t xml:space="preserve">Добавить мероприятие</t>
  </si>
  <si>
    <t>et_IP_DETAILED_OBJECT</t>
  </si>
  <si>
    <t xml:space="preserve">Добавить источник финансирования</t>
  </si>
  <si>
    <t>et_IP_DETAILED_IST_FIN</t>
  </si>
  <si>
    <t>et_IP_DETAILED_EVENT</t>
  </si>
  <si>
    <t xml:space="preserve">Добавить объект инфраструктуры</t>
  </si>
  <si>
    <t>et_QRE</t>
  </si>
  <si>
    <t xml:space="preserve">Добавить цель</t>
  </si>
  <si>
    <t>et_B_FHD20_1_NOT_HEAT</t>
  </si>
  <si>
    <t xml:space="preserve">Добавить поставщика</t>
  </si>
  <si>
    <t>et_B_FHD20_1_HEAT</t>
  </si>
  <si>
    <t xml:space="preserve">et_B_FHD20_2, _3, _4</t>
  </si>
  <si>
    <t xml:space="preserve">Итого по поставщику, в том числе</t>
  </si>
  <si>
    <t xml:space="preserve">Добавить товар/услугу</t>
  </si>
  <si>
    <t xml:space="preserve">Добавить способ</t>
  </si>
  <si>
    <t>et_DIFFERENTIATION_TARIFF(_etc)</t>
  </si>
  <si>
    <t>et_DIFFERENTIATION_TARIFF_NOT_HEAT(_etc)</t>
  </si>
  <si>
    <t>et_DIFFERENTIATION_TKO(_etc)</t>
  </si>
  <si>
    <t xml:space="preserve">Добавить класс ТКО</t>
  </si>
  <si>
    <t xml:space="preserve">Добавить вид ТКО</t>
  </si>
  <si>
    <t xml:space="preserve">Добавить технологическую особенность</t>
  </si>
  <si>
    <t xml:space="preserve">Имя листа</t>
  </si>
  <si>
    <t xml:space="preserve">Наименование, номер формы</t>
  </si>
  <si>
    <t>ТП</t>
  </si>
  <si>
    <t xml:space="preserve">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</si>
  <si>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 xml:space="preserve">Общая информация об организации</t>
  </si>
  <si>
    <t xml:space="preserve">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</si>
  <si>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 xml:space="preserve">Форма 1. Информация об организации (общая информация)</t>
  </si>
  <si>
    <t>Договоры</t>
  </si>
  <si>
    <t xml:space="preserve">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</si>
  <si>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 xml:space="preserve">Форма 8. Информация об условиях, на которых осуществляется оказание услуг в области обращения с твердыми коммунальными отходами</t>
  </si>
  <si>
    <t xml:space="preserve">Показатели ФХД</t>
  </si>
  <si>
    <t xml:space="preserve">Показатели ФХД &gt;20%</t>
  </si>
  <si>
    <t xml:space="preserve">Форма 11. Информация о расходах на капитальный и текущий ремонт основных средств</t>
  </si>
  <si>
    <t xml:space="preserve">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</si>
  <si>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 xml:space="preserve">Показатели КНЭ</t>
  </si>
  <si>
    <t xml:space="preserve">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</si>
  <si>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 xml:space="preserve">PRICE
Т-ТЭ | &gt;=25МВт
Т-ТЭ | ТСО
Резерв мощности</t>
  </si>
  <si>
    <t xml:space="preserve">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</si>
  <si>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 xml:space="preserve">PRICE
Т-ТН
Т-передача ТЭ
Т-передача ТН</t>
  </si>
  <si>
    <t xml:space="preserve">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</si>
  <si>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 xml:space="preserve">PRICE
Т-гор.вода</t>
  </si>
  <si>
    <t xml:space="preserve">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</si>
  <si>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xml:space="preserve">PRICE
Т-подкл</t>
  </si>
  <si>
    <t xml:space="preserve">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</si>
  <si>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 xml:space="preserve">REQUEST
Т-ТЭ | &gt;=25МВт
Т-ТЭ | ТСО
Резерв мощности</t>
  </si>
  <si>
    <t xml:space="preserve">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</si>
  <si>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 xml:space="preserve">REQUEST
Т-ТН
Т-передача ТЭ
Т-передача ТН</t>
  </si>
  <si>
    <t xml:space="preserve">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</si>
  <si>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 xml:space="preserve">REQUEST
Т-гор.вода</t>
  </si>
  <si>
    <t xml:space="preserve">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</si>
  <si>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xml:space="preserve">REQUEST
Т-подкл</t>
  </si>
  <si>
    <t xml:space="preserve">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</si>
  <si>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 xml:space="preserve">PRICE
ХВС. Т-пит
ХВС. Т-тех
ХВС. Т-транс
ХВС. Т-подвоз</t>
  </si>
  <si>
    <t xml:space="preserve">Форма 2. Информация
о тарифах в сфере холодного водоснабжения на товары (услуги) организации холодного водоснабжения, подлежащих регулированию</t>
  </si>
  <si>
    <t xml:space="preserve">PRICE
ХВС. Т-подкл</t>
  </si>
  <si>
    <t xml:space="preserve">Форма 3. Информация об установленных тарифах на подключение (технологическое присоединение) к централизованной системе холодного водоснабжения</t>
  </si>
  <si>
    <t xml:space="preserve">REQUEST
ХВС. Т-пит
ХВС. Т-тех
ХВС. Т-транс
ХВС. Т-подвоз</t>
  </si>
  <si>
    <t xml:space="preserve">Форма 13. Информация о предложении организации холодного водоснабжения об установлении расчетной величины тарифов в сфере холодного водоснабжения</t>
  </si>
  <si>
    <t xml:space="preserve">REQUEST
ХВС. Т-подкл</t>
  </si>
  <si>
    <t xml:space="preserve">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</si>
  <si>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 xml:space="preserve">PRICE
ГВС. Т-гор.вода
ГВС. Т-транс</t>
  </si>
  <si>
    <t xml:space="preserve">Форма 2. Информация о тарифах в сфере горячего водоснабжения на товары (услуги) организации горячего водоснабжения, подлежащих регулированию</t>
  </si>
  <si>
    <t xml:space="preserve">PRICE
ГВС. Т-подкл</t>
  </si>
  <si>
    <t xml:space="preserve">Форма 3. Информация об установленных тарифах на подключение (технологическое присоединение) к централизованной системе горячего водоснабжения</t>
  </si>
  <si>
    <t xml:space="preserve">REQUEST
ГВС. Т-гор.вода
ГВС. Т-транс</t>
  </si>
  <si>
    <t xml:space="preserve">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</si>
  <si>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 xml:space="preserve">REQUEST
ГВС. Т-подкл</t>
  </si>
  <si>
    <t xml:space="preserve">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</si>
  <si>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 xml:space="preserve">PRICE
ВО. Т-во
ВО. Т-транс</t>
  </si>
  <si>
    <t xml:space="preserve">Форма 2. Информация о тарифах в сфере водоотведения на товары (услуги) организации водоотведения, подлежащих регулированию</t>
  </si>
  <si>
    <t xml:space="preserve">PRICE
ВО. Т-подкл</t>
  </si>
  <si>
    <t xml:space="preserve">Форма 3.  Информация об установленных тарифах на подключение (технологическое присоединение) к централизованной системе водоотведения</t>
  </si>
  <si>
    <t xml:space="preserve">REQUEST
ВО. Т-во
ВО. Т-транс</t>
  </si>
  <si>
    <t xml:space="preserve">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</si>
  <si>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 xml:space="preserve">REQUEST
ВО. Т-подкл</t>
  </si>
  <si>
    <t xml:space="preserve">Форма 14. Информация о предложении организации водоотведения расчетной величины тарифов на подключение к централизованной системе водоотведения</t>
  </si>
  <si>
    <t xml:space="preserve">Сведения о закупках</t>
  </si>
  <si>
    <t xml:space="preserve">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</si>
  <si>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 xml:space="preserve">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</si>
  <si>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 xml:space="preserve">Порядок ТП</t>
  </si>
  <si>
    <t xml:space="preserve">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</si>
  <si>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 xml:space="preserve">Общая информация по ВД</t>
  </si>
  <si>
    <t xml:space="preserve">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</si>
  <si>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 xml:space="preserve">ИП
ИП. Детализация
ИП. Финансовый план
ИП. КНЭ</t>
  </si>
  <si>
    <t xml:space="preserve">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</si>
  <si>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 xml:space="preserve">Форма 7. Информация об инвестиционных программах и отчетах об их реализации (в части регулируемых видов деятельности)</t>
  </si>
  <si>
    <t xml:space="preserve">пункт НПА</t>
  </si>
  <si>
    <t xml:space="preserve">подпункт НПА</t>
  </si>
  <si>
    <t xml:space="preserve">состав пункта</t>
  </si>
  <si>
    <t xml:space="preserve">описание парметров</t>
  </si>
  <si>
    <t xml:space="preserve">номер пункта</t>
  </si>
  <si>
    <t xml:space="preserve">описание параметров</t>
  </si>
  <si>
    <t xml:space="preserve">описание к листу Общая информация об организации</t>
  </si>
  <si>
    <t xml:space="preserve">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</si>
  <si>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 xml:space="preserve">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</si>
  <si>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 xml:space="preserve">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</si>
  <si>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 xml:space="preserve">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</si>
  <si>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</si>
  <si>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</si>
  <si>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 xml:space="preserve">Количество поданных заявок</t>
  </si>
  <si>
    <t xml:space="preserve">Количество поданных заявлений </t>
  </si>
  <si>
    <t xml:space="preserve">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</si>
  <si>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</si>
  <si>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 xml:space="preserve">Количество рассмотренных заявок</t>
  </si>
  <si>
    <t xml:space="preserve">Количество исполненных заявлений </t>
  </si>
  <si>
    <t xml:space="preserve">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</si>
  <si>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</si>
  <si>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 xml:space="preserve">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</si>
  <si>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 xml:space="preserve">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</si>
  <si>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 xml:space="preserve">Указывается количество заявок с решением об отказе в течение отчетного квартала.</t>
  </si>
  <si>
    <t xml:space="preserve">Причины отказа в заключении договора о подключении (технологическом присоединении) к системе теплоснабжения</t>
  </si>
  <si>
    <t xml:space="preserve">Указывается текстовое описание причин принятия решений.
Не заполняется в случае, если решения об отказе в течение отчетного периода не принимались.</t>
  </si>
  <si>
    <t>г</t>
  </si>
  <si>
    <t xml:space="preserve">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</si>
  <si>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</si>
  <si>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 xml:space="preserve">Выручка от регулируемого вида деятельности с распределением по видам деятельности</t>
  </si>
  <si>
    <t xml:space="preserve">Выручка от регулируемых видов деятельности в сфере холодного водоснабжения</t>
  </si>
  <si>
    <t xml:space="preserve">Выручка от регулируемых видов деятельности в сфере горячего водоснабжения</t>
  </si>
  <si>
    <t xml:space="preserve">Выручка от регулируемых видов деятельности в сфере водоотведения</t>
  </si>
  <si>
    <t xml:space="preserve">Указывается выручка от регулируемого вида деятельности с распределением по видам деятельности.</t>
  </si>
  <si>
    <t xml:space="preserve">Указывается выручка с распределением по видам деятельности.</t>
  </si>
  <si>
    <t xml:space="preserve">Себестоимость производимых товаров (оказываемых услуг) по регулируемому виду деятельности, включая:</t>
  </si>
  <si>
    <t xml:space="preserve">Себестоимость производимых товаров (оказываемых услуг) по регулируемым видам деятельности в сфере холодного водоснабжения, включая:</t>
  </si>
  <si>
    <t xml:space="preserve">Себестоимость производимых товаров (оказываемых услуг) по регулируемым видам деятельности в сфере горячего водоснабжения, включая:</t>
  </si>
  <si>
    <t xml:space="preserve">Себестоимость производимых товаров (оказываемых услуг) по регулируемым видам деятельности в сфере водоотведения, включая:</t>
  </si>
  <si>
    <t xml:space="preserve">Указывается суммарная себестоимость производимых товаров.</t>
  </si>
  <si>
    <t xml:space="preserve">Расходы на приобретаемую тепловую энергию (мощность), теплоноситель</t>
  </si>
  <si>
    <t xml:space="preserve">Расходы на оплату холодной воды, приобретаемой у других организаций для последующей подачи потребителям</t>
  </si>
  <si>
    <t xml:space="preserve">Расходы на приобретаемую тепловую энергию (мощность), используемую для горячего водоснабжения</t>
  </si>
  <si>
    <t xml:space="preserve">Расходы на оплату услуг по приему, транспортировке и очистке сточных вод другими организациями</t>
  </si>
  <si>
    <t xml:space="preserve">Расходы на топливо с указанием по каждому виду топлива стоимости (за единицу объема), объема и способа его приобретения, стоимости его доставки</t>
  </si>
  <si>
    <t xml:space="preserve">Указываются суммарные расходы на приобретение топлива всех видов.</t>
  </si>
  <si>
    <t xml:space="preserve">Расходы на тепловую энергию, производимую с применением собственных источников и используемую для горячего водоснабжения</t>
  </si>
  <si>
    <t xml:space="preserve">Расходы на приобретаемую холодную воду, используемую для горячего водоснабжения</t>
  </si>
  <si>
    <t xml:space="preserve">Расходы на холодную воду, получаемую с применением собственных источников водозабора (скважин) и используемую для горячего водоснабжения</t>
  </si>
  <si>
    <t xml:space="preserve">Расходы на приобретаемую электрическую энергию (мощность), используемую в технологическом процессе</t>
  </si>
  <si>
    <t>2.5.1</t>
  </si>
  <si>
    <t xml:space="preserve">Средневзвешенная стоимость 1 кВт.ч (с учетом мощности)</t>
  </si>
  <si>
    <t>2.5.2</t>
  </si>
  <si>
    <t xml:space="preserve">Объём приобретения электрической энергии</t>
  </si>
  <si>
    <t xml:space="preserve">Расходы на приобретение холодной воды, используемой в технологическом процессе</t>
  </si>
  <si>
    <t xml:space="preserve">Расходы на химические реагенты, используемые в технологическом процессе</t>
  </si>
  <si>
    <t xml:space="preserve">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</si>
  <si>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 xml:space="preserve">Указывается общая сумма расходов на оплату труда и отчислений на социальные нужды основного производственного персонала.</t>
  </si>
  <si>
    <t>9.1</t>
  </si>
  <si>
    <t>2.6.1</t>
  </si>
  <si>
    <t xml:space="preserve">Расходы на оплату труда основного производственного персонала</t>
  </si>
  <si>
    <t>9.2</t>
  </si>
  <si>
    <t>2.6.2</t>
  </si>
  <si>
    <t xml:space="preserve">Страховые взносы на обязательное социальное страхование, выплачиваемые из фонда оплаты труда основного производственного персонала</t>
  </si>
  <si>
    <t xml:space="preserve">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</si>
  <si>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 xml:space="preserve">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</si>
  <si>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 xml:space="preserve">Указывается общая сумма расходов на оплату труда и отчислений на социальные нужды административно-управленческого персонала.</t>
  </si>
  <si>
    <t>10.1</t>
  </si>
  <si>
    <t>2.7.1</t>
  </si>
  <si>
    <t xml:space="preserve">Расходы на оплату труда административно-управленческого персонала</t>
  </si>
  <si>
    <t xml:space="preserve">Расходы на оплату труда административно-управленческого персонала, в том числе:</t>
  </si>
  <si>
    <t>10.2</t>
  </si>
  <si>
    <t>2.7.2</t>
  </si>
  <si>
    <t xml:space="preserve">Страховые взносы на обязательное социальное страхование, выплачиваемые из фонда оплаты труда административно-управленческого персонала</t>
  </si>
  <si>
    <t xml:space="preserve">Расходы на амортизацию основных средств и нематериальных активов</t>
  </si>
  <si>
    <t>11.1</t>
  </si>
  <si>
    <t>2.8.1</t>
  </si>
  <si>
    <t xml:space="preserve">Расходы на амортизацию основных средств</t>
  </si>
  <si>
    <t>11.2</t>
  </si>
  <si>
    <t>2.8.2</t>
  </si>
  <si>
    <t xml:space="preserve">Расходы на амортизацию нематериальных активов</t>
  </si>
  <si>
    <t xml:space="preserve">Расходы на аренду имущества, используемого для осуществления регулируемого вида деятельности</t>
  </si>
  <si>
    <t xml:space="preserve">Расходы на аренду имущества, используемого для осуществления регулируемых видов деятельности в сфере холодного водоснабжения</t>
  </si>
  <si>
    <t xml:space="preserve">Расходы на аренду имущества, используемого для осуществления регулируемых видов деятельности в сфере горячего водоснабжения</t>
  </si>
  <si>
    <t xml:space="preserve">Расходы на аренду имущества, используемого для осуществления регулируемых видов деятельности в сфере водоотведения</t>
  </si>
  <si>
    <t>2.10</t>
  </si>
  <si>
    <t xml:space="preserve">Общепроизводственные расходы, в том числе:</t>
  </si>
  <si>
    <t xml:space="preserve">Указывается общая сумма общепроизводственных расходов.</t>
  </si>
  <si>
    <t>13.1</t>
  </si>
  <si>
    <t>2.10.1</t>
  </si>
  <si>
    <t xml:space="preserve">Расходы на текущий ремонт</t>
  </si>
  <si>
    <t xml:space="preserve">Указываются расходы на текущий ремонт, отнесенные к общепроизводственным расходам.</t>
  </si>
  <si>
    <t>13.2</t>
  </si>
  <si>
    <t>2.10.2</t>
  </si>
  <si>
    <t xml:space="preserve">Расходы на капитальный ремонт</t>
  </si>
  <si>
    <t xml:space="preserve">Указываются расходы на капитальный ремонт, отнесенные к общепроизводственным расходам.</t>
  </si>
  <si>
    <t>2.11</t>
  </si>
  <si>
    <t xml:space="preserve">Общехозяйственные расходы, в том числе:</t>
  </si>
  <si>
    <t xml:space="preserve">Указывается общая сумма общехозяйственных расходов.</t>
  </si>
  <si>
    <t>14.1</t>
  </si>
  <si>
    <t>2.11.1</t>
  </si>
  <si>
    <t>2.9.1</t>
  </si>
  <si>
    <t xml:space="preserve">Указываются расходы на текущий ремонт, отнесенные к общехозяйственным расходам.</t>
  </si>
  <si>
    <t>14.2</t>
  </si>
  <si>
    <t>2.11.2</t>
  </si>
  <si>
    <t>2.9.2</t>
  </si>
  <si>
    <t xml:space="preserve">Указываются расходы на капитальный ремонт, отнесенные к общехозяйственным расходам.</t>
  </si>
  <si>
    <t>2.12</t>
  </si>
  <si>
    <t xml:space="preserve">Расходы на капитальный и текущий ремонт основных средств</t>
  </si>
  <si>
    <t xml:space="preserve">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</si>
  <si>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 xml:space="preserve">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</si>
  <si>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</si>
  <si>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</si>
  <si>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 xml:space="preserve">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</si>
  <si>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</si>
  <si>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</si>
  <si>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</si>
  <si>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</si>
  <si>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</si>
  <si>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</si>
  <si>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 xml:space="preserve">Прочие расходы, которые подлежат отнесению на регулируемые виды деятельности в соответствии с законодательством Российской Федерации</t>
  </si>
  <si>
    <t xml:space="preserve">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</si>
  <si>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 xml:space="preserve">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</si>
  <si>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 xml:space="preserve">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</si>
  <si>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 xml:space="preserve">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</si>
  <si>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 xml:space="preserve">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</si>
  <si>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</si>
  <si>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 xml:space="preserve">Валовая прибыль (убытки) от реализации товаров и оказания услуг по регулируемому виду деятельности</t>
  </si>
  <si>
    <t xml:space="preserve">Чистая прибыль, полученная от регулируемого вида деятельности, в том числе:</t>
  </si>
  <si>
    <t xml:space="preserve">Чистая прибыль, полученная от регулируемого вида деятельности в сфере холодного водоснабжения, в том числе:</t>
  </si>
  <si>
    <t xml:space="preserve">Чистая прибыль, полученная от регулируемого вида деятельности в сфере горячего водоснабжения, в том числе:</t>
  </si>
  <si>
    <t xml:space="preserve">Чистая прибыль, полученная от регулируемого вида деятельности в сфере водоотведения, в том числе:</t>
  </si>
  <si>
    <t xml:space="preserve">Размер расходования чистой прибыли на финансирование мероприятий, предусмотренных инвестиционной программой регулируемой организации</t>
  </si>
  <si>
    <t xml:space="preserve">Изменение стоимости основных фондов за счет их ввода в эксплуатацию (вывода из эксплуатации)</t>
  </si>
  <si>
    <t xml:space="preserve">Указываются общее изменение стоимости основных фондов за счет их ввода в эксплуатацию и вывода из эксплуатации.</t>
  </si>
  <si>
    <t xml:space="preserve">Изменение стоимости основных фондов за счет их ввода в эксплуатацию</t>
  </si>
  <si>
    <t>5.1.2</t>
  </si>
  <si>
    <t xml:space="preserve">Изменение стоимости основных фондов за счет их вывода в эксплуатацию</t>
  </si>
  <si>
    <t xml:space="preserve">Изменение стоимости основных фондов за счет их переоценки</t>
  </si>
  <si>
    <t xml:space="preserve">Валовая прибыль (убытки) от продажи товаров и услуг по регулируемым видам деятельности в сфере холодного водоснабжения</t>
  </si>
  <si>
    <t xml:space="preserve">Валовая прибыль (убытки) от продажи товаров и услуг по регулируемым видам деятельности в сфере горячего водоснабжения</t>
  </si>
  <si>
    <t xml:space="preserve">Валовая прибыль (убытки) от продажи товаров и услуг по регулируемым видам деятельности в сфере водоотведения</t>
  </si>
  <si>
    <t>е</t>
  </si>
  <si>
    <t xml:space="preserve">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</si>
  <si>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 xml:space="preserve">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</si>
  <si>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 xml:space="preserve">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</si>
  <si>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</si>
  <si>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 xml:space="preserve">Объём поднятой воды</t>
  </si>
  <si>
    <t>з</t>
  </si>
  <si>
    <t xml:space="preserve">Объём покупной воды</t>
  </si>
  <si>
    <t>и</t>
  </si>
  <si>
    <t xml:space="preserve">Объём воды, пропущенной через очистные сооружения</t>
  </si>
  <si>
    <t>к</t>
  </si>
  <si>
    <t xml:space="preserve">Объём отпущенной потребителям воды, в том числе:</t>
  </si>
  <si>
    <t xml:space="preserve">Указывается общий объем отпущенной потребителям воды.</t>
  </si>
  <si>
    <t xml:space="preserve">Объём отпущенной потребителям воды, определенный по приборам учета</t>
  </si>
  <si>
    <t xml:space="preserve">Объём отпущенной потребителям воды, определенный расчетным способом</t>
  </si>
  <si>
    <t>10.2.1</t>
  </si>
  <si>
    <t xml:space="preserve">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</si>
  <si>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</si>
  <si>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</si>
  <si>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</si>
  <si>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 xml:space="preserve">Потери воды в сетях</t>
  </si>
  <si>
    <t xml:space="preserve">Объём приобретаемой холодной воды, используемой для горячего водоснабжения</t>
  </si>
  <si>
    <t xml:space="preserve">Объём холодной воды, получаемой с применением собственных источников водозабора (скважин) и используемой для горячего водоснабжения</t>
  </si>
  <si>
    <t xml:space="preserve">Объём приобретаемой тепловой энергии (мощности), используемой для горячего водоснабжения</t>
  </si>
  <si>
    <t xml:space="preserve">Объём тепловой энергии, производимой с применением собственных источников и используемой для горячего водоснабжения</t>
  </si>
  <si>
    <t xml:space="preserve">Потери горячей воды в сетях (процентов)</t>
  </si>
  <si>
    <t xml:space="preserve">Объём сточных вод, принятых от потребителей</t>
  </si>
  <si>
    <t xml:space="preserve">Объём сточных вод, принятых от других регулируемых организаций, осуществляющих водоотведение и (или) очистку сточных вод</t>
  </si>
  <si>
    <t xml:space="preserve">Объём сточных вод, пропущенных через очистные сооружения</t>
  </si>
  <si>
    <t xml:space="preserve">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t>
  </si>
  <si>
    <t xml:space="preserve">Тепловая нагрузка по договорам, заключенным в рамках осуществления регулируемых видов деятельности</t>
  </si>
  <si>
    <t xml:space="preserve">Регулируемыми организациями указывается информация по договорам, заключенным в рамках осуществления регулируемых видов деятельности</t>
  </si>
  <si>
    <t xml:space="preserve">Объем вырабатываемой регулируемой организацией тепловой энергии в рамках осуществления регулируемых видов деятельности</t>
  </si>
  <si>
    <t xml:space="preserve">Регулируемыми организациями указывается информация тепловой энергии, выработанной в рамках осуществления регулируемых видов деятельности.</t>
  </si>
  <si>
    <t xml:space="preserve">Объем приобретаемой регулируемой организацией тепловой энергии в рамках осуществления регулируемых видов деятельности</t>
  </si>
  <si>
    <t xml:space="preserve">Информация указывается только едиными теплоснабжающими организациями.</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</si>
  <si>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</si>
  <si>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 xml:space="preserve">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</si>
  <si>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</si>
  <si>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</si>
  <si>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 xml:space="preserve">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</si>
  <si>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 xml:space="preserve">Расчётным путём</t>
  </si>
  <si>
    <t>10.3</t>
  </si>
  <si>
    <t xml:space="preserve">По нормативам потребления коммунальных услуг и нормативам потребления коммунальных ресурсов</t>
  </si>
  <si>
    <t>м</t>
  </si>
  <si>
    <t xml:space="preserve">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</si>
  <si>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</si>
  <si>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</si>
  <si>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</si>
  <si>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 xml:space="preserve">Удельный расход электрической энергии на подачу воды в сеть</t>
  </si>
  <si>
    <t xml:space="preserve">Расход воды на собственные нужды, в том числе:</t>
  </si>
  <si>
    <t xml:space="preserve">Указывается доля общего расхода воды на собственные нужны от объема отпуска воды потребителям.</t>
  </si>
  <si>
    <t xml:space="preserve">Расход воды на хозяйственно-бытовые нужды</t>
  </si>
  <si>
    <t xml:space="preserve">Указывается доля расхода воды на хозяйственно-бытовые нужны от объема отпуска воды потребителям.</t>
  </si>
  <si>
    <t xml:space="preserve">Показатель использования производственных объектов (по объему перекачки), в том числе:</t>
  </si>
  <si>
    <t xml:space="preserve">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</si>
  <si>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</si>
  <si>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 xml:space="preserve">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</si>
  <si>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 xml:space="preserve">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</si>
  <si>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 xml:space="preserve">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</si>
  <si>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</si>
  <si>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</si>
  <si>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 xml:space="preserve">Регулируемыми организациями указывается информация с по договорам, заключенным в рамках осуществления регулируемой деятельности.</t>
  </si>
  <si>
    <t>у</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</si>
  <si>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</si>
  <si>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</si>
  <si>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 xml:space="preserve">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</si>
  <si>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</si>
  <si>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 xml:space="preserve">Информация о показателях физического износа объектов теплоснабжения</t>
  </si>
  <si>
    <t>19.2</t>
  </si>
  <si>
    <t xml:space="preserve">Информация о показателях энергетической эффективности объектов теплоснабжения</t>
  </si>
  <si>
    <t>27/44</t>
  </si>
  <si>
    <t>68</t>
  </si>
  <si>
    <t xml:space="preserve">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</si>
  <si>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 xml:space="preserve">Сведения об условиях публичных договоров на оказание регулируемых услуг в области обращения с твердыми коммунальными отходами</t>
  </si>
  <si>
    <t xml:space="preserve">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</si>
  <si>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 xml:space="preserve">Период действия тарифа</t>
  </si>
  <si>
    <t xml:space="preserve">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</si>
  <si>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</si>
  <si>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
</t>
  </si>
  <si>
    <t xml:space="preserve">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</si>
  <si>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</si>
  <si>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</si>
  <si>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</si>
  <si>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</si>
  <si>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</si>
  <si>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</si>
  <si>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</si>
  <si>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</si>
  <si>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</si>
  <si>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</si>
  <si>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</si>
  <si>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</si>
  <si>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</si>
  <si>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</si>
  <si>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2664</t>
  </si>
  <si>
    <t xml:space="preserve">АГЕНТСТВО ПО ТАРИФАМ ПРИМОРСКОГО КРАЯ</t>
  </si>
  <si>
    <t>2540069025</t>
  </si>
  <si>
    <t>254001001</t>
  </si>
  <si>
    <t>26470028</t>
  </si>
  <si>
    <t xml:space="preserve">АО " Находкинский морской торговый порт"</t>
  </si>
  <si>
    <t>2508001449</t>
  </si>
  <si>
    <t>250801001</t>
  </si>
  <si>
    <t>26565199</t>
  </si>
  <si>
    <t xml:space="preserve">АО "Артемовская экспедиция"</t>
  </si>
  <si>
    <t>2502016255</t>
  </si>
  <si>
    <t>250201001</t>
  </si>
  <si>
    <t>26320264</t>
  </si>
  <si>
    <t xml:space="preserve">АО "Аскольд"</t>
  </si>
  <si>
    <t>2501001009</t>
  </si>
  <si>
    <t>250101001</t>
  </si>
  <si>
    <t xml:space="preserve">23-09-2021 00:00:00</t>
  </si>
  <si>
    <t>31909021</t>
  </si>
  <si>
    <t xml:space="preserve">АО "ВПЭС"</t>
  </si>
  <si>
    <t>2543196913</t>
  </si>
  <si>
    <t>254301001</t>
  </si>
  <si>
    <t xml:space="preserve">22-12-2025 00:00:00</t>
  </si>
  <si>
    <t>26470102</t>
  </si>
  <si>
    <t xml:space="preserve">АО "Горнорудная компания "АИР"</t>
  </si>
  <si>
    <t>2517005270</t>
  </si>
  <si>
    <t>254250001</t>
  </si>
  <si>
    <t>27879909</t>
  </si>
  <si>
    <t>272101001</t>
  </si>
  <si>
    <t xml:space="preserve">19-12-2005 00:00:00</t>
  </si>
  <si>
    <t>27051081</t>
  </si>
  <si>
    <t>997450001</t>
  </si>
  <si>
    <t>26759235</t>
  </si>
  <si>
    <t xml:space="preserve">АО "ДГК" филиал ЛуТЭК</t>
  </si>
  <si>
    <t>252602001</t>
  </si>
  <si>
    <t>26759238</t>
  </si>
  <si>
    <t xml:space="preserve">АО "ДГК" филиал Приморская генерация</t>
  </si>
  <si>
    <t>253602001</t>
  </si>
  <si>
    <t>26470018</t>
  </si>
  <si>
    <t xml:space="preserve">АО "Дальневосточный завод "Звезда"</t>
  </si>
  <si>
    <t>2503026908</t>
  </si>
  <si>
    <t>250301001</t>
  </si>
  <si>
    <t>26781662</t>
  </si>
  <si>
    <t xml:space="preserve">АО "Желдорреммаш" филиал "Уссурийский локомотиворемонтный завод"</t>
  </si>
  <si>
    <t>7715729877</t>
  </si>
  <si>
    <t>251143001</t>
  </si>
  <si>
    <t>26470114</t>
  </si>
  <si>
    <t xml:space="preserve">АО "Импульс"</t>
  </si>
  <si>
    <t>2528000926</t>
  </si>
  <si>
    <t>252801001</t>
  </si>
  <si>
    <t>26469962</t>
  </si>
  <si>
    <t xml:space="preserve">АО "Кислород"</t>
  </si>
  <si>
    <t>2511000090</t>
  </si>
  <si>
    <t>251101001</t>
  </si>
  <si>
    <t>28048296</t>
  </si>
  <si>
    <t xml:space="preserve">АО "Кузбассэнерго"</t>
  </si>
  <si>
    <t>4200000333</t>
  </si>
  <si>
    <t>420501001</t>
  </si>
  <si>
    <t xml:space="preserve">30-12-1993 00:00:00</t>
  </si>
  <si>
    <t>26538809</t>
  </si>
  <si>
    <t xml:space="preserve">АО "МАВ"</t>
  </si>
  <si>
    <t>2502035642</t>
  </si>
  <si>
    <t>28236659</t>
  </si>
  <si>
    <t xml:space="preserve">АО "Первая инвестиционная управляющая компания"</t>
  </si>
  <si>
    <t>2536236650</t>
  </si>
  <si>
    <t>253601001</t>
  </si>
  <si>
    <t>28445259</t>
  </si>
  <si>
    <t xml:space="preserve">АО "РАО ЭС Востока"</t>
  </si>
  <si>
    <t>2801133630</t>
  </si>
  <si>
    <t>272401001</t>
  </si>
  <si>
    <t xml:space="preserve">01-07-2008 00:00:00</t>
  </si>
  <si>
    <t>26470237</t>
  </si>
  <si>
    <t xml:space="preserve">АО "Спасcкцемент"</t>
  </si>
  <si>
    <t>2510001238</t>
  </si>
  <si>
    <t>251001001</t>
  </si>
  <si>
    <t xml:space="preserve">16-06-2010 00:00:00</t>
  </si>
  <si>
    <t>26470020</t>
  </si>
  <si>
    <t xml:space="preserve">АО "Теплоэнергетическая компания"</t>
  </si>
  <si>
    <t>2503025767</t>
  </si>
  <si>
    <t>26579122</t>
  </si>
  <si>
    <t xml:space="preserve">АО "Торговый порт п. Посьет"</t>
  </si>
  <si>
    <t>2531002070</t>
  </si>
  <si>
    <t>253101001</t>
  </si>
  <si>
    <t>31355473</t>
  </si>
  <si>
    <t xml:space="preserve">АО "Уссурийское предприятие тепловых сетей"</t>
  </si>
  <si>
    <t>2511111265</t>
  </si>
  <si>
    <t xml:space="preserve">12-11-2019 00:00:00</t>
  </si>
  <si>
    <t>31256016</t>
  </si>
  <si>
    <t xml:space="preserve">АО "ХСКР"</t>
  </si>
  <si>
    <t>7708550371</t>
  </si>
  <si>
    <t>770801001</t>
  </si>
  <si>
    <t>31338821</t>
  </si>
  <si>
    <t xml:space="preserve">АО «ДВЭУК-ГенерацияСети»</t>
  </si>
  <si>
    <t>2540252341</t>
  </si>
  <si>
    <t xml:space="preserve">26-08-2019 00:00:00</t>
  </si>
  <si>
    <t>27570862</t>
  </si>
  <si>
    <t xml:space="preserve">Вагонное ремонтное депо Ружино - обособленное структурное подразделение АО "Вагонная ремонтная компания-1"</t>
  </si>
  <si>
    <t>7708737490</t>
  </si>
  <si>
    <t>250745001</t>
  </si>
  <si>
    <t>28453818</t>
  </si>
  <si>
    <t xml:space="preserve">Войсковая часть 16662</t>
  </si>
  <si>
    <t>2511015385</t>
  </si>
  <si>
    <t>30917721</t>
  </si>
  <si>
    <t xml:space="preserve">ГБУ "ХОЗУ"</t>
  </si>
  <si>
    <t>2540016993</t>
  </si>
  <si>
    <t>30365088</t>
  </si>
  <si>
    <t xml:space="preserve">ГБУЗ "Приморский краевой противотуберкулезный диспансер"</t>
  </si>
  <si>
    <t>2539009991</t>
  </si>
  <si>
    <t>253900101</t>
  </si>
  <si>
    <t>26783544</t>
  </si>
  <si>
    <t xml:space="preserve">Дальневосточная региональная дирекция железнодорожных вокзалов</t>
  </si>
  <si>
    <t>7708503727</t>
  </si>
  <si>
    <t>257650001</t>
  </si>
  <si>
    <t>26512635</t>
  </si>
  <si>
    <t xml:space="preserve">Дирекция по тепловодоснабжению - структурное подразделение ДВЖД - филиала  ОАО "РЖД"</t>
  </si>
  <si>
    <t>272445002</t>
  </si>
  <si>
    <t>27665559</t>
  </si>
  <si>
    <t xml:space="preserve">ЗАО "АПП "Полтавка"</t>
  </si>
  <si>
    <t>2522050053</t>
  </si>
  <si>
    <t>252201001</t>
  </si>
  <si>
    <t xml:space="preserve">12-05-2025 00:00:00</t>
  </si>
  <si>
    <t>31257634</t>
  </si>
  <si>
    <t xml:space="preserve">ЗАО "Востокбункер"</t>
  </si>
  <si>
    <t>2531004127</t>
  </si>
  <si>
    <t xml:space="preserve">04-11-2002 00:00:00</t>
  </si>
  <si>
    <t>28028907</t>
  </si>
  <si>
    <t xml:space="preserve">ЗАО "Рыболовецкий колхоз "Восток-1"</t>
  </si>
  <si>
    <t>2536010639</t>
  </si>
  <si>
    <t>26469936</t>
  </si>
  <si>
    <t xml:space="preserve">ЗАО "Тихоокеанская мостостроительная компания"</t>
  </si>
  <si>
    <t>2511024037</t>
  </si>
  <si>
    <t xml:space="preserve">26-03-2025 00:00:00</t>
  </si>
  <si>
    <t>26470401</t>
  </si>
  <si>
    <t xml:space="preserve">ЗАО Жилищно-коммунальное управление</t>
  </si>
  <si>
    <t>2526003671</t>
  </si>
  <si>
    <t>252601001</t>
  </si>
  <si>
    <t xml:space="preserve">14-02-2022 00:00:00</t>
  </si>
  <si>
    <t>31598773</t>
  </si>
  <si>
    <t xml:space="preserve">ИП Колегов Е.В.</t>
  </si>
  <si>
    <t>251100718700</t>
  </si>
  <si>
    <t xml:space="preserve">20-03-2008 00:00:00</t>
  </si>
  <si>
    <t>26469944</t>
  </si>
  <si>
    <t xml:space="preserve">КГАУСО "УРЦ"</t>
  </si>
  <si>
    <t>2511014430</t>
  </si>
  <si>
    <t>26469984</t>
  </si>
  <si>
    <t xml:space="preserve">КГБУ СО "Партизанский психоневрологический интернат"</t>
  </si>
  <si>
    <t>2509003784</t>
  </si>
  <si>
    <t>250901001</t>
  </si>
  <si>
    <t xml:space="preserve">14-03-1975 00:00:00</t>
  </si>
  <si>
    <t>26470070</t>
  </si>
  <si>
    <t xml:space="preserve">КГБУ СО «Покровский психоневрологический интернат»</t>
  </si>
  <si>
    <t>2522010501</t>
  </si>
  <si>
    <t>30840452</t>
  </si>
  <si>
    <t xml:space="preserve">КГБУЗ МЦ "Резерв"</t>
  </si>
  <si>
    <t>2521002258</t>
  </si>
  <si>
    <t>252101001</t>
  </si>
  <si>
    <t>31037796</t>
  </si>
  <si>
    <t xml:space="preserve">КГБУСО "Липовецкий ПНИ"</t>
  </si>
  <si>
    <t>2522010741</t>
  </si>
  <si>
    <t>26896946</t>
  </si>
  <si>
    <t xml:space="preserve">КГОБУ "Приморская спецшкола"</t>
  </si>
  <si>
    <t>2511016149</t>
  </si>
  <si>
    <t>26469914</t>
  </si>
  <si>
    <t xml:space="preserve">КГУП "Приморский экологический оператор"</t>
  </si>
  <si>
    <t>2504000885</t>
  </si>
  <si>
    <t>253801001</t>
  </si>
  <si>
    <t xml:space="preserve">10-12-1992 00:00:00</t>
  </si>
  <si>
    <t>26470185</t>
  </si>
  <si>
    <t xml:space="preserve">КГУП "Примтеплоэнерго"</t>
  </si>
  <si>
    <t>2536112729</t>
  </si>
  <si>
    <t>31503620</t>
  </si>
  <si>
    <t xml:space="preserve">МБУ "СКС"</t>
  </si>
  <si>
    <t>2502064403</t>
  </si>
  <si>
    <t xml:space="preserve">26-03-2021 00:00:00</t>
  </si>
  <si>
    <t>26470004</t>
  </si>
  <si>
    <t xml:space="preserve">МУП  " Теплоэнерго Черниговское"</t>
  </si>
  <si>
    <t>2533009804</t>
  </si>
  <si>
    <t>253301001</t>
  </si>
  <si>
    <t>28957242</t>
  </si>
  <si>
    <t xml:space="preserve">МУП "Городское хозяйство"</t>
  </si>
  <si>
    <t>2503031369</t>
  </si>
  <si>
    <t xml:space="preserve">27-01-2014 00:00:00</t>
  </si>
  <si>
    <t>30367458</t>
  </si>
  <si>
    <t xml:space="preserve">МУП "ЖКХ Ханкайского района"</t>
  </si>
  <si>
    <t>2530008552</t>
  </si>
  <si>
    <t>253001001</t>
  </si>
  <si>
    <t>26470110</t>
  </si>
  <si>
    <t xml:space="preserve">МУП "Коммунальный комплекс Пластун"</t>
  </si>
  <si>
    <t>2528885436</t>
  </si>
  <si>
    <t>26470106</t>
  </si>
  <si>
    <t xml:space="preserve">МУП "Коммунальный комплекс п. Терней"</t>
  </si>
  <si>
    <t>2528886091</t>
  </si>
  <si>
    <t xml:space="preserve">18-01-2008 00:00:00</t>
  </si>
  <si>
    <t>28236671</t>
  </si>
  <si>
    <t xml:space="preserve">МУП "Кристалл"</t>
  </si>
  <si>
    <t>2516000270</t>
  </si>
  <si>
    <t>251601001</t>
  </si>
  <si>
    <t>26469970</t>
  </si>
  <si>
    <t xml:space="preserve">МУП "Уссурийск-Водоканал"</t>
  </si>
  <si>
    <t>2511040110</t>
  </si>
  <si>
    <t>28870695</t>
  </si>
  <si>
    <t xml:space="preserve">МУП ВКХ "Сибирцевское"</t>
  </si>
  <si>
    <t>2533010670</t>
  </si>
  <si>
    <t>30367433</t>
  </si>
  <si>
    <t xml:space="preserve">МУП Пожарского МР "Лидер"</t>
  </si>
  <si>
    <t>2526011560</t>
  </si>
  <si>
    <t>26320288</t>
  </si>
  <si>
    <t xml:space="preserve">МУПВ "ВПЭС"</t>
  </si>
  <si>
    <t>2504000684</t>
  </si>
  <si>
    <t>28870593</t>
  </si>
  <si>
    <t xml:space="preserve">Михайловское РАЙПО</t>
  </si>
  <si>
    <t>2520007310</t>
  </si>
  <si>
    <t>252001001</t>
  </si>
  <si>
    <t>27572835</t>
  </si>
  <si>
    <t xml:space="preserve">ОАО "178 СРЗ"</t>
  </si>
  <si>
    <t>2536210349</t>
  </si>
  <si>
    <t>26469916</t>
  </si>
  <si>
    <t xml:space="preserve">ОАО "Владивостокский морской рыбный порт"</t>
  </si>
  <si>
    <t>2537009770</t>
  </si>
  <si>
    <t>253701001</t>
  </si>
  <si>
    <t>27630255</t>
  </si>
  <si>
    <t xml:space="preserve">ОАО "ДГК" СП Владивостокская ТЭЦ-2</t>
  </si>
  <si>
    <t>253632001</t>
  </si>
  <si>
    <t>27572850</t>
  </si>
  <si>
    <t xml:space="preserve">ОАО "Дальприбор"</t>
  </si>
  <si>
    <t>2539008807</t>
  </si>
  <si>
    <t>253901001</t>
  </si>
  <si>
    <t>27572819</t>
  </si>
  <si>
    <t xml:space="preserve">ОАО "Изумруд"</t>
  </si>
  <si>
    <t>2539028264</t>
  </si>
  <si>
    <t>26469960</t>
  </si>
  <si>
    <t xml:space="preserve">ОАО "Молочный завод "Уссурийский"</t>
  </si>
  <si>
    <t>2511001569</t>
  </si>
  <si>
    <t xml:space="preserve">25-07-2024 00:00:00</t>
  </si>
  <si>
    <t>26930742</t>
  </si>
  <si>
    <t xml:space="preserve">ОАО "Российские железные дороги"</t>
  </si>
  <si>
    <t>272131009</t>
  </si>
  <si>
    <t>26470108</t>
  </si>
  <si>
    <t xml:space="preserve">ОАО "Тернейлес"</t>
  </si>
  <si>
    <t>2528000813</t>
  </si>
  <si>
    <t>28870656</t>
  </si>
  <si>
    <t xml:space="preserve">ООО "АИТ"</t>
  </si>
  <si>
    <t>7743816842</t>
  </si>
  <si>
    <t>31037792</t>
  </si>
  <si>
    <t xml:space="preserve">ООО "Автомобильный переход Краскино"</t>
  </si>
  <si>
    <t>2531008210</t>
  </si>
  <si>
    <t>27572882</t>
  </si>
  <si>
    <t xml:space="preserve">ООО "Артемовский механический завод"</t>
  </si>
  <si>
    <t>2502034198</t>
  </si>
  <si>
    <t xml:space="preserve">09-01-2023 00:00:00</t>
  </si>
  <si>
    <t>28870716</t>
  </si>
  <si>
    <t xml:space="preserve">ООО "БМК"</t>
  </si>
  <si>
    <t>2508115950</t>
  </si>
  <si>
    <t>27572866</t>
  </si>
  <si>
    <t xml:space="preserve">ООО "ВОЭРМЗ"</t>
  </si>
  <si>
    <t>2538125339</t>
  </si>
  <si>
    <t>30893385</t>
  </si>
  <si>
    <t xml:space="preserve">ООО "Водэкон"</t>
  </si>
  <si>
    <t>2524001189</t>
  </si>
  <si>
    <t>252401001</t>
  </si>
  <si>
    <t xml:space="preserve">07-12-2016 00:00:00</t>
  </si>
  <si>
    <t xml:space="preserve">03-07-2025 00:00:00</t>
  </si>
  <si>
    <t>31594636</t>
  </si>
  <si>
    <t xml:space="preserve">ООО "Восток Сервис Бункер"</t>
  </si>
  <si>
    <t>2508133131</t>
  </si>
  <si>
    <t xml:space="preserve">03-05-2018 00:00:00</t>
  </si>
  <si>
    <t>31519396</t>
  </si>
  <si>
    <t xml:space="preserve">ООО "Гранд"</t>
  </si>
  <si>
    <t>2508092767</t>
  </si>
  <si>
    <t xml:space="preserve">17-09-2021 00:00:00</t>
  </si>
  <si>
    <t>30840423</t>
  </si>
  <si>
    <t xml:space="preserve">ООО "Дальнегорский ГОК"</t>
  </si>
  <si>
    <t>7718957575</t>
  </si>
  <si>
    <t>250501001</t>
  </si>
  <si>
    <t>26470078</t>
  </si>
  <si>
    <t xml:space="preserve">ООО "ЖЭУ Волчанец"</t>
  </si>
  <si>
    <t>2524112107</t>
  </si>
  <si>
    <t>30840445</t>
  </si>
  <si>
    <t xml:space="preserve">ООО "Живая Планета"</t>
  </si>
  <si>
    <t>2543000215</t>
  </si>
  <si>
    <t>26470076</t>
  </si>
  <si>
    <t xml:space="preserve">ООО "Жилищно-коммунальное хозяйство"</t>
  </si>
  <si>
    <t>2524111706</t>
  </si>
  <si>
    <t>31451915</t>
  </si>
  <si>
    <t xml:space="preserve">ООО "ИКС поселок Новый"</t>
  </si>
  <si>
    <t>2521016606</t>
  </si>
  <si>
    <t xml:space="preserve">19-11-2020 00:00:00</t>
  </si>
  <si>
    <t>31351347</t>
  </si>
  <si>
    <t xml:space="preserve">ООО "ИКС-Фокино"</t>
  </si>
  <si>
    <t>2537139561</t>
  </si>
  <si>
    <t>251201001</t>
  </si>
  <si>
    <t xml:space="preserve">19-02-2019 00:00:00</t>
  </si>
  <si>
    <t>26762798</t>
  </si>
  <si>
    <t xml:space="preserve">ООО "Луч"</t>
  </si>
  <si>
    <t>2524003651</t>
  </si>
  <si>
    <t>26771757</t>
  </si>
  <si>
    <t xml:space="preserve">ООО "Мик Восток"</t>
  </si>
  <si>
    <t>2524002263</t>
  </si>
  <si>
    <t>31718156</t>
  </si>
  <si>
    <t xml:space="preserve">ООО "Новая Энергетика"</t>
  </si>
  <si>
    <t>2543168948</t>
  </si>
  <si>
    <t>31879901</t>
  </si>
  <si>
    <t xml:space="preserve">ООО "ПТК"</t>
  </si>
  <si>
    <t>2540289165</t>
  </si>
  <si>
    <t xml:space="preserve">10-12-2024 00:00:00</t>
  </si>
  <si>
    <t>28870645</t>
  </si>
  <si>
    <t xml:space="preserve">ООО "Приграничье"</t>
  </si>
  <si>
    <t>2536152619</t>
  </si>
  <si>
    <t>31346874</t>
  </si>
  <si>
    <t xml:space="preserve">ООО "Приморская ГРЭС"</t>
  </si>
  <si>
    <t>2526006778</t>
  </si>
  <si>
    <t xml:space="preserve">14-08-2019 00:00:00</t>
  </si>
  <si>
    <t xml:space="preserve">27-04-2023 00:00:00</t>
  </si>
  <si>
    <t>29649591</t>
  </si>
  <si>
    <t xml:space="preserve">ООО "Приморская соя"</t>
  </si>
  <si>
    <t>7730168471</t>
  </si>
  <si>
    <t>26544267</t>
  </si>
  <si>
    <t xml:space="preserve">ООО "РН-Морской терминал Находка"</t>
  </si>
  <si>
    <t>2508070844</t>
  </si>
  <si>
    <t>26416221</t>
  </si>
  <si>
    <t xml:space="preserve">ООО "РН-Энерго"</t>
  </si>
  <si>
    <t>7706525041</t>
  </si>
  <si>
    <t>997650001</t>
  </si>
  <si>
    <t xml:space="preserve">02-05-2012 00:00:00</t>
  </si>
  <si>
    <t>31542883</t>
  </si>
  <si>
    <t xml:space="preserve">ООО "ССК "Звезда"</t>
  </si>
  <si>
    <t>2503032517</t>
  </si>
  <si>
    <t xml:space="preserve">17-12-2015 00:00:00</t>
  </si>
  <si>
    <t>31409366</t>
  </si>
  <si>
    <t xml:space="preserve">ООО "СУМ БАСКО"</t>
  </si>
  <si>
    <t>2539114604</t>
  </si>
  <si>
    <t>26469994</t>
  </si>
  <si>
    <t xml:space="preserve">ООО "Санаторий "Амурский залив"</t>
  </si>
  <si>
    <t>2539042519</t>
  </si>
  <si>
    <t xml:space="preserve">08-09-1999 00:00:00</t>
  </si>
  <si>
    <t>28870724</t>
  </si>
  <si>
    <t xml:space="preserve">ООО "Спасскэнергия"</t>
  </si>
  <si>
    <t>2510013402</t>
  </si>
  <si>
    <t>26469942</t>
  </si>
  <si>
    <t xml:space="preserve">ООО "Сталкер"</t>
  </si>
  <si>
    <t>2511034892</t>
  </si>
  <si>
    <t>26470092</t>
  </si>
  <si>
    <t xml:space="preserve">ООО "ТТП НЛХ Бикин"</t>
  </si>
  <si>
    <t>2526008126</t>
  </si>
  <si>
    <t>30985345</t>
  </si>
  <si>
    <t xml:space="preserve">ООО "Тепловые сети Находка"</t>
  </si>
  <si>
    <t>2508128156</t>
  </si>
  <si>
    <t xml:space="preserve">25-02-2022 00:00:00</t>
  </si>
  <si>
    <t>28028705</t>
  </si>
  <si>
    <t xml:space="preserve">ООО "Техстройдом"</t>
  </si>
  <si>
    <t>2508079526</t>
  </si>
  <si>
    <t>26759412</t>
  </si>
  <si>
    <t xml:space="preserve">ООО "Транснефть - порт Козьмино"</t>
  </si>
  <si>
    <t>2508081814</t>
  </si>
  <si>
    <t>26525181</t>
  </si>
  <si>
    <t xml:space="preserve">ООО "УК ПВЭСиК"</t>
  </si>
  <si>
    <t>2526007193</t>
  </si>
  <si>
    <t>26573160</t>
  </si>
  <si>
    <t xml:space="preserve">ООО "Управляющая Компания "ТЭК Арсеньев"</t>
  </si>
  <si>
    <t>2501014449</t>
  </si>
  <si>
    <t>30985360</t>
  </si>
  <si>
    <t xml:space="preserve">ООО "Хасантепло"</t>
  </si>
  <si>
    <t>2531012946</t>
  </si>
  <si>
    <t>28856110</t>
  </si>
  <si>
    <t xml:space="preserve">ООО "Цефей"</t>
  </si>
  <si>
    <t>2517010802</t>
  </si>
  <si>
    <t>251701001</t>
  </si>
  <si>
    <t xml:space="preserve">15-08-2025 00:00:00</t>
  </si>
  <si>
    <t>28870666</t>
  </si>
  <si>
    <t xml:space="preserve">ООО "Энергия"</t>
  </si>
  <si>
    <t>2536273740</t>
  </si>
  <si>
    <t>30858864</t>
  </si>
  <si>
    <t xml:space="preserve">ООО "Энергокомплекс"</t>
  </si>
  <si>
    <t>2536297036</t>
  </si>
  <si>
    <t>28028607</t>
  </si>
  <si>
    <t xml:space="preserve">ООО "Энерготепло"</t>
  </si>
  <si>
    <t>2530008249</t>
  </si>
  <si>
    <t xml:space="preserve">29-04-2022 00:00:00</t>
  </si>
  <si>
    <t>27585085</t>
  </si>
  <si>
    <t xml:space="preserve">ООО "Энерготранспортная компания"</t>
  </si>
  <si>
    <t>2536245133</t>
  </si>
  <si>
    <t xml:space="preserve">11-10-2022 00:00:00</t>
  </si>
  <si>
    <t>26649772</t>
  </si>
  <si>
    <t xml:space="preserve">ООО «А-ЛИСА»</t>
  </si>
  <si>
    <t>2531002320</t>
  </si>
  <si>
    <t xml:space="preserve">14-06-2006 00:00:00</t>
  </si>
  <si>
    <t>26649796</t>
  </si>
  <si>
    <t xml:space="preserve">ООО «Абсолют-Сервис»</t>
  </si>
  <si>
    <t>2506010617</t>
  </si>
  <si>
    <t>250601001</t>
  </si>
  <si>
    <t>30856884</t>
  </si>
  <si>
    <t xml:space="preserve">ООО НПП "ВЛАДПОРТБУНКЕР"</t>
  </si>
  <si>
    <t>2540016136</t>
  </si>
  <si>
    <t>27572997</t>
  </si>
  <si>
    <t xml:space="preserve">ПАО "Владивостокский морской торговый порт"</t>
  </si>
  <si>
    <t>2504000204</t>
  </si>
  <si>
    <t>26649737</t>
  </si>
  <si>
    <t xml:space="preserve">ПАО "Находкинский судоремонтный завод"</t>
  </si>
  <si>
    <t>2508001431</t>
  </si>
  <si>
    <t>31207123</t>
  </si>
  <si>
    <t xml:space="preserve">ПАО "РусГидро"</t>
  </si>
  <si>
    <t>2460066195</t>
  </si>
  <si>
    <t>246601001</t>
  </si>
  <si>
    <t xml:space="preserve">16-10-2018 00:00:00</t>
  </si>
  <si>
    <t>26771730</t>
  </si>
  <si>
    <t xml:space="preserve">ПСМК "Энергия"</t>
  </si>
  <si>
    <t>2517001244</t>
  </si>
  <si>
    <t xml:space="preserve">27-08-2009 00:00:00</t>
  </si>
  <si>
    <t>30795400</t>
  </si>
  <si>
    <t xml:space="preserve">Пограничное управление ФСБ РФ по Приморскому краю</t>
  </si>
  <si>
    <t>2536164734</t>
  </si>
  <si>
    <t xml:space="preserve">27-12-2005 00:00:00</t>
  </si>
  <si>
    <t>30365083</t>
  </si>
  <si>
    <t xml:space="preserve">Седьмой отдельный авиационный отряд ФСБ РФ</t>
  </si>
  <si>
    <t>7702232171</t>
  </si>
  <si>
    <t>253902001</t>
  </si>
  <si>
    <t>26469990</t>
  </si>
  <si>
    <t xml:space="preserve">Управление Федеральной службы безопасности по Приморскому краю</t>
  </si>
  <si>
    <t>2540012484</t>
  </si>
  <si>
    <t>26783549</t>
  </si>
  <si>
    <t xml:space="preserve">Уссурийская дистанция гражданских сооружений</t>
  </si>
  <si>
    <t>252102001</t>
  </si>
  <si>
    <t>26469924</t>
  </si>
  <si>
    <t xml:space="preserve">ФГБОУ "Всероссийский детский центр "Океан"</t>
  </si>
  <si>
    <t>2539009984</t>
  </si>
  <si>
    <t>31912911</t>
  </si>
  <si>
    <t xml:space="preserve">ФГБУ "Национальный парк "Бикин"</t>
  </si>
  <si>
    <t>2526006418</t>
  </si>
  <si>
    <t>30926365</t>
  </si>
  <si>
    <t xml:space="preserve">ФГБУ «ЦЖКУ» МО РФ (Филиал ФГБУ «ЦЖКУ» МО РФ по ВВО)</t>
  </si>
  <si>
    <t>7729314745</t>
  </si>
  <si>
    <t>272443001</t>
  </si>
  <si>
    <t xml:space="preserve">20-03-2017 00:00:00</t>
  </si>
  <si>
    <t>31281395</t>
  </si>
  <si>
    <t xml:space="preserve">ФГБУН "Федеральный научный центр биоразнообразия наземной биоты Восточной Азии" ДВО РАН-филиал "Горнотаежная станция им.В.Л. Комарова"</t>
  </si>
  <si>
    <t>2539007634</t>
  </si>
  <si>
    <t>30858640</t>
  </si>
  <si>
    <t xml:space="preserve">ФГКУ "Войсковая часть 2430"</t>
  </si>
  <si>
    <t>2538143578</t>
  </si>
  <si>
    <t>28427651</t>
  </si>
  <si>
    <t xml:space="preserve">ФГКУ "Войсковая часть 83417"</t>
  </si>
  <si>
    <t>2503006098</t>
  </si>
  <si>
    <t>28945519</t>
  </si>
  <si>
    <t xml:space="preserve">ФГКУ "Доблесть"</t>
  </si>
  <si>
    <t>2521002240</t>
  </si>
  <si>
    <t>26470124</t>
  </si>
  <si>
    <t xml:space="preserve">ФКУ ИК-20 ГУФСИН России по Приморскому краю</t>
  </si>
  <si>
    <t>2502025612</t>
  </si>
  <si>
    <t>26650028</t>
  </si>
  <si>
    <t xml:space="preserve">ФКУ ИК-31 ГУФСИН России по Приморскому краю</t>
  </si>
  <si>
    <t>2534005496</t>
  </si>
  <si>
    <t>253401001</t>
  </si>
  <si>
    <t>26469988</t>
  </si>
  <si>
    <t xml:space="preserve">ФКУ ИК-33 ГУФСИН России по Приморскому краю</t>
  </si>
  <si>
    <t>2510001220</t>
  </si>
  <si>
    <t>26469968</t>
  </si>
  <si>
    <t xml:space="preserve">ФКУ ИК-41 ГУФСИН России по Приморскому краю</t>
  </si>
  <si>
    <t>2511002241</t>
  </si>
  <si>
    <t>26649748</t>
  </si>
  <si>
    <t xml:space="preserve">ФКУ КП-49 ГУФСИН России по Приморскому краю</t>
  </si>
  <si>
    <t>2538023601</t>
  </si>
  <si>
    <t>26469954</t>
  </si>
  <si>
    <t xml:space="preserve">ФКУ СИЗО-2 ГУФСИН по Приморскому краю</t>
  </si>
  <si>
    <t>2511034638</t>
  </si>
  <si>
    <t>26771741</t>
  </si>
  <si>
    <t xml:space="preserve">ФКУЗ "Приморская противочумная станция" Роспотребнадзора</t>
  </si>
  <si>
    <t>2511010429</t>
  </si>
  <si>
    <t>28508071</t>
  </si>
  <si>
    <t xml:space="preserve">ФКУЗ Санаторий "Приморье"</t>
  </si>
  <si>
    <t>2539011630</t>
  </si>
  <si>
    <t>27294665</t>
  </si>
  <si>
    <t xml:space="preserve">Филиал "Приморский" АО "Оборонэнерго"</t>
  </si>
  <si>
    <t>7704726225</t>
  </si>
  <si>
    <t>253643001</t>
  </si>
  <si>
    <t xml:space="preserve">09-08-2011 00:00:00</t>
  </si>
  <si>
    <t>27570707</t>
  </si>
  <si>
    <t xml:space="preserve">ооо Жилком-2</t>
  </si>
  <si>
    <t>2507229507</t>
  </si>
  <si>
    <t>250701001</t>
  </si>
  <si>
    <t>27568569</t>
  </si>
  <si>
    <t xml:space="preserve">филиал АО "РЭУ" " Хабаровский" территориальное управление "Приморское"</t>
  </si>
  <si>
    <t>7714783092</t>
  </si>
  <si>
    <t>30372693</t>
  </si>
  <si>
    <t>250332001</t>
  </si>
  <si>
    <t>30372679</t>
  </si>
  <si>
    <t>250502001</t>
  </si>
  <si>
    <t>30373011</t>
  </si>
  <si>
    <t>250645031</t>
  </si>
  <si>
    <t>30372997</t>
  </si>
  <si>
    <t>251245037</t>
  </si>
  <si>
    <t>30372939</t>
  </si>
  <si>
    <t>251332001</t>
  </si>
  <si>
    <t>30372776</t>
  </si>
  <si>
    <t>252002001</t>
  </si>
  <si>
    <t>26470046</t>
  </si>
  <si>
    <t>253132002</t>
  </si>
  <si>
    <t>30372859</t>
  </si>
  <si>
    <t>253245045</t>
  </si>
  <si>
    <t>27733531</t>
  </si>
  <si>
    <t xml:space="preserve">КГУП Примтеплоэнерго</t>
  </si>
  <si>
    <t>253345002</t>
  </si>
  <si>
    <t>26320278</t>
  </si>
  <si>
    <t xml:space="preserve">АО "Коммунэлектросервис"</t>
  </si>
  <si>
    <t>2505010540</t>
  </si>
  <si>
    <t xml:space="preserve">26-06-2006 00:00:00</t>
  </si>
  <si>
    <t>31504049</t>
  </si>
  <si>
    <t xml:space="preserve">АО "РК "Новый Мир"</t>
  </si>
  <si>
    <t>2503023449</t>
  </si>
  <si>
    <t xml:space="preserve">19-03-2018 00:00:00</t>
  </si>
  <si>
    <t>28061906</t>
  </si>
  <si>
    <t xml:space="preserve">АО "Терминал Владивосток"</t>
  </si>
  <si>
    <t>2502039781</t>
  </si>
  <si>
    <t>26319157</t>
  </si>
  <si>
    <t xml:space="preserve">АО "Электросервис"</t>
  </si>
  <si>
    <t>2507003122</t>
  </si>
  <si>
    <t xml:space="preserve">22-04-1996 00:00:00</t>
  </si>
  <si>
    <t>27833495</t>
  </si>
  <si>
    <t xml:space="preserve">Войсковая часть 01153</t>
  </si>
  <si>
    <t>2720040610</t>
  </si>
  <si>
    <t>250343001</t>
  </si>
  <si>
    <t>26579991</t>
  </si>
  <si>
    <t>ЖКХ-Раздольное</t>
  </si>
  <si>
    <t>2521011157</t>
  </si>
  <si>
    <t xml:space="preserve">04-02-2025 00:00:00</t>
  </si>
  <si>
    <t>31709472</t>
  </si>
  <si>
    <t xml:space="preserve">ИП Волков Виктор Николаевич</t>
  </si>
  <si>
    <t>252200300595</t>
  </si>
  <si>
    <t>31257979</t>
  </si>
  <si>
    <t xml:space="preserve">ИП Коротков Н.А.</t>
  </si>
  <si>
    <t>250302760157</t>
  </si>
  <si>
    <t>31362500</t>
  </si>
  <si>
    <t xml:space="preserve">Индивидуальный предприниматель Клемба Дмитрий Иванович</t>
  </si>
  <si>
    <t>251702060578</t>
  </si>
  <si>
    <t>30427809</t>
  </si>
  <si>
    <t>250202002</t>
  </si>
  <si>
    <t>30427796</t>
  </si>
  <si>
    <t>251043001</t>
  </si>
  <si>
    <t>26470203</t>
  </si>
  <si>
    <t xml:space="preserve">КГУП Приморский водоканал</t>
  </si>
  <si>
    <t>2503022413</t>
  </si>
  <si>
    <t>26470371</t>
  </si>
  <si>
    <t>250301002</t>
  </si>
  <si>
    <t>26470519</t>
  </si>
  <si>
    <t>251043002</t>
  </si>
  <si>
    <t>31920225</t>
  </si>
  <si>
    <t xml:space="preserve">МАУ "Покровский Водоканал"</t>
  </si>
  <si>
    <t>2511133195</t>
  </si>
  <si>
    <t>31614878</t>
  </si>
  <si>
    <t xml:space="preserve">МБУ ЛГО "Жилищно-коммунальное хозяйство и благоустройство"</t>
  </si>
  <si>
    <t>2511118503</t>
  </si>
  <si>
    <t>31835236</t>
  </si>
  <si>
    <t xml:space="preserve">МБУ ЛМО "Городское ЖКХ"</t>
  </si>
  <si>
    <t>2511130300</t>
  </si>
  <si>
    <t xml:space="preserve">21-11-2024 00:00:00</t>
  </si>
  <si>
    <t>31026482</t>
  </si>
  <si>
    <t xml:space="preserve">МКП «Районное хозяйственное управление» Партизанского МО</t>
  </si>
  <si>
    <t>2524001365</t>
  </si>
  <si>
    <t>31255287</t>
  </si>
  <si>
    <t xml:space="preserve">МКУ "АХОЗУ ДМР"</t>
  </si>
  <si>
    <t>2506010840</t>
  </si>
  <si>
    <t>31387103</t>
  </si>
  <si>
    <t xml:space="preserve">МКУ "ЖКХ"Спасский"</t>
  </si>
  <si>
    <t>2510014269</t>
  </si>
  <si>
    <t>31026491</t>
  </si>
  <si>
    <t xml:space="preserve">МКУ "Служба благоустройства Черниговского муниципального округа"</t>
  </si>
  <si>
    <t>2533010052</t>
  </si>
  <si>
    <t xml:space="preserve">06-08-2009 00:00:00</t>
  </si>
  <si>
    <t>31027638</t>
  </si>
  <si>
    <t xml:space="preserve">МКУ "Хозяйственное управление администрации Пограничного МР"</t>
  </si>
  <si>
    <t>2525001086</t>
  </si>
  <si>
    <t>252501001</t>
  </si>
  <si>
    <t>30876555</t>
  </si>
  <si>
    <t xml:space="preserve">МП "Гидросеть"</t>
  </si>
  <si>
    <t>2516002319</t>
  </si>
  <si>
    <t xml:space="preserve">08-09-2022 00:00:00</t>
  </si>
  <si>
    <t>27321197</t>
  </si>
  <si>
    <t xml:space="preserve">МП "Родник"</t>
  </si>
  <si>
    <t>2510010049</t>
  </si>
  <si>
    <t xml:space="preserve">11-02-2026 00:00:00</t>
  </si>
  <si>
    <t>30866932</t>
  </si>
  <si>
    <t xml:space="preserve">МУП "АкваСервис"</t>
  </si>
  <si>
    <t>2507012180</t>
  </si>
  <si>
    <t xml:space="preserve">13-05-2016 00:00:00</t>
  </si>
  <si>
    <t>30367424</t>
  </si>
  <si>
    <t xml:space="preserve">МУП "Анучинское ЖКХ"</t>
  </si>
  <si>
    <t>2513004893</t>
  </si>
  <si>
    <t>251301001</t>
  </si>
  <si>
    <t>27920399</t>
  </si>
  <si>
    <t xml:space="preserve">МУП "Водоканал"</t>
  </si>
  <si>
    <t>2516001386</t>
  </si>
  <si>
    <t xml:space="preserve">04-12-2024 00:00:00</t>
  </si>
  <si>
    <t>31503896</t>
  </si>
  <si>
    <t xml:space="preserve">МУП "Водоканал" Горноключевского ГП</t>
  </si>
  <si>
    <t>2511115975</t>
  </si>
  <si>
    <t xml:space="preserve">23-06-2021 00:00:00</t>
  </si>
  <si>
    <t>31615982</t>
  </si>
  <si>
    <t xml:space="preserve">МУП "Водопроводные сети"</t>
  </si>
  <si>
    <t>2511118750</t>
  </si>
  <si>
    <t xml:space="preserve">09-09-2022 00:00:00</t>
  </si>
  <si>
    <t>28873729</t>
  </si>
  <si>
    <t xml:space="preserve">МУП "Исток" Хвалынское сп</t>
  </si>
  <si>
    <t>2510008811</t>
  </si>
  <si>
    <t xml:space="preserve">24-10-2022 00:00:00</t>
  </si>
  <si>
    <t>26470327</t>
  </si>
  <si>
    <t xml:space="preserve">МУП "Покровское"</t>
  </si>
  <si>
    <t>2522000158</t>
  </si>
  <si>
    <t>30866926</t>
  </si>
  <si>
    <t xml:space="preserve">МУП "СЛАВЯНКА-ВОДОКАНАЛ"</t>
  </si>
  <si>
    <t>2531012777</t>
  </si>
  <si>
    <t xml:space="preserve">21-09-2016 00:00:00</t>
  </si>
  <si>
    <t>31541606</t>
  </si>
  <si>
    <t xml:space="preserve">МУП "СУЧАНСКИЙ ВОДОКАНАЛ"</t>
  </si>
  <si>
    <t>2509049700</t>
  </si>
  <si>
    <t xml:space="preserve">03-07-2007 00:00:00</t>
  </si>
  <si>
    <t>26470269</t>
  </si>
  <si>
    <t xml:space="preserve">МУП «Погранводовод»</t>
  </si>
  <si>
    <t>2525000685</t>
  </si>
  <si>
    <t>31027543</t>
  </si>
  <si>
    <t xml:space="preserve">МУП Зарубинского ГП "Зарубино-ДВ"</t>
  </si>
  <si>
    <t>2531012880</t>
  </si>
  <si>
    <t>31350465</t>
  </si>
  <si>
    <t xml:space="preserve">МУП ЛГО "Коммунальное хозяйство"</t>
  </si>
  <si>
    <t>2507012960</t>
  </si>
  <si>
    <t>26470265</t>
  </si>
  <si>
    <t xml:space="preserve">МУП Находка-Водоканал</t>
  </si>
  <si>
    <t>2508058565</t>
  </si>
  <si>
    <t>26470207</t>
  </si>
  <si>
    <t xml:space="preserve">МУП Ружинское предприятие водоснабжения и водоотведения</t>
  </si>
  <si>
    <t>2507011758</t>
  </si>
  <si>
    <t>26813404</t>
  </si>
  <si>
    <t xml:space="preserve">ОАО "ДГК" СП Партизанская ГРЭС</t>
  </si>
  <si>
    <t>250932001</t>
  </si>
  <si>
    <t>30391734</t>
  </si>
  <si>
    <t xml:space="preserve">ОАО "Морепродукт"</t>
  </si>
  <si>
    <t>2508037928</t>
  </si>
  <si>
    <t>31739692</t>
  </si>
  <si>
    <t xml:space="preserve">ОБЩЕСТВО С ОГРАНИЧЕННОЙ ОТВЕТСТВЕННОСТЬЮ "СПЕЦРЕСУРС"</t>
  </si>
  <si>
    <t>2536341503</t>
  </si>
  <si>
    <t xml:space="preserve">06-10-2023 00:00:00</t>
  </si>
  <si>
    <t>31369165</t>
  </si>
  <si>
    <t xml:space="preserve">ООО "Акватико"</t>
  </si>
  <si>
    <t>2501018115</t>
  </si>
  <si>
    <t xml:space="preserve">18-01-2016 00:00:00</t>
  </si>
  <si>
    <t>28955244</t>
  </si>
  <si>
    <t xml:space="preserve">ООО "ВОСТОК"</t>
  </si>
  <si>
    <t>2523004660</t>
  </si>
  <si>
    <t>252301001</t>
  </si>
  <si>
    <t>28069953</t>
  </si>
  <si>
    <t xml:space="preserve">ООО "Варфоломеевская УК"</t>
  </si>
  <si>
    <t>2535004551</t>
  </si>
  <si>
    <t>253501001</t>
  </si>
  <si>
    <t xml:space="preserve">20-07-2022 00:00:00</t>
  </si>
  <si>
    <t>31600940</t>
  </si>
  <si>
    <t xml:space="preserve">ООО "Водоканал Арсеньев"</t>
  </si>
  <si>
    <t>2502067683</t>
  </si>
  <si>
    <t xml:space="preserve">04-04-2022 00:00:00</t>
  </si>
  <si>
    <t>26777497</t>
  </si>
  <si>
    <t xml:space="preserve">ООО "Водоканал"</t>
  </si>
  <si>
    <t>2503017646</t>
  </si>
  <si>
    <t>26470347</t>
  </si>
  <si>
    <t xml:space="preserve">ООО "Водоканал-Сервис"</t>
  </si>
  <si>
    <t>2535004287</t>
  </si>
  <si>
    <t>26470549</t>
  </si>
  <si>
    <t xml:space="preserve">ООО "Водолей"</t>
  </si>
  <si>
    <t>2534006059</t>
  </si>
  <si>
    <t>31161519</t>
  </si>
  <si>
    <t xml:space="preserve">ООО "Водоресурс"</t>
  </si>
  <si>
    <t>2507012832</t>
  </si>
  <si>
    <t xml:space="preserve">20-04-2018 00:00:00</t>
  </si>
  <si>
    <t>31541213</t>
  </si>
  <si>
    <t xml:space="preserve">ООО "Восток Инжиниринг"</t>
  </si>
  <si>
    <t>2510013723</t>
  </si>
  <si>
    <t>30367074</t>
  </si>
  <si>
    <t xml:space="preserve">ООО "Вотэк"</t>
  </si>
  <si>
    <t>2524118807</t>
  </si>
  <si>
    <t>31739705</t>
  </si>
  <si>
    <t xml:space="preserve">ООО "Горноключевской Водоканал"</t>
  </si>
  <si>
    <t>2511126800</t>
  </si>
  <si>
    <t xml:space="preserve">16-01-2024 00:00:00</t>
  </si>
  <si>
    <t>27833441</t>
  </si>
  <si>
    <t xml:space="preserve">ООО "Гранит"</t>
  </si>
  <si>
    <t>2531008996</t>
  </si>
  <si>
    <t xml:space="preserve">30-10-2023 00:00:00</t>
  </si>
  <si>
    <t>28856082</t>
  </si>
  <si>
    <t xml:space="preserve">ООО "Дальводоканал"</t>
  </si>
  <si>
    <t>2540190399</t>
  </si>
  <si>
    <t>31380860</t>
  </si>
  <si>
    <t xml:space="preserve">ООО "Дельта"</t>
  </si>
  <si>
    <t>2508094250</t>
  </si>
  <si>
    <t>26470084</t>
  </si>
  <si>
    <t xml:space="preserve">ООО "Жилсервис"</t>
  </si>
  <si>
    <t>2524111907</t>
  </si>
  <si>
    <t>31657408</t>
  </si>
  <si>
    <t xml:space="preserve">ООО "Инженерные системы и коммуникации - Дальнего Востока"</t>
  </si>
  <si>
    <t>2526006841</t>
  </si>
  <si>
    <t xml:space="preserve">16-02-2023 00:00:00</t>
  </si>
  <si>
    <t>28069921</t>
  </si>
  <si>
    <t xml:space="preserve">ООО "Инфраструктура"</t>
  </si>
  <si>
    <t>2508082399</t>
  </si>
  <si>
    <t xml:space="preserve">05-02-2008 00:00:00</t>
  </si>
  <si>
    <t xml:space="preserve">23-07-2025 00:00:00</t>
  </si>
  <si>
    <t>30866942</t>
  </si>
  <si>
    <t xml:space="preserve">ООО "Коммунальная компания"</t>
  </si>
  <si>
    <t>2521013940</t>
  </si>
  <si>
    <t>26320287</t>
  </si>
  <si>
    <t xml:space="preserve">ООО "Коммунальные сети"</t>
  </si>
  <si>
    <t>2507228334</t>
  </si>
  <si>
    <t xml:space="preserve">30-06-2006 00:00:00</t>
  </si>
  <si>
    <t>28468874</t>
  </si>
  <si>
    <t xml:space="preserve">ООО "Коммунальщик-Профи"</t>
  </si>
  <si>
    <t>2510007776</t>
  </si>
  <si>
    <t xml:space="preserve">01-11-2013 00:00:00</t>
  </si>
  <si>
    <t>30866907</t>
  </si>
  <si>
    <t xml:space="preserve">ООО "Кристалл"</t>
  </si>
  <si>
    <t>2501018080</t>
  </si>
  <si>
    <t xml:space="preserve">18-12-2015 00:00:00</t>
  </si>
  <si>
    <t>31222438</t>
  </si>
  <si>
    <t xml:space="preserve">ООО "Лучегорский водоканал"</t>
  </si>
  <si>
    <t>2526006520</t>
  </si>
  <si>
    <t>31837611</t>
  </si>
  <si>
    <t xml:space="preserve">ООО "ПРОК"</t>
  </si>
  <si>
    <t>2536348178</t>
  </si>
  <si>
    <t xml:space="preserve">20-12-2024 00:00:00</t>
  </si>
  <si>
    <t>28485124</t>
  </si>
  <si>
    <t xml:space="preserve">ООО "Свиягинское"</t>
  </si>
  <si>
    <t>2510011155</t>
  </si>
  <si>
    <t xml:space="preserve">08-10-2013 00:00:00</t>
  </si>
  <si>
    <t xml:space="preserve">30-03-2023 00:00:00</t>
  </si>
  <si>
    <t>26470541</t>
  </si>
  <si>
    <t xml:space="preserve">ООО "Союз-К"</t>
  </si>
  <si>
    <t>2520004439</t>
  </si>
  <si>
    <t>31276972</t>
  </si>
  <si>
    <t xml:space="preserve">ООО "Стройка плюс"</t>
  </si>
  <si>
    <t>2521015063</t>
  </si>
  <si>
    <t>28978230</t>
  </si>
  <si>
    <t xml:space="preserve">ООО "Транснефть-Дальний Восток"</t>
  </si>
  <si>
    <t>2724132118</t>
  </si>
  <si>
    <t>250643001</t>
  </si>
  <si>
    <t>26791421</t>
  </si>
  <si>
    <t xml:space="preserve">ООО "Тритэра"</t>
  </si>
  <si>
    <t>2536075996</t>
  </si>
  <si>
    <t>27582817</t>
  </si>
  <si>
    <t xml:space="preserve">ООО "УК - Комфорт"</t>
  </si>
  <si>
    <t>2503028207</t>
  </si>
  <si>
    <t>30367494</t>
  </si>
  <si>
    <t xml:space="preserve">ООО "УК Тавричанка"</t>
  </si>
  <si>
    <t>2521013972</t>
  </si>
  <si>
    <t xml:space="preserve">25-03-2014 00:00:00</t>
  </si>
  <si>
    <t xml:space="preserve">06-05-2022 00:00:00</t>
  </si>
  <si>
    <t>26581859</t>
  </si>
  <si>
    <t xml:space="preserve">ООО "Фирма Сан"</t>
  </si>
  <si>
    <t>2521001102</t>
  </si>
  <si>
    <t>26470094</t>
  </si>
  <si>
    <t xml:space="preserve">ООО "Центр плюс"</t>
  </si>
  <si>
    <t>2526010125</t>
  </si>
  <si>
    <t xml:space="preserve">19-11-2007 00:00:00</t>
  </si>
  <si>
    <t>31256013</t>
  </si>
  <si>
    <t xml:space="preserve">ООО "Чкаловское многоотраслевое предприятие"</t>
  </si>
  <si>
    <t>2510009526</t>
  </si>
  <si>
    <t>28873735</t>
  </si>
  <si>
    <t xml:space="preserve">ООО «УК Партнеры»</t>
  </si>
  <si>
    <t>2503030943</t>
  </si>
  <si>
    <t xml:space="preserve">04-04-2025 00:00:00</t>
  </si>
  <si>
    <t>27833382</t>
  </si>
  <si>
    <t xml:space="preserve">ООО Артель</t>
  </si>
  <si>
    <t>2510010923</t>
  </si>
  <si>
    <t>26470359</t>
  </si>
  <si>
    <t xml:space="preserve">ООО ВодЕко</t>
  </si>
  <si>
    <t>2524100359</t>
  </si>
  <si>
    <t>26470421</t>
  </si>
  <si>
    <t xml:space="preserve">ООО Водоканал</t>
  </si>
  <si>
    <t>2518115607</t>
  </si>
  <si>
    <t>251801001</t>
  </si>
  <si>
    <t xml:space="preserve">31-03-2022 00:00:00</t>
  </si>
  <si>
    <t>26470231</t>
  </si>
  <si>
    <t xml:space="preserve">ООО Горный ключ</t>
  </si>
  <si>
    <t>2508077254</t>
  </si>
  <si>
    <t xml:space="preserve">10-06-2025 00:00:00</t>
  </si>
  <si>
    <t>26470223</t>
  </si>
  <si>
    <t xml:space="preserve">ООО Девичанское</t>
  </si>
  <si>
    <t>2532004955</t>
  </si>
  <si>
    <t>253201001</t>
  </si>
  <si>
    <t>26470389</t>
  </si>
  <si>
    <t xml:space="preserve">ООО Жилкомсервис</t>
  </si>
  <si>
    <t>2517007976</t>
  </si>
  <si>
    <t>26470545</t>
  </si>
  <si>
    <t xml:space="preserve">ООО ОКП</t>
  </si>
  <si>
    <t>2522001218</t>
  </si>
  <si>
    <t>26470329</t>
  </si>
  <si>
    <t xml:space="preserve">ООО Поларис-групп</t>
  </si>
  <si>
    <t>2540080780</t>
  </si>
  <si>
    <t>31263071</t>
  </si>
  <si>
    <t xml:space="preserve">ООО РО "СпасскКоммуналСервис"</t>
  </si>
  <si>
    <t>2510014910</t>
  </si>
  <si>
    <t>31640943</t>
  </si>
  <si>
    <t xml:space="preserve">ООО УК "Рост"</t>
  </si>
  <si>
    <t>2536324071</t>
  </si>
  <si>
    <t xml:space="preserve">01-12-2022 00:00:00</t>
  </si>
  <si>
    <t>27838101</t>
  </si>
  <si>
    <t xml:space="preserve">ООО УК Оникс</t>
  </si>
  <si>
    <t>26470253</t>
  </si>
  <si>
    <t xml:space="preserve">ООО Форд-Ност</t>
  </si>
  <si>
    <t>2508056215</t>
  </si>
  <si>
    <t>26470197</t>
  </si>
  <si>
    <t xml:space="preserve">ООО Чистая вода плюс</t>
  </si>
  <si>
    <t>2508077279</t>
  </si>
  <si>
    <t>31362508</t>
  </si>
  <si>
    <t xml:space="preserve">СХПК "Струговский"</t>
  </si>
  <si>
    <t>2522001056</t>
  </si>
  <si>
    <t>28873723</t>
  </si>
  <si>
    <t xml:space="preserve">СХПК «Новолитовский»</t>
  </si>
  <si>
    <t>2524001140</t>
  </si>
  <si>
    <t>26470339</t>
  </si>
  <si>
    <t xml:space="preserve">СХПК Хорольское</t>
  </si>
  <si>
    <t>2532000020</t>
  </si>
  <si>
    <t>26771752</t>
  </si>
  <si>
    <t xml:space="preserve">ТСЖ "Радист"</t>
  </si>
  <si>
    <t>2521000691</t>
  </si>
  <si>
    <t>26470026</t>
  </si>
  <si>
    <t xml:space="preserve">ФГКУ "Оптовая база № 42"</t>
  </si>
  <si>
    <t>2513001797</t>
  </si>
  <si>
    <t>26469900</t>
  </si>
  <si>
    <t xml:space="preserve">ФГКУ «Витязь»</t>
  </si>
  <si>
    <t>2513001780</t>
  </si>
  <si>
    <t>28459820</t>
  </si>
  <si>
    <t xml:space="preserve">ФГКУ комбинат «Взморье» Управления Федерального агентства по государственным резервам по ДФО</t>
  </si>
  <si>
    <t>2503005859</t>
  </si>
  <si>
    <t>26470044</t>
  </si>
  <si>
    <t xml:space="preserve">ФГУ комбинат "Пионер"</t>
  </si>
  <si>
    <t>2534000522</t>
  </si>
  <si>
    <t>30804634</t>
  </si>
  <si>
    <t xml:space="preserve">ФКУ ИК-10 ГУФСИН России по Приморскому краю</t>
  </si>
  <si>
    <t>2520000280</t>
  </si>
  <si>
    <t>26470315</t>
  </si>
  <si>
    <t xml:space="preserve">Филиал РТРС «Приморский КРТПЦ»</t>
  </si>
  <si>
    <t>7717127211</t>
  </si>
  <si>
    <t>28444428</t>
  </si>
  <si>
    <t xml:space="preserve">муп "Жилищно-коммунальное хозяйство "Ольга"</t>
  </si>
  <si>
    <t>2523004525</t>
  </si>
  <si>
    <t xml:space="preserve">10-01-2013 00:00:00</t>
  </si>
  <si>
    <t>28146501</t>
  </si>
  <si>
    <t xml:space="preserve">муп "Липовецкое"</t>
  </si>
  <si>
    <t>2522042447</t>
  </si>
  <si>
    <t>28142080</t>
  </si>
  <si>
    <t xml:space="preserve">ооо "Теплосетевая компания"</t>
  </si>
  <si>
    <t>2509063705</t>
  </si>
  <si>
    <t>27872682</t>
  </si>
  <si>
    <t xml:space="preserve">ооо Водозабор Хмыловский</t>
  </si>
  <si>
    <t>2508074983</t>
  </si>
  <si>
    <t xml:space="preserve">13-02-2026 00:00:00</t>
  </si>
  <si>
    <t>27886628</t>
  </si>
  <si>
    <t xml:space="preserve">ооо Водоканал</t>
  </si>
  <si>
    <t>2530008023</t>
  </si>
  <si>
    <t>27833305</t>
  </si>
  <si>
    <t xml:space="preserve">ооо Спектр Плюс</t>
  </si>
  <si>
    <t>2513004290</t>
  </si>
  <si>
    <t xml:space="preserve">01-06-2008 00:00:00</t>
  </si>
  <si>
    <t xml:space="preserve">11-07-2025 00:00:00</t>
  </si>
  <si>
    <t>28444454</t>
  </si>
  <si>
    <t xml:space="preserve">ооо Управляющая компания "СпасскЖилСервис"</t>
  </si>
  <si>
    <t>2510013466</t>
  </si>
  <si>
    <t>31027627</t>
  </si>
  <si>
    <t xml:space="preserve">АО "Корпорация развития ПК"</t>
  </si>
  <si>
    <t>2540193103</t>
  </si>
  <si>
    <t>31780956</t>
  </si>
  <si>
    <t xml:space="preserve">АО "Приморский Завод"</t>
  </si>
  <si>
    <t>2508008331</t>
  </si>
  <si>
    <t xml:space="preserve">28-10-1992 00:00:00</t>
  </si>
  <si>
    <t>31923480</t>
  </si>
  <si>
    <t xml:space="preserve">Индивидуальный предприниматель Соколов А.А.</t>
  </si>
  <si>
    <t>250303112134</t>
  </si>
  <si>
    <t>31590722</t>
  </si>
  <si>
    <t xml:space="preserve">МАУ "РКЦ" ЗАТО Фокино</t>
  </si>
  <si>
    <t>2512306718</t>
  </si>
  <si>
    <t xml:space="preserve">08-07-2016 00:00:00</t>
  </si>
  <si>
    <t>28447871</t>
  </si>
  <si>
    <t xml:space="preserve">МУП "Кирос"</t>
  </si>
  <si>
    <t>2516001636</t>
  </si>
  <si>
    <t>26320260</t>
  </si>
  <si>
    <t xml:space="preserve">ОАО "Спасский комбинат асбестоцементных изделий"</t>
  </si>
  <si>
    <t>2510000386</t>
  </si>
  <si>
    <t>31911056</t>
  </si>
  <si>
    <t xml:space="preserve">ООО "Альфа"</t>
  </si>
  <si>
    <t>2508147670</t>
  </si>
  <si>
    <t xml:space="preserve">11-10-2023 00:00:00</t>
  </si>
  <si>
    <t>31600947</t>
  </si>
  <si>
    <t xml:space="preserve">ООО "Водосток"</t>
  </si>
  <si>
    <t>2502067690</t>
  </si>
  <si>
    <t>31161528</t>
  </si>
  <si>
    <t>2507012825</t>
  </si>
  <si>
    <t>26544384</t>
  </si>
  <si>
    <t xml:space="preserve">ООО "Врангель Водосток"</t>
  </si>
  <si>
    <t>2508077261</t>
  </si>
  <si>
    <t>28453845</t>
  </si>
  <si>
    <t xml:space="preserve">ООО "Корпорация "Зинго"</t>
  </si>
  <si>
    <t>2540070285</t>
  </si>
  <si>
    <t xml:space="preserve">14-03-2025 00:00:00</t>
  </si>
  <si>
    <t>30866915</t>
  </si>
  <si>
    <t xml:space="preserve">ООО "Феникс"</t>
  </si>
  <si>
    <t>2501018098</t>
  </si>
  <si>
    <t xml:space="preserve">22-12-2015 00:00:00</t>
  </si>
  <si>
    <t>27580637</t>
  </si>
  <si>
    <t xml:space="preserve">ООО "ЭКО-2006"</t>
  </si>
  <si>
    <t>2540121853</t>
  </si>
  <si>
    <t xml:space="preserve">01-01-2010 00:00:00</t>
  </si>
  <si>
    <t xml:space="preserve">31-10-2023 00:00:00</t>
  </si>
  <si>
    <t>31699066</t>
  </si>
  <si>
    <t xml:space="preserve">ИП Жидкова Елена Николаевна</t>
  </si>
  <si>
    <t>253100385036</t>
  </si>
  <si>
    <t xml:space="preserve">29-08-2000 00:00:00</t>
  </si>
  <si>
    <t xml:space="preserve">16-10-2025 00:00:00</t>
  </si>
  <si>
    <t>31983597</t>
  </si>
  <si>
    <t xml:space="preserve">МАУ "Артемовское Автотранспортное Предприятие"</t>
  </si>
  <si>
    <t>2502075959</t>
  </si>
  <si>
    <t xml:space="preserve">19-02-2024 00:00:00</t>
  </si>
  <si>
    <t>31983651</t>
  </si>
  <si>
    <t xml:space="preserve">МБУ «СГТ»</t>
  </si>
  <si>
    <t>2536238560</t>
  </si>
  <si>
    <t xml:space="preserve">02-02-2011 00:00:00</t>
  </si>
  <si>
    <t>30871843</t>
  </si>
  <si>
    <t xml:space="preserve">МКУ "Обслуживающее учреждение"</t>
  </si>
  <si>
    <t>2505007403</t>
  </si>
  <si>
    <t xml:space="preserve">24-08-2016 00:00:00</t>
  </si>
  <si>
    <t>28270355</t>
  </si>
  <si>
    <t xml:space="preserve">МУП "Городское хозяйство" Партизанский ГО</t>
  </si>
  <si>
    <t>2509032305</t>
  </si>
  <si>
    <t>31698781</t>
  </si>
  <si>
    <t xml:space="preserve">ООО "АЛЬФА КР"</t>
  </si>
  <si>
    <t>2516002975</t>
  </si>
  <si>
    <t xml:space="preserve">29-03-2019 00:00:00</t>
  </si>
  <si>
    <t>26470712</t>
  </si>
  <si>
    <t xml:space="preserve">ООО "Базис"</t>
  </si>
  <si>
    <t>2531003532</t>
  </si>
  <si>
    <t>26771388</t>
  </si>
  <si>
    <t xml:space="preserve">ООО "Бумеранг"</t>
  </si>
  <si>
    <t>2511055268</t>
  </si>
  <si>
    <t>31698583</t>
  </si>
  <si>
    <t xml:space="preserve">ООО "ГМК"</t>
  </si>
  <si>
    <t>2540064108</t>
  </si>
  <si>
    <t xml:space="preserve">25-03-1999 00:00:00</t>
  </si>
  <si>
    <t>31699113</t>
  </si>
  <si>
    <t xml:space="preserve">ООО "ГРИН-СИТИ"</t>
  </si>
  <si>
    <t>2537087105</t>
  </si>
  <si>
    <t xml:space="preserve">04-04-2011 00:00:00</t>
  </si>
  <si>
    <t>31698769</t>
  </si>
  <si>
    <t xml:space="preserve">ООО "ДОБРЫЙ ДВОР"</t>
  </si>
  <si>
    <t>2505011657</t>
  </si>
  <si>
    <t xml:space="preserve">21-08-2008 00:00:00</t>
  </si>
  <si>
    <t>31699074</t>
  </si>
  <si>
    <t xml:space="preserve">ООО "ДОРОЖНЫЙ СЕРВИС"</t>
  </si>
  <si>
    <t>2543143573</t>
  </si>
  <si>
    <t xml:space="preserve">07-10-2019 00:00:00</t>
  </si>
  <si>
    <t>31698766</t>
  </si>
  <si>
    <t xml:space="preserve">ООО "Доверие"</t>
  </si>
  <si>
    <t>2506007854</t>
  </si>
  <si>
    <t xml:space="preserve">07-12-2002 00:00:00</t>
  </si>
  <si>
    <t>31698975</t>
  </si>
  <si>
    <t xml:space="preserve">ООО "ЖУО "УПРАВДОМ"</t>
  </si>
  <si>
    <t>2525003340</t>
  </si>
  <si>
    <t xml:space="preserve">24-07-2012 00:00:00</t>
  </si>
  <si>
    <t>31698801</t>
  </si>
  <si>
    <t xml:space="preserve">ООО "ЗЕЛЁНЫЙ ГОРОД"</t>
  </si>
  <si>
    <t>2507013064</t>
  </si>
  <si>
    <t xml:space="preserve">16-07-2019 00:00:00</t>
  </si>
  <si>
    <t>27803021</t>
  </si>
  <si>
    <t xml:space="preserve">ООО "Капитал"</t>
  </si>
  <si>
    <t>2510012078</t>
  </si>
  <si>
    <t>31698762</t>
  </si>
  <si>
    <t xml:space="preserve">ООО "Комфорт-Сервис"</t>
  </si>
  <si>
    <t>2508120157</t>
  </si>
  <si>
    <t xml:space="preserve">25-07-2014 00:00:00</t>
  </si>
  <si>
    <t>28878819</t>
  </si>
  <si>
    <t xml:space="preserve">ООО "Лидер"</t>
  </si>
  <si>
    <t>2501011374</t>
  </si>
  <si>
    <t>31699094</t>
  </si>
  <si>
    <t xml:space="preserve">ООО "МИР СНАБЖЕНИЯ"</t>
  </si>
  <si>
    <t>2533008247</t>
  </si>
  <si>
    <t xml:space="preserve">27-06-2002 00:00:00</t>
  </si>
  <si>
    <t>26470686</t>
  </si>
  <si>
    <t xml:space="preserve">ООО "Новое время"</t>
  </si>
  <si>
    <t>2512301815</t>
  </si>
  <si>
    <t>31698966</t>
  </si>
  <si>
    <t xml:space="preserve">ООО "ОАЗИС"</t>
  </si>
  <si>
    <t>2508065435</t>
  </si>
  <si>
    <t xml:space="preserve">01-10-2004 00:00:00</t>
  </si>
  <si>
    <t>31699109</t>
  </si>
  <si>
    <t xml:space="preserve">ООО "РОДНИК-ДВ"</t>
  </si>
  <si>
    <t>2540132799</t>
  </si>
  <si>
    <t xml:space="preserve">13-06-2007 00:00:00</t>
  </si>
  <si>
    <t>28878834</t>
  </si>
  <si>
    <t xml:space="preserve">ООО "Рассвет-ЭКО"</t>
  </si>
  <si>
    <t>2522002780</t>
  </si>
  <si>
    <t xml:space="preserve">26-11-2012 00:00:00</t>
  </si>
  <si>
    <t>31760804</t>
  </si>
  <si>
    <t xml:space="preserve">ООО "Ресурс"</t>
  </si>
  <si>
    <t>2510013890</t>
  </si>
  <si>
    <t xml:space="preserve">12-04-2012 00:00:00</t>
  </si>
  <si>
    <t>31699103</t>
  </si>
  <si>
    <t xml:space="preserve">ООО "УК ФОРПОСТ"</t>
  </si>
  <si>
    <t>2503031217</t>
  </si>
  <si>
    <t xml:space="preserve">18-11-2013 00:00:00</t>
  </si>
  <si>
    <t>31983885</t>
  </si>
  <si>
    <t xml:space="preserve">ООО "ХАСАНТРАНСЭКО"</t>
  </si>
  <si>
    <t>2531013467</t>
  </si>
  <si>
    <t xml:space="preserve">08-08-2019 00:00:00</t>
  </si>
  <si>
    <t>31699070</t>
  </si>
  <si>
    <t xml:space="preserve">ООО "ЧИСТЫЙ ГОРОД"</t>
  </si>
  <si>
    <t>2540108757</t>
  </si>
  <si>
    <t xml:space="preserve">10-01-2005 00:00:00</t>
  </si>
  <si>
    <t>31698999</t>
  </si>
  <si>
    <t xml:space="preserve">ООО "ЧИСТЫЙ ДВОР"</t>
  </si>
  <si>
    <t>2539109450</t>
  </si>
  <si>
    <t xml:space="preserve">29-09-2010 00:00:00</t>
  </si>
  <si>
    <t>31698776</t>
  </si>
  <si>
    <t xml:space="preserve">ООО "ЭКО ДВ"</t>
  </si>
  <si>
    <t>2505014136</t>
  </si>
  <si>
    <t xml:space="preserve">09-04-2015 00:00:00</t>
  </si>
  <si>
    <t>31698981</t>
  </si>
  <si>
    <t xml:space="preserve">ООО "ЭКО СИСТЕМА"</t>
  </si>
  <si>
    <t>2543158001</t>
  </si>
  <si>
    <t xml:space="preserve">08-06-2021 00:00:00</t>
  </si>
  <si>
    <t>31698942</t>
  </si>
  <si>
    <t xml:space="preserve">ООО "ЭКО-СЕРВИС"</t>
  </si>
  <si>
    <t>2521012619</t>
  </si>
  <si>
    <t xml:space="preserve">22-11-2011 00:00:00</t>
  </si>
  <si>
    <t>31699084</t>
  </si>
  <si>
    <t xml:space="preserve">ООО "ЭКОЛОГИЧЕСКАЯ КОМПАНИЯ "НОВЫЙ ГОРОД"</t>
  </si>
  <si>
    <t>2540085274</t>
  </si>
  <si>
    <t xml:space="preserve">24-03-2002 00:00:00</t>
  </si>
  <si>
    <t>31699062</t>
  </si>
  <si>
    <t xml:space="preserve">ООО "ЭП "ГОРОД Н"</t>
  </si>
  <si>
    <t>2540109782</t>
  </si>
  <si>
    <t xml:space="preserve">14-02-2005 00:00:00</t>
  </si>
  <si>
    <t>28269798</t>
  </si>
  <si>
    <t xml:space="preserve">ООО "Эко Пост"</t>
  </si>
  <si>
    <t>2524810101</t>
  </si>
  <si>
    <t xml:space="preserve">17-11-2023 00:00:00</t>
  </si>
  <si>
    <t>31541250</t>
  </si>
  <si>
    <t xml:space="preserve">ООО "Эко Тех"</t>
  </si>
  <si>
    <t>2543152257</t>
  </si>
  <si>
    <t>31699080</t>
  </si>
  <si>
    <t xml:space="preserve">ООО "Эконг-Плюс"</t>
  </si>
  <si>
    <t>2540096928</t>
  </si>
  <si>
    <t xml:space="preserve">09-09-2003 00:00:00</t>
  </si>
  <si>
    <t>31983643</t>
  </si>
  <si>
    <t xml:space="preserve">ООО «АКСИОМА»</t>
  </si>
  <si>
    <t>2536319586</t>
  </si>
  <si>
    <t xml:space="preserve">30-08-2019 00:00:00</t>
  </si>
  <si>
    <t>31699050</t>
  </si>
  <si>
    <t xml:space="preserve">ООО «АвтоТранс-ДВ»</t>
  </si>
  <si>
    <t>2511102623</t>
  </si>
  <si>
    <t xml:space="preserve">20-06-2017 00:00:00</t>
  </si>
  <si>
    <t>31698938</t>
  </si>
  <si>
    <t xml:space="preserve">ООО «Автодор-Ливадия»</t>
  </si>
  <si>
    <t>2508077790</t>
  </si>
  <si>
    <t xml:space="preserve">27-02-2007 00:00:00</t>
  </si>
  <si>
    <t>31983647</t>
  </si>
  <si>
    <t xml:space="preserve">ООО «КОММУНАЛЬНОЕ ХОЗЯЙСТВО»</t>
  </si>
  <si>
    <t>2502041830</t>
  </si>
  <si>
    <t xml:space="preserve">13-09-2010 00:00:00</t>
  </si>
  <si>
    <t>31698958</t>
  </si>
  <si>
    <t xml:space="preserve">ООО «Спецавтохозяйство»</t>
  </si>
  <si>
    <t>2508063149</t>
  </si>
  <si>
    <t xml:space="preserve">09-02-2004 00:00:00</t>
  </si>
  <si>
    <t>31698970</t>
  </si>
  <si>
    <t xml:space="preserve">ООО «ТЭК"</t>
  </si>
  <si>
    <t>2509007605</t>
  </si>
  <si>
    <t xml:space="preserve">08-10-2015 00:00:00</t>
  </si>
  <si>
    <t>31699088</t>
  </si>
  <si>
    <t xml:space="preserve">ООО «Ярославская УО»</t>
  </si>
  <si>
    <t>2532010701</t>
  </si>
  <si>
    <t xml:space="preserve">09-12-2015 00:00:00</t>
  </si>
  <si>
    <t>31698985</t>
  </si>
  <si>
    <t xml:space="preserve">ООО РГК «ЖилКомРесурс»</t>
  </si>
  <si>
    <t>2510003531</t>
  </si>
  <si>
    <t>26470688</t>
  </si>
  <si>
    <t xml:space="preserve">ООО Хозяин</t>
  </si>
  <si>
    <t>2516606487</t>
  </si>
  <si>
    <t>26470708</t>
  </si>
  <si>
    <t xml:space="preserve">ООО Чистый город</t>
  </si>
  <si>
    <t>2508068316</t>
  </si>
  <si>
    <t>27871045</t>
  </si>
  <si>
    <t xml:space="preserve">ооо Коммунальщик</t>
  </si>
  <si>
    <t>2534006041</t>
  </si>
  <si>
    <t xml:space="preserve">11-08-2005 00:00:00</t>
  </si>
  <si>
    <t>NSRF</t>
  </si>
  <si>
    <t>MR_NAME</t>
  </si>
  <si>
    <t>OKTMO_MR_NAME</t>
  </si>
  <si>
    <t>MO_NAME</t>
  </si>
  <si>
    <t>OKTMO_NAME</t>
  </si>
  <si>
    <t>TYPE</t>
  </si>
  <si>
    <t>MR_ID</t>
  </si>
  <si>
    <t xml:space="preserve">Анучинский муниципальный округ</t>
  </si>
  <si>
    <t>05502000</t>
  </si>
  <si>
    <t xml:space="preserve">муниципальный округ</t>
  </si>
  <si>
    <t xml:space="preserve">Арсеньевский городской округ</t>
  </si>
  <si>
    <t>05703000</t>
  </si>
  <si>
    <t xml:space="preserve">городской округ</t>
  </si>
  <si>
    <t xml:space="preserve">Артемовский городской округ</t>
  </si>
  <si>
    <t>05705000</t>
  </si>
  <si>
    <t xml:space="preserve">Дальнегорский муниципальный округ</t>
  </si>
  <si>
    <t>05505000</t>
  </si>
  <si>
    <t xml:space="preserve">Дальнереченский городской округ</t>
  </si>
  <si>
    <t>05708000</t>
  </si>
  <si>
    <t xml:space="preserve">Дальнереченский муниципальный округ</t>
  </si>
  <si>
    <t>05507000</t>
  </si>
  <si>
    <t xml:space="preserve">Кавалеровский муниципальный округ</t>
  </si>
  <si>
    <t>05510000</t>
  </si>
  <si>
    <t xml:space="preserve">Кировский муниципальный округ</t>
  </si>
  <si>
    <t>05512000</t>
  </si>
  <si>
    <t xml:space="preserve">Красноармейский муниципальный округ</t>
  </si>
  <si>
    <t>05514000</t>
  </si>
  <si>
    <t xml:space="preserve">Лазовский муниципальный округ</t>
  </si>
  <si>
    <t>05517000</t>
  </si>
  <si>
    <t xml:space="preserve">Лесозаводский муниципальный округ</t>
  </si>
  <si>
    <t>05519000</t>
  </si>
  <si>
    <t xml:space="preserve">Михайловский муниципальный округ</t>
  </si>
  <si>
    <t>05520000</t>
  </si>
  <si>
    <t xml:space="preserve">Надеждинский муниципальный округ</t>
  </si>
  <si>
    <t>05523000</t>
  </si>
  <si>
    <t xml:space="preserve">Находкинский городской округ</t>
  </si>
  <si>
    <t>05714000</t>
  </si>
  <si>
    <t xml:space="preserve">Октябрьский муниципальный округ</t>
  </si>
  <si>
    <t>05526000</t>
  </si>
  <si>
    <t xml:space="preserve">Ольгинский муниципальный округ</t>
  </si>
  <si>
    <t>05528000</t>
  </si>
  <si>
    <t xml:space="preserve">Партизанский муниципальный округ</t>
  </si>
  <si>
    <t>05530000</t>
  </si>
  <si>
    <t xml:space="preserve">Пограничный муниципальный округ</t>
  </si>
  <si>
    <t>05532000</t>
  </si>
  <si>
    <t xml:space="preserve">Пожарский муниципальный округ</t>
  </si>
  <si>
    <t>05534000</t>
  </si>
  <si>
    <t xml:space="preserve">Тернейский муниципальный округ</t>
  </si>
  <si>
    <t>05540000</t>
  </si>
  <si>
    <t xml:space="preserve">Уссурийский городской округ</t>
  </si>
  <si>
    <t>05723000</t>
  </si>
  <si>
    <t xml:space="preserve">Ханкайский муниципальный округ</t>
  </si>
  <si>
    <t>05546000</t>
  </si>
  <si>
    <t xml:space="preserve">Хасанский муниципальный округ</t>
  </si>
  <si>
    <t>05548000</t>
  </si>
  <si>
    <t xml:space="preserve">Хорольский муниципальный округ</t>
  </si>
  <si>
    <t>05550000</t>
  </si>
  <si>
    <t xml:space="preserve">Черниговский муниципальный округ</t>
  </si>
  <si>
    <t>05553000</t>
  </si>
  <si>
    <t xml:space="preserve">Чугуевский муниципальный округ</t>
  </si>
  <si>
    <t>05555000</t>
  </si>
  <si>
    <t xml:space="preserve">Шкотовский муниципальный округ</t>
  </si>
  <si>
    <t>05557000</t>
  </si>
  <si>
    <t xml:space="preserve">Яковлевский муниципальный округ</t>
  </si>
  <si>
    <t>05559000</t>
  </si>
  <si>
    <t xml:space="preserve">городской округ Большой Камень</t>
  </si>
  <si>
    <t>05706000</t>
  </si>
  <si>
    <t xml:space="preserve">городской округ ЗАТО Фокино</t>
  </si>
  <si>
    <t>05747000</t>
  </si>
  <si>
    <t xml:space="preserve">муниципальный округ Спасск-Дальний</t>
  </si>
  <si>
    <t>05537000</t>
  </si>
  <si>
    <t xml:space="preserve">муниципальный округ город Партизанск</t>
  </si>
  <si>
    <t>05529000</t>
  </si>
  <si>
    <t>NUMBER_POINT</t>
  </si>
  <si>
    <t>INVP_NAME</t>
  </si>
  <si>
    <t>INVP_ID</t>
  </si>
  <si>
    <t>L_START_DATE</t>
  </si>
  <si>
    <t>L_END_DATE</t>
  </si>
  <si>
    <t>L_DECISION_NAME</t>
  </si>
  <si>
    <t>L_DECISION_TYPE</t>
  </si>
  <si>
    <t>L_DECISION_NMBR</t>
  </si>
  <si>
    <t>L_DECISION_DATE</t>
  </si>
  <si>
    <t xml:space="preserve">Инвестиционная программа № 19-115/2 от 13.05.2020 МУПВ "ВПЭС" в сфере теплоснабжения по модернизации и реконструкции объектов на 2021-2037 годы</t>
  </si>
  <si>
    <t>01.01.2021</t>
  </si>
  <si>
    <t>31.12.2037</t>
  </si>
  <si>
    <t xml:space="preserve">Инвестиционная программа № 19-115/2 от 13.05.2020 МУПВ "ВПЭС" в сфере теплоснабжения по реконструкции и модернизации централизованных систем теплоснабжения, на территории городского округа Владивостокский на 2021-2023 годы</t>
  </si>
  <si>
    <t>31.12.2023</t>
  </si>
  <si>
    <t xml:space="preserve">Инвестиционная программа № 19-139/2 от 30.06.2021 ООО "ИКС поселок Новый" в сфере теплоснабжения по модернизации и реконструкции котельных и тепловых сетей, на территории муниципального района Надеждинский на 2021-2033 годы</t>
  </si>
  <si>
    <t>01.07.2021</t>
  </si>
  <si>
    <t>07.09.2033</t>
  </si>
  <si>
    <t xml:space="preserve">Инвестиционная программа № 19-218/2 от 18.11.2022 КГУП "Примтеплоэнерго" в сфере теплоснабжения по повышению надежности и энергетической эффективности котельных и тепловых сетей, на территории городского округа Арсеньевский на 2023 год</t>
  </si>
  <si>
    <t>01.01.2023</t>
  </si>
  <si>
    <t xml:space="preserve">Инвестиционная программа № 19-225/2 от 29.11.2022 АО "Уссурийское предприятие тепловых сетей" в сфере теплоснабжения по строительству, реконструкции и модернизации котельных и тепловых сетей, на территории городского округа Уссурийский на 2023-2027 годы</t>
  </si>
  <si>
    <t>31.12.2027</t>
  </si>
  <si>
    <t xml:space="preserve">Инвестиционная программа № 19-39/2 от 31.01.2024 АО "Кузбассэнерго" в сфере теплоснабжения по реконструкции и техническому перевооружению тепловых сетей, на территории городского поселения , на 2024-2037 годы</t>
  </si>
  <si>
    <t>31.01.2024</t>
  </si>
  <si>
    <t xml:space="preserve">Инвестиционная программа № 23@ (с изм 28.12.2023 38@) от 12.12.2019 АО "ДГК" в сфере теплоснабжения по строительству, реконструкции, модернизации и развитию тепловых сетей на 2023 год</t>
  </si>
  <si>
    <t xml:space="preserve">Инвестиционная программа № 23@ (с изм 28.12.2023 N38@) от 12.12.2019 АО "ДГК" в сфере теплоснабжения по строительству, реконструкции, модернизации и развитию тепловых сетей и системы централизованного теплоснабжения на 2023-2027 годы</t>
  </si>
  <si>
    <t xml:space="preserve">Инвестиционная программа № 23@ (с изм 28.12.2023 N38@) от 12.12.2019 в сфере теплоснабжения по строительству, реконструкции, модернизации и развитию тепловых сетей и системы централизованного теплоснабжения на 2024-2027 годы</t>
  </si>
  <si>
    <t>01.01.2024</t>
  </si>
  <si>
    <t xml:space="preserve">Инвестиционная программа № 25@(с изм.4@от28.11.25) от 02.12.2024 ПАО "РУСГИДРО" в сфере теплоснабжения по модернизации, реконструкции и техническому перевооружению объектов на 2025-2030 годы</t>
  </si>
  <si>
    <t>01.01.2025</t>
  </si>
  <si>
    <t>31.12.2030</t>
  </si>
  <si>
    <t xml:space="preserve">Инвестиционная программа № 39@ от 23.12.2024 ФИЛИАЛ АО "ДГК" в сфере теплоснабжения по строительству, реконструкции, модернизации и развитию тепловых сетей и системы централизованного теплоснабжения на 2024-2029 годы</t>
  </si>
  <si>
    <t>23.12.2024</t>
  </si>
  <si>
    <t>31.12.2029</t>
  </si>
  <si>
    <t xml:space="preserve">Инвестиционная программа № 39@ от 23.12.2024 ФИЛИАЛ АО "ДГК" в сфере теплоснабжения по строительству, реконструкции, модернизации и развитию тепловых сетей и системы централизованного теплоснабжения на 2025-2029 годы</t>
  </si>
  <si>
    <t xml:space="preserve">Инвестиционная программа № пр.19-156/2 от 14.05.2025 АО "ДВЭУК-ГЕНЕРАЦИЯСЕТИ" в сфере теплоснабжения по строительству, реконструкции, модернизации и развитию единого комплекса объектов, на территории городского округа Владивостокский на 2025-2030 годы</t>
  </si>
  <si>
    <t>14.05.2025</t>
  </si>
  <si>
    <t xml:space="preserve">Инвестиционная программа № пр.19-218/2 от 18.11.2022 КГУП "Примтеплоэнерго" в сфере теплоснабжения по повышению надежности и энергетической эффективности котельных и тепловых сетей, на территории городского округа Арсеньевский на 2023-2027 годы</t>
  </si>
  <si>
    <t xml:space="preserve">Инвестиционная программа № пр.19-259/2 от 29.08.2025 ФИЛИАЛ АО "ДГК" в сфере теплоснабжения по строительству, реконструкции, модернизации и развитию тепловых сетей на 2025-2030 годы</t>
  </si>
  <si>
    <t>29.08.2025</t>
  </si>
  <si>
    <t xml:space="preserve">Инвестиционная программа от 12.12.2025 ООО "ПТК" в сфере теплоснабжения и горячего водоснабжения по техническому перевооружению блочно-модульной котельной, на территории городского округа Владивостокский на 2026-2037 годы</t>
  </si>
  <si>
    <t>01.01.2026</t>
  </si>
  <si>
    <t xml:space="preserve">Инвестиционная программа от 13.05.2020 МУПВ "ВПЭС" в сфере теплоснабжения по модернизации и реконструкции систем коммунальной инфраструктуры, на территории городского округа Владивостокский на 2021-2023 годы</t>
  </si>
  <si>
    <t xml:space="preserve">Инвестиционная программа от 18.11.2022 КГУП "Примтеплоэнерго" в сфере теплоснабжения по модернизации и развитию котельных и тепловых сетей, на территории городского округа Арсеньевский городской округ на 2023-2027 годы</t>
  </si>
  <si>
    <t xml:space="preserve">Инвестиционная программа от 18.11.2022 КГУП "Примтеплоэнерго" в сфере теплоснабжения по модернизации и развитию систем теплоснабжения, на территории городского округа Арсеньевский на 2023-2027 годы</t>
  </si>
  <si>
    <t xml:space="preserve">Инвестиционная программа от 19.12.2023 ООО "Новая Энергетика" в сфере теплоснабжения по модернизации и развитию систем теплоснабжения, на территории городского округа Большой Камень на 2023-2040 годы</t>
  </si>
  <si>
    <t>19.12.2023</t>
  </si>
  <si>
    <t>31.12.2040</t>
  </si>
  <si>
    <t xml:space="preserve">Инвестиционная программа от 24.12.2024 ООО "ИКС-ФОКИНО" в сфере теплоснабжения по модернизации систем коммунальной инфраструктуры, на территории городского округа ЗАТО Фокино на 2025-2044 годы</t>
  </si>
  <si>
    <t>31.12.2044</t>
  </si>
  <si>
    <t xml:space="preserve">Инвестиционная программа от 30.06.2021 ООО "ИКС поселок Новый" в сфере теплоснабжения по модернизации систем теплоснабжения, на территории п Новый, Надеждинское сельское поселение, Надеждинский муниципальный район на 2021-2033 годы</t>
  </si>
  <si>
    <t>30.06.2021</t>
  </si>
  <si>
    <t>31.12.2033</t>
  </si>
  <si>
    <t>TER_NAME</t>
  </si>
  <si>
    <t xml:space="preserve">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</si>
  <si>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</si>
  <si>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</si>
  <si>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</si>
  <si>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</si>
  <si>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</si>
  <si>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</si>
  <si>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</si>
  <si>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</si>
  <si>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</si>
  <si>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</si>
  <si>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</si>
  <si>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</si>
  <si>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</si>
  <si>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</si>
  <si>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</si>
  <si>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</si>
  <si>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</si>
  <si>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</si>
  <si>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</si>
  <si>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</si>
  <si>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</si>
  <si>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</si>
  <si>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</si>
  <si>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</si>
  <si>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</si>
  <si>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</si>
  <si>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</si>
  <si>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</si>
  <si>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</si>
  <si>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</si>
  <si>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</si>
  <si>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</si>
  <si>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</si>
  <si>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</si>
  <si>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</si>
  <si>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 xml:space="preserve">Расчетные листы</t>
  </si>
  <si>
    <t xml:space="preserve">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</si>
  <si>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</si>
  <si>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</si>
  <si>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</si>
  <si>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</si>
  <si>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</si>
  <si>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</si>
  <si>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</si>
  <si>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</si>
  <si>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</si>
  <si>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</si>
  <si>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</si>
  <si>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</si>
  <si>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</si>
  <si>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</si>
  <si>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</si>
  <si>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</si>
  <si>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</si>
  <si>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</si>
  <si>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</si>
  <si>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</si>
  <si>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</si>
  <si>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</si>
  <si>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</si>
  <si>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</si>
  <si>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</si>
  <si>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</si>
  <si>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</si>
  <si>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</si>
  <si>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</si>
  <si>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</si>
  <si>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</si>
  <si>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</si>
  <si>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</si>
  <si>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</si>
  <si>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</si>
  <si>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</si>
  <si>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</si>
  <si>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</si>
  <si>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</si>
  <si>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</si>
  <si>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</si>
  <si>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</si>
  <si>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</si>
  <si>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</si>
  <si>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</si>
  <si>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</si>
  <si>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</si>
  <si>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</si>
  <si>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</si>
  <si>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</si>
  <si>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</si>
  <si>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</si>
  <si>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</si>
  <si>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</si>
  <si>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</si>
  <si>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</si>
  <si>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</si>
  <si>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</si>
  <si>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</si>
  <si>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</si>
  <si>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</si>
  <si>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</si>
  <si>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</si>
  <si>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</si>
  <si>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</si>
  <si>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</si>
  <si>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</si>
  <si>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</si>
  <si>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</si>
  <si>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</si>
  <si>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</si>
  <si>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</si>
  <si>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</si>
  <si>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</si>
  <si>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</si>
  <si>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</si>
  <si>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</si>
  <si>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</si>
  <si>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</si>
  <si>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</si>
  <si>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</si>
  <si>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</si>
  <si>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</si>
  <si>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</si>
  <si>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</si>
  <si>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</si>
  <si>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</si>
  <si>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</si>
  <si>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</si>
  <si>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</si>
  <si>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</si>
  <si>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</si>
  <si>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</si>
  <si>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</si>
  <si>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</si>
  <si>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</si>
  <si>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</si>
  <si>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</si>
  <si>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</si>
  <si>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</si>
  <si>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</si>
  <si>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</si>
  <si>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</si>
  <si>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</si>
  <si>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</si>
  <si>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</si>
  <si>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</si>
  <si>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</si>
  <si>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</si>
  <si>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</si>
  <si>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</si>
  <si>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</si>
  <si>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</si>
  <si>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</si>
  <si>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</si>
  <si>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</si>
  <si>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</si>
  <si>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</si>
  <si>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</si>
  <si>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</si>
  <si>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</si>
  <si>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</si>
  <si>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</si>
  <si>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</si>
  <si>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</si>
  <si>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</si>
  <si>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</si>
  <si>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</si>
  <si>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</si>
  <si>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 xml:space="preserve">Для выбора того или иного источника публикации выполните двойной щелчок по синей ячейке напротив соответствующего источника.
ВНИМАНИЕ! Если Вы снимаете галочку с пункта, то будут скрыты и очищены соответствующие строки на листе "Форма 1.0.2"!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</si>
  <si>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 xml:space="preserve">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</si>
  <si>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 xml:space="preserve">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</si>
  <si>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 xml:space="preserve">Шаблон заполняется раздельно по каждому виду тарифа</t>
  </si>
  <si>
    <t xml:space="preserve">В зависимости от указанного вида деятельности будут доступны для заполнения поля 'Производство', 'Передача' и 'Сбыт'</t>
  </si>
  <si>
    <t xml:space="preserve">Если выбрано 'да', на листах с разбивкой по потребителям доступны для заполнения графы для двухставочного ставочного тарифа по группам потребителей</t>
  </si>
  <si>
    <t xml:space="preserve">Если выбрано 'да', значения тарифов для групп потребителей на листах с разбивкой по потребителям заполнятся автоматически значениями первой группы</t>
  </si>
  <si>
    <t xml:space="preserve">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</si>
  <si>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</si>
  <si>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 xml:space="preserve">Укажите является ли данное юридическое лицо подразделением(филиалом) другой организации</t>
  </si>
  <si>
    <t xml:space="preserve">Ссылки на публикации</t>
  </si>
  <si>
    <t xml:space="preserve">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</si>
  <si>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 xml:space="preserve">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</si>
  <si>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 xml:space="preserve">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</si>
  <si>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 xml:space="preserve">Список МО</t>
  </si>
  <si>
    <t xml:space="preserve">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</si>
  <si>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 xml:space="preserve">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</si>
  <si>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 xml:space="preserve">Признак дифференциации тарифа</t>
  </si>
  <si>
    <t xml:space="preserve">В случае, если тариф не дифференцируется по системам теплоснабжения, укажите "1".
Введите значение от 1 до 100, чтобы указать очередной условный порядковый номер системы теплоснабжения</t>
  </si>
  <si>
    <t>Стандарты</t>
  </si>
  <si>
    <t xml:space="preserve">В качестве примечания Вы можете указать единицу измерения</t>
  </si>
  <si>
    <t xml:space="preserve">Для корректного формирования Таблицы 25 Формы 1.10 необходимо задать разбивку по диаметрам и способу прокладки тепловых сетей</t>
  </si>
  <si>
    <t xml:space="preserve">Перечень тарифов</t>
  </si>
  <si>
    <t xml:space="preserve">Укажите «Да» в поле «Да/Нет», если дифференциация используется.
В поле «Описание» указывается наименование территории действия тарифа при наличии дифференциации тарифа по территориальному признаку.
В случае дифференциации тарифов по территориальному признаку информация по ним указывается в отдельных строках.</t>
  </si>
  <si>
    <t xml:space="preserve">Признаки дифференциации указываются в соответствии с п.6 ст.32 ФЗ РФ от 07.12.2011 №416-ФЗ</t>
  </si>
  <si>
    <t xml:space="preserve">Укажите «Да» в поле «Да/Нет», если дифференциация используется. В поле «Описание» укажите название ЦС ГВС или любое другое описание</t>
  </si>
  <si>
    <t>Территории</t>
  </si>
  <si>
    <t xml:space="preserve">Наименование территории действия тарифа для целей идентификации</t>
  </si>
  <si>
    <t xml:space="preserve">Муниципальные районы и муниципальные образования, на территории которых действует тариф</t>
  </si>
  <si>
    <t>Инструкция</t>
  </si>
  <si>
    <t xml:space="preserve">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</si>
</sst>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1">
    <numFmt numFmtId="160" formatCode="_-* #,##0.00\ _₽_-;\-* #,##0.00\ _₽_-;_-* &quot;-&quot;??\ _₽_-;_-@_-"/>
    <numFmt numFmtId="161" formatCode="_-* #,##0\ _₽_-;\-* #,##0\ _₽_-;_-* &quot;-&quot;\ _₽_-;_-@_-"/>
    <numFmt numFmtId="162" formatCode="_-* #,##0.00\ &quot;₽&quot;_-;\-* #,##0.00\ &quot;₽&quot;_-;_-* &quot;-&quot;??\ &quot;₽&quot;_-;_-@_-"/>
    <numFmt numFmtId="163" formatCode="_-* #,##0\ &quot;₽&quot;_-;\-* #,##0\ &quot;₽&quot;_-;_-* &quot;-&quot;\ &quot;₽&quot;_-;_-@_-"/>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27">
    <font>
      <sz val="9.000000"/>
      <color indexed="64"/>
      <name val="Tahoma"/>
    </font>
    <font>
      <sz val="11.000000"/>
      <color theme="1"/>
      <name val="Calibri"/>
      <scheme val="minor"/>
    </font>
    <font>
      <sz val="11.000000"/>
      <color theme="0"/>
      <name val="Calibri"/>
      <scheme val="minor"/>
    </font>
    <font>
      <sz val="11.000000"/>
      <color rgb="FF9C0006"/>
      <name val="Calibri"/>
      <scheme val="minor"/>
    </font>
    <font>
      <b/>
      <sz val="11.000000"/>
      <color rgb="FFFA7D00"/>
      <name val="Calibri"/>
      <scheme val="minor"/>
    </font>
    <font>
      <b/>
      <sz val="11.000000"/>
      <color theme="0"/>
      <name val="Calibri"/>
      <scheme val="minor"/>
    </font>
    <font>
      <sz val="11.000000"/>
      <color indexed="64"/>
      <name val="Calibri"/>
    </font>
    <font>
      <i/>
      <sz val="11.000000"/>
      <color rgb="FF7F7F7F"/>
      <name val="Calibri"/>
      <scheme val="minor"/>
    </font>
    <font>
      <sz val="11.000000"/>
      <color rgb="FF006100"/>
      <name val="Calibri"/>
      <scheme val="minor"/>
    </font>
    <font>
      <b/>
      <sz val="15.000000"/>
      <color theme="3"/>
      <name val="Calibri"/>
      <scheme val="minor"/>
    </font>
    <font>
      <b/>
      <sz val="13.000000"/>
      <color theme="3"/>
      <name val="Calibri"/>
      <scheme val="minor"/>
    </font>
    <font>
      <b/>
      <sz val="11.000000"/>
      <color theme="3"/>
      <name val="Calibri"/>
      <scheme val="minor"/>
    </font>
    <font>
      <sz val="11.000000"/>
      <color rgb="FF3F3F76"/>
      <name val="Calibri"/>
      <scheme val="minor"/>
    </font>
    <font>
      <sz val="11.000000"/>
      <color rgb="FFFA7D00"/>
      <name val="Calibri"/>
      <scheme val="minor"/>
    </font>
    <font>
      <sz val="11.000000"/>
      <color rgb="FF9C5700"/>
      <name val="Calibri"/>
      <scheme val="minor"/>
    </font>
    <font>
      <sz val="12.000000"/>
      <name val="Arial"/>
    </font>
    <font>
      <b/>
      <sz val="11.000000"/>
      <color rgb="FF3F3F3F"/>
      <name val="Calibri"/>
      <scheme val="minor"/>
    </font>
    <font>
      <sz val="18.000000"/>
      <color theme="3"/>
      <name val="Cambria"/>
      <scheme val="major"/>
    </font>
    <font>
      <b/>
      <sz val="11.000000"/>
      <color theme="1"/>
      <name val="Calibri"/>
      <scheme val="minor"/>
    </font>
    <font>
      <sz val="11.000000"/>
      <color indexed="2"/>
      <name val="Calibri"/>
      <scheme val="minor"/>
    </font>
    <font>
      <sz val="10.000000"/>
      <name val="Helv"/>
    </font>
    <font>
      <sz val="8.000000"/>
      <name val="Arial"/>
    </font>
    <font>
      <sz val="9.000000"/>
      <name val="Tahoma"/>
    </font>
    <font>
      <sz val="8.000000"/>
      <name val="Palatino"/>
    </font>
    <font>
      <u/>
      <sz val="10.000000"/>
      <color indexed="20"/>
      <name val="Arial Cyr"/>
    </font>
    <font>
      <u/>
      <sz val="10.000000"/>
      <color indexed="4"/>
      <name val="Arial Cyr"/>
    </font>
    <font>
      <sz val="8.000000"/>
      <name val="Helv"/>
    </font>
    <font>
      <u/>
      <sz val="9.000000"/>
      <color theme="10"/>
      <name val="Tahoma"/>
    </font>
    <font>
      <sz val="10.000000"/>
      <name val="Arial"/>
    </font>
    <font>
      <sz val="10.000000"/>
      <name val="Arial Cyr"/>
    </font>
    <font>
      <u/>
      <sz val="9.000000"/>
      <color theme="11"/>
      <name val="Tahoma"/>
    </font>
    <font>
      <b/>
      <u/>
      <sz val="11.000000"/>
      <color indexed="4"/>
      <name val="Tahoma"/>
    </font>
    <font>
      <sz val="11.000000"/>
      <color indexed="64"/>
      <name val="Tahoma"/>
    </font>
    <font>
      <sz val="11.000000"/>
      <color indexed="65"/>
      <name val="Tahoma"/>
    </font>
    <font>
      <b/>
      <sz val="10.000000"/>
      <name val="Tahoma"/>
    </font>
    <font>
      <u/>
      <sz val="20.000000"/>
      <color indexed="56"/>
      <name val="Tahoma"/>
    </font>
    <font>
      <sz val="10.000000"/>
      <name val="Tahoma"/>
    </font>
    <font>
      <b/>
      <sz val="10.000000"/>
      <color indexed="64"/>
      <name val="Tahoma"/>
    </font>
    <font>
      <sz val="11.000000"/>
      <color indexed="64"/>
      <name val="Marlett"/>
    </font>
    <font>
      <sz val="10.000000"/>
      <color indexed="64"/>
      <name val="Tahoma"/>
    </font>
    <font>
      <sz val="7.000000"/>
      <name val="Tahoma"/>
    </font>
    <font>
      <sz val="9.000000"/>
      <color indexed="65"/>
      <name val="Tahoma"/>
    </font>
    <font>
      <sz val="9.000000"/>
      <color rgb="FFCC0000"/>
      <name val="Tahoma"/>
    </font>
    <font>
      <sz val="9.000000"/>
      <color theme="0"/>
      <name val="Tahoma"/>
    </font>
    <font>
      <sz val="1.000000"/>
      <color indexed="65"/>
      <name val="Tahoma"/>
    </font>
    <font>
      <sz val="1.000000"/>
      <color theme="0"/>
      <name val="Tahoma"/>
    </font>
    <font>
      <sz val="3.000000"/>
      <name val="Tahoma"/>
    </font>
    <font>
      <sz val="3.000000"/>
      <color indexed="65"/>
      <name val="Tahoma"/>
    </font>
    <font>
      <sz val="3.000000"/>
      <color rgb="FFCC0000"/>
      <name val="Tahoma"/>
    </font>
    <font>
      <sz val="3.000000"/>
      <color theme="0"/>
      <name val="Tahoma"/>
    </font>
    <font>
      <sz val="16.000000"/>
      <name val="Tahoma"/>
    </font>
    <font>
      <b/>
      <sz val="9.000000"/>
      <name val="Tahoma"/>
    </font>
    <font>
      <b/>
      <sz val="9.000000"/>
      <color theme="0"/>
      <name val="Tahoma"/>
    </font>
    <font>
      <sz val="3.000000"/>
      <color indexed="60"/>
      <name val="Tahoma"/>
    </font>
    <font>
      <sz val="7.000000"/>
      <color theme="0" tint="-0.5"/>
      <name val="Tahoma"/>
    </font>
    <font>
      <u/>
      <sz val="9.000000"/>
      <color indexed="62"/>
      <name val="Tahoma"/>
    </font>
    <font>
      <sz val="16.000000"/>
      <color indexed="65"/>
      <name val="Tahoma"/>
    </font>
    <font>
      <sz val="3.000000"/>
      <color indexed="64"/>
      <name val="Tahoma"/>
    </font>
    <font>
      <u/>
      <sz val="9.000000"/>
      <color indexed="18"/>
      <name val="Tahoma"/>
    </font>
    <font>
      <sz val="7.000000"/>
      <color indexed="65"/>
      <name val="Tahoma"/>
    </font>
    <font>
      <sz val="12.000000"/>
      <name val="Tahoma"/>
    </font>
    <font>
      <sz val="11.000000"/>
      <color rgb="FFBCBCBC"/>
      <name val="Wingdings 2"/>
    </font>
    <font>
      <sz val="5.000000"/>
      <color indexed="2"/>
      <name val="Tahoma"/>
    </font>
    <font>
      <sz val="1.000000"/>
      <name val="Tahoma"/>
    </font>
    <font>
      <sz val="11.000000"/>
      <color theme="0"/>
      <name val="Wingdings 2"/>
    </font>
    <font>
      <sz val="5.000000"/>
      <color theme="0"/>
      <name val="Tahoma"/>
    </font>
    <font>
      <sz val="11.000000"/>
      <name val="Wingdings 2"/>
    </font>
    <font>
      <sz val="9.000000"/>
      <color rgb="FFBCBCBC"/>
      <name val="Tahoma"/>
    </font>
    <font>
      <sz val="9.000000"/>
      <color indexed="2"/>
      <name val="Tahoma"/>
    </font>
    <font>
      <sz val="12.000000"/>
      <color theme="0"/>
      <name val="Tahoma"/>
    </font>
    <font>
      <sz val="9.000000"/>
      <color indexed="18"/>
      <name val="Tahoma"/>
    </font>
    <font>
      <sz val="8.000000"/>
      <name val="Tahoma"/>
    </font>
    <font>
      <sz val="8.000000"/>
      <color theme="0"/>
      <name val="Tahoma"/>
    </font>
    <font>
      <sz val="8.000000"/>
      <color rgb="FFBCBCBC"/>
      <name val="Tahoma"/>
    </font>
    <font>
      <b/>
      <sz val="11.000000"/>
      <color indexed="64"/>
      <name val="Calibri"/>
    </font>
    <font>
      <b/>
      <sz val="11.000000"/>
      <color theme="0"/>
      <name val="Calibri"/>
    </font>
    <font>
      <b/>
      <sz val="1.000000"/>
      <color theme="0"/>
      <name val="Calibri"/>
    </font>
    <font>
      <b/>
      <sz val="9.000000"/>
      <name val="Calibri"/>
    </font>
    <font>
      <sz val="9.000000"/>
      <color theme="1"/>
      <name val="Tahoma"/>
    </font>
    <font>
      <sz val="9.000000"/>
      <color rgb="FFBCBCBC"/>
      <name val="Wingdings 2"/>
    </font>
    <font>
      <sz val="12.000000"/>
      <name val="Marlett"/>
    </font>
    <font>
      <sz val="18.000000"/>
      <name val="Tahoma"/>
    </font>
    <font>
      <sz val="1.000000"/>
      <color indexed="64"/>
      <name val="Tahoma"/>
    </font>
    <font>
      <sz val="9.000000"/>
      <name val="Wingdings 2"/>
    </font>
    <font>
      <sz val="9.000000"/>
      <color indexed="65"/>
      <name val="Wingdings 2"/>
    </font>
    <font>
      <b/>
      <sz val="9.000000"/>
      <color rgb="FF0070C0"/>
      <name val="Tahoma"/>
    </font>
    <font>
      <b/>
      <sz val="3.000000"/>
      <name val="Tahoma"/>
    </font>
    <font>
      <b/>
      <sz val="9.000000"/>
      <color indexed="18"/>
      <name val="Tahoma"/>
    </font>
    <font>
      <sz val="18.000000"/>
      <color indexed="64"/>
      <name val="Tahoma"/>
    </font>
    <font>
      <sz val="12.000000"/>
      <color indexed="64"/>
      <name val="Tahoma"/>
    </font>
    <font>
      <sz val="9.000000"/>
      <color indexed="30"/>
      <name val="Tahoma"/>
    </font>
    <font>
      <b/>
      <sz val="10.000000"/>
      <color theme="1"/>
      <name val="Tahoma"/>
    </font>
    <font>
      <sz val="10.000000"/>
      <color theme="1"/>
      <name val="Tahoma"/>
    </font>
    <font>
      <sz val="3.000000"/>
      <color rgb="FFBCBCBC"/>
      <name val="Tahoma"/>
    </font>
    <font>
      <sz val="1.000000"/>
      <color rgb="FFBCBCBC"/>
      <name val="Tahoma"/>
    </font>
    <font>
      <sz val="11.000000"/>
      <name val="Webdings2"/>
    </font>
    <font>
      <sz val="1.000000"/>
      <color theme="0"/>
      <name val="Webdings2"/>
    </font>
    <font>
      <b/>
      <sz val="1.000000"/>
      <color theme="0"/>
      <name val="Tahoma"/>
    </font>
    <font>
      <sz val="11.000000"/>
      <color theme="0"/>
      <name val="Webdings2"/>
    </font>
    <font>
      <sz val="15.000000"/>
      <color indexed="64"/>
      <name val="Tahoma"/>
    </font>
    <font>
      <sz val="1.000000"/>
      <name val="Webdings2"/>
    </font>
    <font>
      <sz val="1.000000"/>
      <color theme="0"/>
      <name val="Wingdings 2"/>
    </font>
    <font>
      <sz val="9.000000"/>
      <color theme="0"/>
      <name val="Webdings2"/>
    </font>
    <font>
      <sz val="15.000000"/>
      <color theme="0"/>
      <name val="Tahoma"/>
    </font>
    <font>
      <sz val="1.000000"/>
      <color indexed="2"/>
      <name val="Tahoma"/>
    </font>
    <font>
      <b/>
      <sz val="1.000000"/>
      <name val="Tahoma"/>
    </font>
    <font>
      <b/>
      <sz val="1.000000"/>
      <color indexed="18"/>
      <name val="Tahoma"/>
    </font>
    <font>
      <sz val="15.000000"/>
      <name val="Tahoma"/>
    </font>
    <font>
      <sz val="11.000000"/>
      <color theme="0"/>
      <name val="Tahoma"/>
    </font>
    <font>
      <b/>
      <sz val="9.000000"/>
      <color rgb="FFCC0000"/>
      <name val="Tahoma"/>
    </font>
    <font>
      <sz val="14.000000"/>
      <color rgb="FFBCBCBC"/>
      <name val="Calibri"/>
    </font>
    <font>
      <b/>
      <u/>
      <sz val="9.000000"/>
      <color indexed="18"/>
      <name val="Tahoma"/>
    </font>
    <font>
      <sz val="19.000000"/>
      <color theme="0"/>
      <name val="Tahoma"/>
    </font>
    <font>
      <sz val="8.000000"/>
      <color indexed="65"/>
      <name val="Tahoma"/>
    </font>
    <font>
      <u/>
      <sz val="1.000000"/>
      <color indexed="62"/>
      <name val="Tahoma"/>
    </font>
    <font>
      <sz val="10.000000"/>
      <color indexed="64"/>
      <name val="Arial"/>
    </font>
    <font>
      <sz val="18.000000"/>
      <color theme="0"/>
      <name val="Tahoma"/>
    </font>
    <font>
      <u/>
      <sz val="9.000000"/>
      <name val="Tahoma"/>
    </font>
    <font>
      <b/>
      <sz val="9.000000"/>
      <color indexed="65"/>
      <name val="Tahoma"/>
    </font>
    <font>
      <sz val="9.000000"/>
      <color indexed="62"/>
      <name val="Tahoma"/>
    </font>
    <font>
      <b/>
      <sz val="9.000000"/>
      <color indexed="64"/>
      <name val="Tahoma"/>
    </font>
    <font>
      <b/>
      <sz val="8.000000"/>
      <color theme="0"/>
      <name val="Wingdings 2"/>
    </font>
    <font>
      <b/>
      <sz val="8.000000"/>
      <color indexed="22"/>
      <name val="Wingdings 2"/>
    </font>
    <font>
      <sz val="8.000000"/>
      <color indexed="18"/>
      <name val="Tahoma"/>
    </font>
    <font>
      <sz val="7.000000"/>
      <color indexed="64"/>
      <name val="Tahoma"/>
    </font>
    <font>
      <sz val="1.000000"/>
      <color indexed="18"/>
      <name val="Tahoma"/>
    </font>
    <font>
      <b/>
      <u/>
      <sz val="9.000000"/>
      <name val="Tahoma"/>
    </font>
  </fonts>
  <fills count="58">
    <fill>
      <patternFill patternType="none"/>
    </fill>
    <fill>
      <patternFill patternType="gray125"/>
    </fill>
    <fill>
      <patternFill patternType="solid">
        <fgColor theme="4" tint="0.80000000000000004"/>
        <bgColor theme="4" tint="0.80000000000000004"/>
      </patternFill>
    </fill>
    <fill>
      <patternFill patternType="solid">
        <fgColor theme="5" tint="0.80000000000000004"/>
        <bgColor theme="5" tint="0.80000000000000004"/>
      </patternFill>
    </fill>
    <fill>
      <patternFill patternType="solid">
        <fgColor theme="6" tint="0.80000000000000004"/>
        <bgColor theme="6" tint="0.80000000000000004"/>
      </patternFill>
    </fill>
    <fill>
      <patternFill patternType="solid">
        <fgColor theme="7" tint="0.80000000000000004"/>
        <bgColor theme="7" tint="0.80000000000000004"/>
      </patternFill>
    </fill>
    <fill>
      <patternFill patternType="solid">
        <fgColor theme="8" tint="0.80000000000000004"/>
        <bgColor theme="8" tint="0.80000000000000004"/>
      </patternFill>
    </fill>
    <fill>
      <patternFill patternType="solid">
        <fgColor theme="9" tint="0.80000000000000004"/>
        <bgColor theme="9" tint="0.80000000000000004"/>
      </patternFill>
    </fill>
    <fill>
      <patternFill patternType="solid">
        <fgColor theme="4" tint="0.59999999999999998"/>
        <bgColor theme="4" tint="0.59999999999999998"/>
      </patternFill>
    </fill>
    <fill>
      <patternFill patternType="solid">
        <fgColor theme="5" tint="0.59999999999999998"/>
        <bgColor theme="5" tint="0.59999999999999998"/>
      </patternFill>
    </fill>
    <fill>
      <patternFill patternType="solid">
        <fgColor theme="6" tint="0.59999999999999998"/>
        <bgColor theme="6" tint="0.59999999999999998"/>
      </patternFill>
    </fill>
    <fill>
      <patternFill patternType="solid">
        <fgColor theme="7" tint="0.59999999999999998"/>
        <bgColor theme="7" tint="0.59999999999999998"/>
      </patternFill>
    </fill>
    <fill>
      <patternFill patternType="solid">
        <fgColor theme="8" tint="0.59999999999999998"/>
        <bgColor theme="8" tint="0.59999999999999998"/>
      </patternFill>
    </fill>
    <fill>
      <patternFill patternType="solid">
        <fgColor theme="9" tint="0.59999999999999998"/>
        <bgColor theme="9" tint="0.59999999999999998"/>
      </patternFill>
    </fill>
    <fill>
      <patternFill patternType="solid">
        <fgColor theme="4" tint="0.40000000000000002"/>
        <bgColor theme="4" tint="0.40000000000000002"/>
      </patternFill>
    </fill>
    <fill>
      <patternFill patternType="solid">
        <fgColor theme="5" tint="0.40000000000000002"/>
        <bgColor theme="5" tint="0.40000000000000002"/>
      </patternFill>
    </fill>
    <fill>
      <patternFill patternType="solid">
        <fgColor theme="6" tint="0.40000000000000002"/>
        <bgColor theme="6" tint="0.40000000000000002"/>
      </patternFill>
    </fill>
    <fill>
      <patternFill patternType="solid">
        <fgColor theme="7" tint="0.40000000000000002"/>
        <bgColor theme="7" tint="0.40000000000000002"/>
      </patternFill>
    </fill>
    <fill>
      <patternFill patternType="solid">
        <fgColor theme="8" tint="0.40000000000000002"/>
        <bgColor theme="8" tint="0.40000000000000002"/>
      </patternFill>
    </fill>
    <fill>
      <patternFill patternType="solid">
        <fgColor theme="9" tint="0.40000000000000002"/>
        <bgColor theme="9" tint="0.40000000000000002"/>
      </patternFill>
    </fill>
    <fill>
      <patternFill patternType="solid">
        <fgColor theme="4"/>
        <bgColor theme="4"/>
      </patternFill>
    </fill>
    <fill>
      <patternFill patternType="solid">
        <fgColor theme="5"/>
        <bgColor theme="5"/>
      </patternFill>
    </fill>
    <fill>
      <patternFill patternType="solid">
        <fgColor theme="6"/>
        <bgColor theme="6"/>
      </patternFill>
    </fill>
    <fill>
      <patternFill patternType="solid">
        <fgColor theme="7"/>
        <bgColor theme="7"/>
      </patternFill>
    </fill>
    <fill>
      <patternFill patternType="solid">
        <fgColor theme="8"/>
        <bgColor theme="8"/>
      </patternFill>
    </fill>
    <fill>
      <patternFill patternType="solid">
        <fgColor theme="9"/>
        <bgColor theme="9"/>
      </patternFill>
    </fill>
    <fill>
      <patternFill patternType="solid">
        <fgColor rgb="FFFFC7CE"/>
        <bgColor rgb="FFFFC7CE"/>
      </patternFill>
    </fill>
    <fill>
      <patternFill patternType="solid">
        <fgColor rgb="FFF2F2F2"/>
        <bgColor rgb="FFF2F2F2"/>
      </patternFill>
    </fill>
    <fill>
      <patternFill patternType="solid">
        <fgColor rgb="FFA5A5A5"/>
        <bgColor rgb="FFA5A5A5"/>
      </patternFill>
    </fill>
    <fill>
      <patternFill patternType="solid">
        <fgColor rgb="FFC6EFCE"/>
        <bgColor rgb="FFC6EFCE"/>
      </patternFill>
    </fill>
    <fill>
      <patternFill patternType="solid">
        <fgColor indexed="47"/>
        <bgColor indexed="47"/>
      </patternFill>
    </fill>
    <fill>
      <patternFill patternType="solid">
        <fgColor rgb="FFFFEB9C"/>
        <bgColor rgb="FFFFEB9C"/>
      </patternFill>
    </fill>
    <fill>
      <patternFill patternType="solid">
        <fgColor indexed="26"/>
        <bgColor indexed="26"/>
      </patternFill>
    </fill>
    <fill>
      <patternFill patternType="solid">
        <fgColor indexed="43"/>
        <bgColor indexed="43"/>
      </patternFill>
    </fill>
    <fill>
      <patternFill patternType="solid">
        <fgColor rgb="FFBCBCBC"/>
        <bgColor rgb="FFBCBCBC"/>
      </patternFill>
    </fill>
    <fill>
      <patternFill patternType="solid">
        <fgColor theme="0" tint="-0.14999999999999999"/>
        <bgColor theme="0" tint="-0.14999999999999999"/>
      </patternFill>
    </fill>
    <fill>
      <patternFill patternType="solid">
        <fgColor rgb="FFFFFFC0"/>
        <bgColor rgb="FFFFFFC0"/>
      </patternFill>
    </fill>
    <fill>
      <patternFill patternType="solid">
        <fgColor rgb="FFD3DBDB"/>
        <bgColor rgb="FFD3DBDB"/>
      </patternFill>
    </fill>
    <fill>
      <patternFill patternType="solid">
        <fgColor rgb="FFD7EAD3"/>
        <bgColor rgb="FFD7EAD3"/>
      </patternFill>
    </fill>
    <fill>
      <patternFill patternType="solid">
        <fgColor rgb="FFE3FAFD"/>
        <bgColor rgb="FFE3FAFD"/>
      </patternFill>
    </fill>
    <fill>
      <patternFill patternType="solid">
        <fgColor indexed="65"/>
        <bgColor indexed="65"/>
      </patternFill>
    </fill>
    <fill>
      <patternFill patternType="solid">
        <fgColor rgb="FFB7E4FF"/>
        <bgColor rgb="FFB7E4FF"/>
      </patternFill>
    </fill>
    <fill>
      <patternFill patternType="lightDown">
        <fgColor indexed="22"/>
        <bgColor indexed="22"/>
      </patternFill>
    </fill>
    <fill>
      <patternFill patternType="solid">
        <fgColor theme="0"/>
        <bgColor theme="0"/>
      </patternFill>
    </fill>
    <fill>
      <patternFill patternType="solid">
        <fgColor indexed="40"/>
        <bgColor indexed="40"/>
      </patternFill>
    </fill>
    <fill>
      <patternFill patternType="solid">
        <fgColor indexed="31"/>
        <bgColor indexed="31"/>
      </patternFill>
    </fill>
    <fill>
      <patternFill patternType="solid">
        <fgColor rgb="FFEAEBEE"/>
        <bgColor rgb="FFEAEBEE"/>
      </patternFill>
    </fill>
    <fill>
      <patternFill patternType="solid">
        <fgColor indexed="52"/>
        <bgColor indexed="52"/>
      </patternFill>
    </fill>
    <fill>
      <patternFill patternType="solid">
        <fgColor indexed="30"/>
        <bgColor indexed="30"/>
      </patternFill>
    </fill>
    <fill>
      <patternFill patternType="solid">
        <fgColor indexed="19"/>
        <bgColor indexed="19"/>
      </patternFill>
    </fill>
    <fill>
      <patternFill patternType="solid">
        <fgColor indexed="46"/>
        <bgColor indexed="46"/>
      </patternFill>
    </fill>
    <fill>
      <patternFill patternType="solid">
        <fgColor indexed="22"/>
        <bgColor indexed="22"/>
      </patternFill>
    </fill>
    <fill>
      <patternFill patternType="solid">
        <fgColor indexed="5"/>
        <bgColor indexed="5"/>
      </patternFill>
    </fill>
    <fill>
      <patternFill patternType="solid">
        <fgColor rgb="FFFFB7B7"/>
        <bgColor rgb="FFFFB7B7"/>
      </patternFill>
    </fill>
    <fill>
      <patternFill patternType="lightDown">
        <fgColor rgb="FFB7E4FF"/>
        <bgColor indexed="65"/>
      </patternFill>
    </fill>
    <fill>
      <patternFill patternType="solid">
        <fgColor rgb="FF8DB4E2"/>
        <bgColor rgb="FF8DB4E2"/>
      </patternFill>
    </fill>
    <fill>
      <patternFill patternType="solid">
        <fgColor theme="2" tint="-0.10000000000000001"/>
        <bgColor theme="2" tint="-0.10000000000000001"/>
      </patternFill>
    </fill>
    <fill>
      <patternFill patternType="solid">
        <fgColor theme="9" tint="-0.25"/>
        <bgColor theme="9" tint="-0.25"/>
      </patternFill>
    </fill>
  </fills>
  <borders count="75">
    <border>
      <left style="none"/>
      <right style="none"/>
      <top style="none"/>
      <bottom style="none"/>
      <diagonal style="none"/>
    </border>
    <border>
      <left style="thin">
        <color rgb="FF7F7F7F"/>
      </left>
      <right style="thin">
        <color rgb="FF7F7F7F"/>
      </right>
      <top style="thin">
        <color rgb="FF7F7F7F"/>
      </top>
      <bottom style="thin">
        <color rgb="FF7F7F7F"/>
      </bottom>
      <diagonal style="none"/>
    </border>
    <border>
      <left style="double">
        <color rgb="FF3F3F3F"/>
      </left>
      <right style="double">
        <color rgb="FF3F3F3F"/>
      </right>
      <top style="double">
        <color rgb="FF3F3F3F"/>
      </top>
      <bottom style="double">
        <color rgb="FF3F3F3F"/>
      </bottom>
      <diagonal style="none"/>
    </border>
    <border>
      <left style="none"/>
      <right style="none"/>
      <top style="none"/>
      <bottom style="thick">
        <color theme="4"/>
      </bottom>
      <diagonal style="none"/>
    </border>
    <border>
      <left style="none"/>
      <right style="none"/>
      <top style="none"/>
      <bottom style="thick">
        <color theme="4" tint="0.5"/>
      </bottom>
      <diagonal style="none"/>
    </border>
    <border>
      <left style="none"/>
      <right style="none"/>
      <top style="none"/>
      <bottom style="medium">
        <color theme="4" tint="0.40000000000000002"/>
      </bottom>
      <diagonal style="none"/>
    </border>
    <border>
      <left style="none"/>
      <right style="none"/>
      <top style="none"/>
      <bottom style="double">
        <color rgb="FFFF8001"/>
      </bottom>
      <diagonal style="none"/>
    </border>
    <border>
      <left style="thin">
        <color rgb="FFB2B2B2"/>
      </left>
      <right style="thin">
        <color rgb="FFB2B2B2"/>
      </right>
      <top style="thin">
        <color rgb="FFB2B2B2"/>
      </top>
      <bottom style="thin">
        <color rgb="FFB2B2B2"/>
      </bottom>
      <diagonal style="none"/>
    </border>
    <border>
      <left style="thin">
        <color rgb="FF3F3F3F"/>
      </left>
      <right style="thin">
        <color rgb="FF3F3F3F"/>
      </right>
      <top style="thin">
        <color rgb="FF3F3F3F"/>
      </top>
      <bottom style="thin">
        <color rgb="FF3F3F3F"/>
      </bottom>
      <diagonal style="none"/>
    </border>
    <border>
      <left style="none"/>
      <right style="none"/>
      <top style="thin">
        <color theme="4"/>
      </top>
      <bottom style="double">
        <color theme="4"/>
      </bottom>
      <diagonal style="none"/>
    </border>
    <border>
      <left style="thin">
        <color rgb="FF999999"/>
      </left>
      <right style="none"/>
      <top style="thin">
        <color rgb="FF999999"/>
      </top>
      <bottom style="thin">
        <color rgb="FF999999"/>
      </bottom>
      <diagonal style="none"/>
    </border>
    <border>
      <left style="none"/>
      <right style="none"/>
      <top style="thin">
        <color rgb="FF999999"/>
      </top>
      <bottom style="thin">
        <color rgb="FF999999"/>
      </bottom>
      <diagonal style="none"/>
    </border>
    <border>
      <left style="none"/>
      <right style="thin">
        <color rgb="FF999999"/>
      </right>
      <top style="thin">
        <color rgb="FF999999"/>
      </top>
      <bottom style="thin">
        <color rgb="FF999999"/>
      </bottom>
      <diagonal style="none"/>
    </border>
    <border>
      <left style="thin">
        <color rgb="FFBCBCBC"/>
      </left>
      <right style="none"/>
      <top style="none"/>
      <bottom style="none"/>
      <diagonal style="none"/>
    </border>
    <border>
      <left style="none"/>
      <right style="thin">
        <color rgb="FFBCBCBC"/>
      </right>
      <top style="none"/>
      <bottom style="none"/>
      <diagonal style="none"/>
    </border>
    <border>
      <left style="thin">
        <color rgb="FFBCBCBC"/>
      </left>
      <right style="none"/>
      <top style="thin">
        <color rgb="FFBCBCBC"/>
      </top>
      <bottom style="none"/>
      <diagonal style="none"/>
    </border>
    <border>
      <left style="none"/>
      <right style="none"/>
      <top style="thin">
        <color rgb="FFBCBCBC"/>
      </top>
      <bottom style="none"/>
      <diagonal style="none"/>
    </border>
    <border>
      <left style="none"/>
      <right style="thin">
        <color rgb="FFBCBCBC"/>
      </right>
      <top style="thin">
        <color rgb="FFBCBCBC"/>
      </top>
      <bottom style="none"/>
      <diagonal style="none"/>
    </border>
    <border>
      <left style="thin">
        <color rgb="FFBCBCBC"/>
      </left>
      <right style="none"/>
      <top style="none"/>
      <bottom style="thin">
        <color rgb="FFBCBCBC"/>
      </bottom>
      <diagonal style="none"/>
    </border>
    <border>
      <left style="none"/>
      <right style="none"/>
      <top style="none"/>
      <bottom style="thin">
        <color rgb="FFBCBCBC"/>
      </bottom>
      <diagonal style="none"/>
    </border>
    <border>
      <left style="none"/>
      <right style="thin">
        <color indexed="22"/>
      </right>
      <top style="thin">
        <color indexed="22"/>
      </top>
      <bottom style="thin">
        <color indexed="22"/>
      </bottom>
      <diagonal style="none"/>
    </border>
    <border>
      <left style="thin">
        <color indexed="22"/>
      </left>
      <right style="none"/>
      <top style="thin">
        <color indexed="22"/>
      </top>
      <bottom style="thin">
        <color indexed="22"/>
      </bottom>
      <diagonal style="none"/>
    </border>
    <border>
      <left style="hair">
        <color indexed="22"/>
      </left>
      <right style="none"/>
      <top style="hair">
        <color indexed="22"/>
      </top>
      <bottom style="hair">
        <color indexed="22"/>
      </bottom>
      <diagonal style="none"/>
    </border>
    <border>
      <left style="thin">
        <color indexed="22"/>
      </left>
      <right style="thin">
        <color indexed="22"/>
      </right>
      <top style="thin">
        <color indexed="22"/>
      </top>
      <bottom style="thin">
        <color indexed="22"/>
      </bottom>
      <diagonal style="none"/>
    </border>
    <border>
      <left style="thin">
        <color rgb="FFBCBCBC"/>
      </left>
      <right style="thin">
        <color rgb="FFBCBCBC"/>
      </right>
      <top style="thin">
        <color rgb="FFBCBCBC"/>
      </top>
      <bottom style="thin">
        <color rgb="FFBCBCBC"/>
      </bottom>
      <diagonal style="none"/>
    </border>
    <border>
      <left style="none"/>
      <right style="none"/>
      <top style="thin">
        <color indexed="22"/>
      </top>
      <bottom style="thin">
        <color indexed="22"/>
      </bottom>
      <diagonal style="none"/>
    </border>
    <border>
      <left style="none"/>
      <right style="none"/>
      <top style="thin">
        <color indexed="22"/>
      </top>
      <bottom style="none"/>
      <diagonal style="none"/>
    </border>
    <border>
      <left style="none"/>
      <right style="thin">
        <color indexed="22"/>
      </right>
      <top style="thin">
        <color indexed="22"/>
      </top>
      <bottom style="none"/>
      <diagonal style="none"/>
    </border>
    <border>
      <left style="thin">
        <color indexed="22"/>
      </left>
      <right style="none"/>
      <top style="none"/>
      <bottom style="none"/>
      <diagonal style="none"/>
    </border>
    <border>
      <left style="none"/>
      <right style="thin">
        <color indexed="22"/>
      </right>
      <top style="none"/>
      <bottom style="none"/>
      <diagonal style="none"/>
    </border>
    <border>
      <left style="thin">
        <color indexed="22"/>
      </left>
      <right style="thin">
        <color indexed="22"/>
      </right>
      <top style="none"/>
      <bottom style="thin">
        <color indexed="22"/>
      </bottom>
      <diagonal style="none"/>
    </border>
    <border>
      <left style="none"/>
      <right style="none"/>
      <top style="thin">
        <color rgb="FFD3DBDB"/>
      </top>
      <bottom style="none"/>
      <diagonal style="none"/>
    </border>
    <border>
      <left style="thin">
        <color indexed="22"/>
      </left>
      <right style="thin">
        <color indexed="22"/>
      </right>
      <top style="thin">
        <color indexed="22"/>
      </top>
      <bottom style="none"/>
      <diagonal style="none"/>
    </border>
    <border>
      <left style="thin">
        <color indexed="22"/>
      </left>
      <right style="none"/>
      <top style="thin">
        <color indexed="22"/>
      </top>
      <bottom style="none"/>
      <diagonal style="none"/>
    </border>
    <border>
      <left style="none"/>
      <right style="thin">
        <color indexed="22"/>
      </right>
      <top style="none"/>
      <bottom style="thin">
        <color indexed="22"/>
      </bottom>
      <diagonal style="none"/>
    </border>
    <border>
      <left style="thin">
        <color indexed="22"/>
      </left>
      <right style="none"/>
      <top style="none"/>
      <bottom style="thin">
        <color indexed="22"/>
      </bottom>
      <diagonal style="none"/>
    </border>
    <border>
      <left style="thin">
        <color rgb="FFBCBCBC"/>
      </left>
      <right style="none"/>
      <top style="thin">
        <color rgb="FFBCBCBC"/>
      </top>
      <bottom style="thin">
        <color rgb="FFBCBCBC"/>
      </bottom>
      <diagonal style="none"/>
    </border>
    <border>
      <left style="none"/>
      <right style="thin">
        <color rgb="FFBCBCBC"/>
      </right>
      <top style="thin">
        <color rgb="FFBCBCBC"/>
      </top>
      <bottom style="thin">
        <color rgb="FFBCBCBC"/>
      </bottom>
      <diagonal style="none"/>
    </border>
    <border>
      <left style="thin">
        <color indexed="22"/>
      </left>
      <right style="none"/>
      <top style="thin">
        <color rgb="FFBCBCBC"/>
      </top>
      <bottom style="thin">
        <color rgb="FFBCBCBC"/>
      </bottom>
      <diagonal style="none"/>
    </border>
    <border>
      <left style="none"/>
      <right style="thin">
        <color indexed="22"/>
      </right>
      <top style="thin">
        <color rgb="FFBCBCBC"/>
      </top>
      <bottom style="thin">
        <color rgb="FFBCBCBC"/>
      </bottom>
      <diagonal style="none"/>
    </border>
    <border>
      <left style="none"/>
      <right style="none"/>
      <top style="thin">
        <color rgb="FFBCBCBC"/>
      </top>
      <bottom style="thin">
        <color rgb="FFBCBCBC"/>
      </bottom>
      <diagonal style="none"/>
    </border>
    <border>
      <left style="thin">
        <color indexed="22"/>
      </left>
      <right style="thin">
        <color indexed="22"/>
      </right>
      <top style="thin">
        <color rgb="FFBCBCBC"/>
      </top>
      <bottom style="thin">
        <color rgb="FFBCBCBC"/>
      </bottom>
      <diagonal style="none"/>
    </border>
    <border>
      <left style="thin">
        <color indexed="22"/>
      </left>
      <right style="thin">
        <color indexed="22"/>
      </right>
      <top style="none"/>
      <bottom style="none"/>
      <diagonal style="none"/>
    </border>
    <border>
      <left style="thin">
        <color indexed="22"/>
      </left>
      <right style="none"/>
      <top style="thin">
        <color rgb="FFBCBCBC"/>
      </top>
      <bottom style="thin">
        <color indexed="22"/>
      </bottom>
      <diagonal style="none"/>
    </border>
    <border>
      <left style="none"/>
      <right style="none"/>
      <top style="thin">
        <color rgb="FFBCBCBC"/>
      </top>
      <bottom style="thin">
        <color indexed="22"/>
      </bottom>
      <diagonal style="none"/>
    </border>
    <border>
      <left style="none"/>
      <right style="none"/>
      <top style="none"/>
      <bottom style="thin">
        <color indexed="22"/>
      </bottom>
      <diagonal style="none"/>
    </border>
    <border>
      <left style="thin">
        <color theme="0" tint="-0.25"/>
      </left>
      <right style="thin">
        <color indexed="22"/>
      </right>
      <top style="thin">
        <color indexed="22"/>
      </top>
      <bottom style="thin">
        <color indexed="22"/>
      </bottom>
      <diagonal style="none"/>
    </border>
    <border>
      <left style="thin">
        <color theme="0" tint="-0.25"/>
      </left>
      <right style="thin">
        <color indexed="22"/>
      </right>
      <top style="thin">
        <color indexed="22"/>
      </top>
      <bottom style="none"/>
      <diagonal style="none"/>
    </border>
    <border>
      <left style="thin">
        <color theme="0" tint="-0.25"/>
      </left>
      <right style="none"/>
      <top style="thin">
        <color indexed="22"/>
      </top>
      <bottom style="thin">
        <color indexed="22"/>
      </bottom>
      <diagonal style="none"/>
    </border>
    <border>
      <left style="thin">
        <color theme="0" tint="-0.25"/>
      </left>
      <right style="none"/>
      <top style="thin">
        <color indexed="22"/>
      </top>
      <bottom style="none"/>
      <diagonal style="none"/>
    </border>
    <border>
      <left style="thin">
        <color theme="0" tint="-0.25"/>
      </left>
      <right style="thin">
        <color theme="0" tint="-0.25"/>
      </right>
      <top style="none"/>
      <bottom style="thin">
        <color theme="0" tint="-0.25"/>
      </bottom>
      <diagonal style="none"/>
    </border>
    <border>
      <left style="thin">
        <color theme="0" tint="-0.25"/>
      </left>
      <right style="thin">
        <color theme="0" tint="-0.25"/>
      </right>
      <top style="none"/>
      <bottom style="none"/>
      <diagonal style="none"/>
    </border>
    <border>
      <left style="thin">
        <color theme="0" tint="-0.25"/>
      </left>
      <right style="thin">
        <color theme="0" tint="-0.25"/>
      </right>
      <top style="thin">
        <color theme="0" tint="-0.25"/>
      </top>
      <bottom style="thin">
        <color theme="0" tint="-0.25"/>
      </bottom>
      <diagonal style="none"/>
    </border>
    <border>
      <left style="thin">
        <color theme="0" tint="-0.25"/>
      </left>
      <right style="none"/>
      <top style="thin">
        <color theme="0" tint="-0.25"/>
      </top>
      <bottom style="thin">
        <color theme="0" tint="-0.25"/>
      </bottom>
      <diagonal style="none"/>
    </border>
    <border>
      <left style="thin">
        <color theme="0" tint="-0.25"/>
      </left>
      <right style="thin">
        <color theme="0" tint="-0.25"/>
      </right>
      <top style="thin">
        <color theme="0" tint="-0.25"/>
      </top>
      <bottom style="none"/>
      <diagonal style="none"/>
    </border>
    <border>
      <left style="thin">
        <color theme="0" tint="-0.25"/>
      </left>
      <right style="none"/>
      <top style="none"/>
      <bottom style="thin">
        <color theme="0" tint="-0.25"/>
      </bottom>
      <diagonal style="none"/>
    </border>
    <border>
      <left style="thin">
        <color rgb="FFBCBCBC"/>
      </left>
      <right style="none"/>
      <top style="thin">
        <color rgb="FFBCBCBC"/>
      </top>
      <bottom style="thin">
        <color indexed="22"/>
      </bottom>
      <diagonal style="none"/>
    </border>
    <border>
      <left style="none"/>
      <right style="none"/>
      <top style="thin">
        <color rgb="FFD3DBDB"/>
      </top>
      <bottom style="thin">
        <color rgb="FFD3DBDB"/>
      </bottom>
      <diagonal style="none"/>
    </border>
    <border>
      <left style="thin">
        <color rgb="FFD3DBDB"/>
      </left>
      <right style="none"/>
      <top style="thin">
        <color rgb="FFD3DBDB"/>
      </top>
      <bottom style="thin">
        <color rgb="FFD3DBDB"/>
      </bottom>
      <diagonal style="none"/>
    </border>
    <border>
      <left style="thin">
        <color rgb="FFD3DBDB"/>
      </left>
      <right style="thin">
        <color rgb="FFD3DBDB"/>
      </right>
      <top style="thin">
        <color rgb="FFD3DBDB"/>
      </top>
      <bottom style="thin">
        <color rgb="FFD3DBDB"/>
      </bottom>
      <diagonal style="none"/>
    </border>
    <border>
      <left style="thin">
        <color indexed="64"/>
      </left>
      <right style="thin">
        <color indexed="64"/>
      </right>
      <top style="thin">
        <color indexed="64"/>
      </top>
      <bottom style="thin">
        <color indexed="64"/>
      </bottom>
      <diagonal style="none"/>
    </border>
    <border>
      <left style="thin">
        <color theme="0" tint="-0.34999999999999998"/>
      </left>
      <right style="thin">
        <color theme="0" tint="-0.34999999999999998"/>
      </right>
      <top style="thin">
        <color theme="0" tint="-0.34999999999999998"/>
      </top>
      <bottom style="thin">
        <color theme="0" tint="-0.34999999999999998"/>
      </bottom>
      <diagonal style="none"/>
    </border>
    <border>
      <left style="thin">
        <color indexed="22"/>
      </left>
      <right style="thin">
        <color indexed="22"/>
      </right>
      <top style="thin">
        <color indexed="22"/>
      </top>
      <bottom style="thin">
        <color rgb="FFBCBCBC"/>
      </bottom>
      <diagonal style="none"/>
    </border>
    <border>
      <left style="thin">
        <color rgb="FFBCBCBC"/>
      </left>
      <right style="none"/>
      <top style="medium">
        <color rgb="FFBCBCBC"/>
      </top>
      <bottom style="none"/>
      <diagonal style="none"/>
    </border>
    <border>
      <left style="none"/>
      <right style="none"/>
      <top style="medium">
        <color rgb="FFBCBCBC"/>
      </top>
      <bottom style="none"/>
      <diagonal style="none"/>
    </border>
    <border>
      <left style="none"/>
      <right style="none"/>
      <top style="medium">
        <color rgb="FFBCBCBC"/>
      </top>
      <bottom style="thin">
        <color rgb="FFBCBCBC"/>
      </bottom>
      <diagonal style="none"/>
    </border>
    <border>
      <left style="none"/>
      <right style="thin">
        <color rgb="FFBCBCBC"/>
      </right>
      <top style="medium">
        <color rgb="FFBCBCBC"/>
      </top>
      <bottom style="thin">
        <color rgb="FFBCBCBC"/>
      </bottom>
      <diagonal style="none"/>
    </border>
    <border>
      <left style="none"/>
      <right style="thin">
        <color theme="0" tint="-0.25"/>
      </right>
      <top style="thin">
        <color indexed="22"/>
      </top>
      <bottom style="thin">
        <color indexed="22"/>
      </bottom>
      <diagonal style="none"/>
    </border>
    <border>
      <left style="thin">
        <color indexed="22"/>
      </left>
      <right style="thin">
        <color indexed="22"/>
      </right>
      <top style="thin">
        <color indexed="22"/>
      </top>
      <bottom style="medium">
        <color indexed="22"/>
      </bottom>
      <diagonal style="none"/>
    </border>
    <border>
      <left style="none"/>
      <right style="none"/>
      <top style="none"/>
      <bottom style="medium">
        <color indexed="22"/>
      </bottom>
      <diagonal style="none"/>
    </border>
    <border>
      <left style="none"/>
      <right style="none"/>
      <top style="thin">
        <color indexed="22"/>
      </top>
      <bottom style="medium">
        <color indexed="22"/>
      </bottom>
      <diagonal style="none"/>
    </border>
    <border>
      <left style="thin">
        <color rgb="FFBCBCBC"/>
      </left>
      <right style="none"/>
      <top style="medium">
        <color rgb="FFBCBCBC"/>
      </top>
      <bottom style="thin">
        <color indexed="22"/>
      </bottom>
      <diagonal style="none"/>
    </border>
    <border>
      <left style="none"/>
      <right style="none"/>
      <top style="medium">
        <color indexed="22"/>
      </top>
      <bottom style="thin">
        <color indexed="22"/>
      </bottom>
      <diagonal style="none"/>
    </border>
    <border>
      <left style="thin">
        <color indexed="22"/>
      </left>
      <right style="none"/>
      <top style="thin">
        <color indexed="22"/>
      </top>
      <bottom style="medium">
        <color indexed="22"/>
      </bottom>
      <diagonal style="none"/>
    </border>
    <border>
      <left style="none"/>
      <right style="none"/>
      <top style="dotted">
        <color indexed="64"/>
      </top>
      <bottom style="dotted">
        <color indexed="64"/>
      </bottom>
      <diagonal style="none"/>
    </border>
  </borders>
  <cellStyleXfs count="79">
    <xf fontId="0" fillId="0" borderId="0" numFmtId="49" applyNumberFormat="1" applyFont="1" applyFill="0" applyBorder="0">
      <alignment vertical="top"/>
    </xf>
    <xf fontId="1" fillId="2" borderId="0" numFmtId="0" applyNumberFormat="1" applyFont="1" applyFill="1" applyBorder="0">
      <alignment vertical="top"/>
    </xf>
    <xf fontId="1" fillId="3" borderId="0" numFmtId="0" applyNumberFormat="1" applyFont="1" applyFill="1" applyBorder="0">
      <alignment vertical="top"/>
    </xf>
    <xf fontId="1" fillId="4" borderId="0" numFmtId="0" applyNumberFormat="1" applyFont="1" applyFill="1" applyBorder="0">
      <alignment vertical="top"/>
    </xf>
    <xf fontId="1" fillId="5" borderId="0" numFmtId="0" applyNumberFormat="1" applyFont="1" applyFill="1" applyBorder="0">
      <alignment vertical="top"/>
    </xf>
    <xf fontId="1" fillId="6" borderId="0" numFmtId="0" applyNumberFormat="1" applyFont="1" applyFill="1" applyBorder="0">
      <alignment vertical="top"/>
    </xf>
    <xf fontId="1" fillId="7" borderId="0" numFmtId="0" applyNumberFormat="1" applyFont="1" applyFill="1" applyBorder="0">
      <alignment vertical="top"/>
    </xf>
    <xf fontId="1" fillId="8" borderId="0" numFmtId="0" applyNumberFormat="1" applyFont="1" applyFill="1" applyBorder="0">
      <alignment vertical="top"/>
    </xf>
    <xf fontId="1" fillId="9" borderId="0" numFmtId="0" applyNumberFormat="1" applyFont="1" applyFill="1" applyBorder="0">
      <alignment vertical="top"/>
    </xf>
    <xf fontId="1" fillId="10" borderId="0" numFmtId="0" applyNumberFormat="1" applyFont="1" applyFill="1" applyBorder="0">
      <alignment vertical="top"/>
    </xf>
    <xf fontId="1" fillId="11" borderId="0" numFmtId="0" applyNumberFormat="1" applyFont="1" applyFill="1" applyBorder="0">
      <alignment vertical="top"/>
    </xf>
    <xf fontId="1" fillId="12" borderId="0" numFmtId="0" applyNumberFormat="1" applyFont="1" applyFill="1" applyBorder="0">
      <alignment vertical="top"/>
    </xf>
    <xf fontId="1" fillId="13" borderId="0" numFmtId="0" applyNumberFormat="1" applyFont="1" applyFill="1" applyBorder="0">
      <alignment vertical="top"/>
    </xf>
    <xf fontId="1" fillId="14" borderId="0" numFmtId="0" applyNumberFormat="1" applyFont="1" applyFill="1" applyBorder="0">
      <alignment vertical="top"/>
    </xf>
    <xf fontId="1" fillId="15" borderId="0" numFmtId="0" applyNumberFormat="1" applyFont="1" applyFill="1" applyBorder="0">
      <alignment vertical="top"/>
    </xf>
    <xf fontId="1" fillId="16" borderId="0" numFmtId="0" applyNumberFormat="1" applyFont="1" applyFill="1" applyBorder="0">
      <alignment vertical="top"/>
    </xf>
    <xf fontId="1" fillId="17" borderId="0" numFmtId="0" applyNumberFormat="1" applyFont="1" applyFill="1" applyBorder="0">
      <alignment vertical="top"/>
    </xf>
    <xf fontId="1" fillId="18" borderId="0" numFmtId="0" applyNumberFormat="1" applyFont="1" applyFill="1" applyBorder="0">
      <alignment vertical="top"/>
    </xf>
    <xf fontId="1" fillId="19" borderId="0" numFmtId="0" applyNumberFormat="1" applyFont="1" applyFill="1" applyBorder="0">
      <alignment vertical="top"/>
    </xf>
    <xf fontId="2" fillId="20" borderId="0" numFmtId="0" applyNumberFormat="1" applyFont="1" applyFill="1" applyBorder="0">
      <alignment vertical="top"/>
    </xf>
    <xf fontId="2" fillId="21" borderId="0" numFmtId="0" applyNumberFormat="1" applyFont="1" applyFill="1" applyBorder="0">
      <alignment vertical="top"/>
    </xf>
    <xf fontId="2" fillId="22" borderId="0" numFmtId="0" applyNumberFormat="1" applyFont="1" applyFill="1" applyBorder="0">
      <alignment vertical="top"/>
    </xf>
    <xf fontId="2" fillId="23" borderId="0" numFmtId="0" applyNumberFormat="1" applyFont="1" applyFill="1" applyBorder="0">
      <alignment vertical="top"/>
    </xf>
    <xf fontId="2" fillId="24" borderId="0" numFmtId="0" applyNumberFormat="1" applyFont="1" applyFill="1" applyBorder="0">
      <alignment vertical="top"/>
    </xf>
    <xf fontId="2" fillId="25" borderId="0" numFmtId="0" applyNumberFormat="1" applyFont="1" applyFill="1" applyBorder="0">
      <alignment vertical="top"/>
    </xf>
    <xf fontId="3" fillId="26" borderId="0" numFmtId="0" applyNumberFormat="1" applyFont="1" applyFill="1" applyBorder="0">
      <alignment vertical="top"/>
    </xf>
    <xf fontId="4" fillId="27" borderId="1" numFmtId="0" applyNumberFormat="1" applyFont="1" applyFill="1" applyBorder="1">
      <alignment vertical="top"/>
    </xf>
    <xf fontId="5" fillId="28" borderId="2" numFmtId="0" applyNumberFormat="1" applyFont="1" applyFill="1" applyBorder="1">
      <alignment vertical="top"/>
    </xf>
    <xf fontId="6" fillId="0" borderId="0" numFmtId="160" applyNumberFormat="1" applyFont="0" applyFill="0" applyBorder="0">
      <alignment vertical="top"/>
    </xf>
    <xf fontId="6" fillId="0" borderId="0" numFmtId="161" applyNumberFormat="1" applyFont="0" applyFill="0" applyBorder="0">
      <alignment vertical="top"/>
    </xf>
    <xf fontId="6" fillId="0" borderId="0" numFmtId="162" applyNumberFormat="1" applyFont="0" applyFill="0" applyBorder="0">
      <alignment vertical="top"/>
    </xf>
    <xf fontId="6" fillId="0" borderId="0" numFmtId="163" applyNumberFormat="1" applyFont="0" applyFill="0" applyBorder="0">
      <alignment vertical="top"/>
    </xf>
    <xf fontId="7" fillId="0" borderId="0" numFmtId="0" applyNumberFormat="1" applyFont="1" applyFill="0" applyBorder="0">
      <alignment vertical="top"/>
    </xf>
    <xf fontId="8" fillId="29" borderId="0" numFmtId="0" applyNumberFormat="1" applyFont="1" applyFill="1" applyBorder="0">
      <alignment vertical="top"/>
    </xf>
    <xf fontId="9" fillId="0" borderId="3" numFmtId="0" applyNumberFormat="1" applyFont="1" applyFill="0" applyBorder="1">
      <alignment vertical="top"/>
    </xf>
    <xf fontId="10" fillId="0" borderId="4" numFmtId="0" applyNumberFormat="1" applyFont="1" applyFill="0" applyBorder="1">
      <alignment vertical="top"/>
    </xf>
    <xf fontId="11" fillId="0" borderId="5" numFmtId="0" applyNumberFormat="1" applyFont="1" applyFill="0" applyBorder="1">
      <alignment vertical="top"/>
    </xf>
    <xf fontId="11" fillId="0" borderId="0" numFmtId="0" applyNumberFormat="1" applyFont="1" applyFill="0" applyBorder="0">
      <alignment vertical="top"/>
    </xf>
    <xf fontId="12" fillId="30" borderId="1" numFmtId="0" applyNumberFormat="1" applyFont="1" applyFill="1" applyBorder="1">
      <alignment vertical="top"/>
    </xf>
    <xf fontId="13" fillId="0" borderId="6" numFmtId="0" applyNumberFormat="1" applyFont="1" applyFill="0" applyBorder="1">
      <alignment vertical="top"/>
    </xf>
    <xf fontId="14" fillId="31" borderId="0" numFmtId="0" applyNumberFormat="1" applyFont="1" applyFill="1" applyBorder="0">
      <alignment vertical="top"/>
    </xf>
    <xf fontId="15" fillId="0" borderId="0" numFmtId="0" applyNumberFormat="1" applyFont="1" applyFill="0" applyBorder="0">
      <alignment vertical="top"/>
    </xf>
    <xf fontId="6" fillId="32" borderId="7" numFmtId="0" applyNumberFormat="1" applyFont="0" applyFill="1" applyBorder="1">
      <alignment vertical="top"/>
    </xf>
    <xf fontId="16" fillId="27" borderId="8" numFmtId="0" applyNumberFormat="1" applyFont="1" applyFill="1" applyBorder="1">
      <alignment vertical="top"/>
    </xf>
    <xf fontId="6" fillId="0" borderId="0" numFmtId="9" applyNumberFormat="1" applyFont="0" applyFill="0" applyBorder="0">
      <alignment vertical="top"/>
    </xf>
    <xf fontId="17" fillId="0" borderId="0" numFmtId="0" applyNumberFormat="1" applyFont="1" applyFill="0" applyBorder="0">
      <alignment vertical="top"/>
    </xf>
    <xf fontId="18" fillId="0" borderId="9" numFmtId="0" applyNumberFormat="1" applyFont="1" applyFill="0" applyBorder="1">
      <alignment vertical="top"/>
    </xf>
    <xf fontId="19" fillId="0" borderId="0" numFmtId="0" applyNumberFormat="1" applyFont="1" applyFill="0" applyBorder="0">
      <alignment vertical="top"/>
    </xf>
    <xf fontId="20" fillId="0" borderId="0" numFmtId="0" applyNumberFormat="1" applyFont="1" applyFill="0" applyBorder="0"/>
    <xf fontId="20" fillId="0" borderId="0" numFmtId="164" applyNumberFormat="1" applyFont="1" applyFill="0" applyBorder="0"/>
    <xf fontId="20" fillId="0" borderId="0" numFmtId="0" applyNumberFormat="1" applyFont="1" applyFill="0" applyBorder="0"/>
    <xf fontId="21" fillId="0" borderId="0" numFmtId="38" applyNumberFormat="1" applyFont="1" applyFill="0" applyBorder="0">
      <alignment vertical="top"/>
    </xf>
    <xf fontId="21" fillId="0" borderId="0" numFmtId="38" applyNumberFormat="1" applyFont="1" applyFill="0" applyBorder="0">
      <alignment vertical="top"/>
    </xf>
    <xf fontId="21" fillId="0" borderId="0" numFmtId="38" applyNumberFormat="1" applyFont="1" applyFill="0" applyBorder="0">
      <alignment vertical="top"/>
    </xf>
    <xf fontId="21" fillId="0" borderId="0" numFmtId="38" applyNumberFormat="1" applyFont="1" applyFill="0" applyBorder="0">
      <alignment vertical="top"/>
    </xf>
    <xf fontId="21" fillId="0" borderId="0" numFmtId="38" applyNumberFormat="1" applyFont="1" applyFill="0" applyBorder="0">
      <alignment vertical="top"/>
    </xf>
    <xf fontId="21" fillId="0" borderId="0" numFmtId="38" applyNumberFormat="1" applyFont="1" applyFill="0" applyBorder="0">
      <alignment vertical="top"/>
    </xf>
    <xf fontId="21" fillId="0" borderId="0" numFmtId="38" applyNumberFormat="1" applyFont="1" applyFill="0" applyBorder="0">
      <alignment vertical="top"/>
    </xf>
    <xf fontId="21" fillId="0" borderId="0" numFmtId="38" applyNumberFormat="1" applyFont="1" applyFill="0" applyBorder="0">
      <alignment vertical="top"/>
    </xf>
    <xf fontId="21" fillId="0" borderId="0" numFmtId="38" applyNumberFormat="1" applyFont="1" applyFill="0" applyBorder="0">
      <alignment vertical="top"/>
    </xf>
    <xf fontId="21" fillId="0" borderId="0" numFmtId="38" applyNumberFormat="1" applyFont="1" applyFill="0" applyBorder="0">
      <alignment vertical="top"/>
    </xf>
    <xf fontId="21" fillId="0" borderId="0" numFmtId="38" applyNumberFormat="1" applyFont="1" applyFill="0" applyBorder="0">
      <alignment vertical="top"/>
    </xf>
    <xf fontId="21" fillId="0" borderId="0" numFmtId="38" applyNumberFormat="1" applyFont="1" applyFill="0" applyBorder="0">
      <alignment vertical="top"/>
    </xf>
    <xf fontId="22" fillId="33" borderId="0" numFmtId="165" applyNumberFormat="1" applyFont="1" applyFill="1" applyBorder="0">
      <protection locked="0"/>
    </xf>
    <xf fontId="23" fillId="0" borderId="0" numFmtId="0" applyNumberFormat="1" applyFont="1" applyFill="0" applyBorder="0">
      <alignment vertical="center"/>
    </xf>
    <xf fontId="22" fillId="33" borderId="0" numFmtId="166" applyNumberFormat="1" applyFont="1" applyFill="1" applyBorder="0">
      <protection locked="0"/>
    </xf>
    <xf fontId="22" fillId="33" borderId="0" numFmtId="167" applyNumberFormat="1" applyFont="1" applyFill="1" applyBorder="0">
      <protection locked="0"/>
    </xf>
    <xf fontId="24" fillId="0" borderId="0" numFmtId="0" applyNumberFormat="1" applyFont="1" applyFill="0" applyBorder="0">
      <alignment vertical="top"/>
    </xf>
    <xf fontId="25" fillId="0" borderId="0" numFmtId="0" applyNumberFormat="1" applyFont="1" applyFill="0" applyBorder="0">
      <alignment vertical="top"/>
    </xf>
    <xf fontId="26" fillId="0" borderId="0" numFmtId="0" applyNumberFormat="1" applyFont="1" applyFill="0" applyBorder="0"/>
    <xf fontId="23" fillId="0" borderId="0" numFmtId="0" applyNumberFormat="1" applyFont="1" applyFill="0" applyBorder="0">
      <alignment vertical="center"/>
    </xf>
    <xf fontId="23" fillId="0" borderId="0" numFmtId="0" applyNumberFormat="1" applyFont="1" applyFill="0" applyBorder="0">
      <alignment vertical="center"/>
    </xf>
    <xf fontId="27" fillId="0" borderId="0" numFmtId="0" applyNumberFormat="1" applyFont="1" applyFill="0" applyBorder="0">
      <alignment vertical="top"/>
    </xf>
    <xf fontId="22" fillId="0" borderId="0" numFmtId="49" applyNumberFormat="1" applyFont="1" applyFill="0" applyBorder="0">
      <alignment vertical="top"/>
    </xf>
    <xf fontId="28" fillId="0" borderId="0" numFmtId="0" applyNumberFormat="1" applyFont="1" applyFill="0" applyBorder="0"/>
    <xf fontId="0" fillId="0" borderId="0" numFmtId="49" applyNumberFormat="1" applyFont="1" applyFill="0" applyBorder="0">
      <alignment vertical="top"/>
    </xf>
    <xf fontId="29" fillId="0" borderId="0" numFmtId="0" applyNumberFormat="1" applyFont="1" applyFill="0" applyBorder="0"/>
    <xf fontId="29" fillId="0" borderId="0" numFmtId="0" applyNumberFormat="1" applyFont="1" applyFill="0" applyBorder="0"/>
    <xf fontId="30" fillId="0" borderId="0" numFmtId="0" applyNumberFormat="1" applyFont="1" applyFill="0" applyBorder="0">
      <alignment vertical="top"/>
    </xf>
  </cellStyleXfs>
  <cellXfs count="1413">
    <xf fontId="0" fillId="0" borderId="0" numFmtId="49" xfId="0" applyNumberFormat="1" applyAlignment="1">
      <alignment vertical="top"/>
    </xf>
    <xf fontId="29" fillId="0" borderId="0" numFmtId="0" xfId="0" applyFont="1"/>
    <xf fontId="31" fillId="0" borderId="0" numFmtId="0" xfId="0" applyFont="1" applyAlignment="1">
      <alignment wrapText="1"/>
    </xf>
    <xf fontId="32" fillId="0" borderId="0" numFmtId="49" xfId="0" applyNumberFormat="1" applyFont="1" applyAlignment="1">
      <alignment wrapText="1"/>
    </xf>
    <xf fontId="32" fillId="0" borderId="0" numFmtId="49" xfId="0" applyNumberFormat="1" applyFont="1" applyAlignment="1">
      <alignment vertical="center" wrapText="1"/>
    </xf>
    <xf fontId="33" fillId="0" borderId="0" numFmtId="49" xfId="0" applyNumberFormat="1" applyFont="1" applyAlignment="1">
      <alignment wrapText="1"/>
    </xf>
    <xf fontId="34" fillId="0" borderId="0" numFmtId="0" xfId="0" applyFont="1" applyAlignment="1">
      <alignment vertical="center" wrapText="1"/>
    </xf>
    <xf fontId="34" fillId="0" borderId="0" numFmtId="0" xfId="0" applyFont="1" applyAlignment="1">
      <alignment horizontal="left" vertical="center" wrapText="1"/>
    </xf>
    <xf fontId="35" fillId="0" borderId="0" numFmtId="49" xfId="0" applyNumberFormat="1" applyFont="1" applyAlignment="1">
      <alignment wrapText="1"/>
    </xf>
    <xf fontId="34" fillId="0" borderId="0" numFmtId="0" xfId="0" applyFont="1" applyAlignment="1">
      <alignment vertical="center"/>
    </xf>
    <xf fontId="36" fillId="0" borderId="0" numFmtId="0" xfId="0" applyFont="1" applyAlignment="1">
      <alignment horizontal="left" vertical="top" wrapText="1"/>
    </xf>
    <xf fontId="22" fillId="0" borderId="0" numFmtId="49" xfId="0" applyNumberFormat="1" applyFont="1" applyAlignment="1">
      <alignment vertical="top" wrapText="1"/>
    </xf>
    <xf fontId="36" fillId="34" borderId="10" numFmtId="0" xfId="0" applyFont="1" applyFill="1" applyBorder="1" applyAlignment="1">
      <alignment horizontal="center" vertical="center" wrapText="1"/>
    </xf>
    <xf fontId="36" fillId="34" borderId="11" numFmtId="0" xfId="0" applyFont="1" applyFill="1" applyBorder="1" applyAlignment="1">
      <alignment horizontal="center" vertical="center" wrapText="1"/>
    </xf>
    <xf fontId="36" fillId="34" borderId="12" numFmtId="0" xfId="0" applyFont="1" applyFill="1" applyBorder="1" applyAlignment="1">
      <alignment horizontal="center" vertical="center" wrapText="1"/>
    </xf>
    <xf fontId="32" fillId="0" borderId="0" numFmtId="0" xfId="0" applyFont="1" applyAlignment="1">
      <alignment wrapText="1"/>
    </xf>
    <xf fontId="36" fillId="35" borderId="13" numFmtId="0" xfId="0" applyFont="1" applyFill="1" applyBorder="1" applyAlignment="1">
      <alignment horizontal="right" indent="1" vertical="center" wrapText="1"/>
    </xf>
    <xf fontId="36" fillId="35" borderId="14" numFmtId="0" xfId="0" applyFont="1" applyFill="1" applyBorder="1" applyAlignment="1">
      <alignment horizontal="right" indent="1" vertical="center" wrapText="1"/>
    </xf>
    <xf fontId="37" fillId="0" borderId="0" numFmtId="0" xfId="0" applyFont="1" applyAlignment="1">
      <alignment horizontal="left" vertical="center" wrapText="1"/>
    </xf>
    <xf fontId="38" fillId="0" borderId="0" numFmtId="0" xfId="0" applyFont="1" applyAlignment="1">
      <alignment vertical="center" wrapText="1"/>
    </xf>
    <xf fontId="32" fillId="0" borderId="13" numFmtId="0" xfId="0" applyFont="1" applyBorder="1" applyAlignment="1">
      <alignment wrapText="1"/>
    </xf>
    <xf fontId="32" fillId="0" borderId="0" numFmtId="0" xfId="0" applyFont="1"/>
    <xf fontId="37" fillId="0" borderId="0" numFmtId="0" xfId="0" applyFont="1"/>
    <xf fontId="39" fillId="0" borderId="0" numFmtId="0" xfId="0" applyFont="1" applyAlignment="1">
      <alignment wrapText="1"/>
    </xf>
    <xf fontId="0" fillId="36" borderId="15" numFmtId="0" xfId="0" applyFill="1" applyBorder="1" applyAlignment="1">
      <alignment horizontal="center" vertical="center" wrapText="1"/>
    </xf>
    <xf fontId="39" fillId="0" borderId="13" numFmtId="0" xfId="0" applyFont="1" applyBorder="1" applyAlignment="1">
      <alignment vertical="center" wrapText="1"/>
    </xf>
    <xf fontId="39" fillId="0" borderId="0" numFmtId="0" xfId="0" applyFont="1" applyAlignment="1">
      <alignment vertical="center" wrapText="1"/>
    </xf>
    <xf fontId="0" fillId="37" borderId="15" numFmtId="0" xfId="0" applyFill="1" applyBorder="1" applyAlignment="1">
      <alignment horizontal="center" vertical="center" wrapText="1"/>
    </xf>
    <xf fontId="39" fillId="0" borderId="13" numFmtId="0" xfId="0" applyFont="1" applyBorder="1" applyAlignment="1">
      <alignment horizontal="left" vertical="center" wrapText="1"/>
    </xf>
    <xf fontId="39" fillId="0" borderId="0" numFmtId="0" xfId="0" applyFont="1" applyAlignment="1">
      <alignment horizontal="left" vertical="center" wrapText="1"/>
    </xf>
    <xf fontId="0" fillId="38" borderId="15" numFmtId="0" xfId="0" applyFill="1" applyBorder="1" applyAlignment="1">
      <alignment horizontal="center" vertical="center" wrapText="1"/>
    </xf>
    <xf fontId="0" fillId="39" borderId="15" numFmtId="0" xfId="0" applyFill="1" applyBorder="1" applyAlignment="1">
      <alignment horizontal="center" vertical="center" wrapText="1"/>
    </xf>
    <xf fontId="36" fillId="35" borderId="0" numFmtId="0" xfId="0" applyFont="1" applyFill="1" applyAlignment="1">
      <alignment horizontal="right" indent="1" vertical="center" wrapText="1"/>
    </xf>
    <xf fontId="37" fillId="0" borderId="13" numFmtId="0" xfId="0" applyFont="1" applyBorder="1" applyAlignment="1">
      <alignment horizontal="left" vertical="center" wrapText="1"/>
    </xf>
    <xf fontId="37" fillId="0" borderId="16" numFmtId="0" xfId="0" applyFont="1" applyBorder="1" applyAlignment="1">
      <alignment horizontal="left" vertical="center" wrapText="1"/>
    </xf>
    <xf fontId="36" fillId="35" borderId="15" numFmtId="0" xfId="0" applyFont="1" applyFill="1" applyBorder="1" applyAlignment="1">
      <alignment horizontal="right" indent="1" vertical="center" wrapText="1"/>
    </xf>
    <xf fontId="36" fillId="35" borderId="17" numFmtId="0" xfId="0" applyFont="1" applyFill="1" applyBorder="1" applyAlignment="1">
      <alignment horizontal="right" indent="1" vertical="center" wrapText="1"/>
    </xf>
    <xf fontId="39" fillId="0" borderId="0" numFmtId="0" xfId="0" applyFont="1"/>
    <xf fontId="39" fillId="0" borderId="13" numFmtId="0" xfId="0" applyFont="1" applyBorder="1" applyAlignment="1">
      <alignment wrapText="1"/>
    </xf>
    <xf fontId="39" fillId="0" borderId="0" numFmtId="0" xfId="0" applyFont="1" applyAlignment="1">
      <alignment vertical="top" wrapText="1"/>
    </xf>
    <xf fontId="36" fillId="35" borderId="18" numFmtId="0" xfId="0" applyFont="1" applyFill="1" applyBorder="1" applyAlignment="1">
      <alignment horizontal="right" indent="1" vertical="center" wrapText="1"/>
    </xf>
    <xf fontId="36" fillId="35" borderId="19" numFmtId="0" xfId="0" applyFont="1" applyFill="1" applyBorder="1" applyAlignment="1">
      <alignment horizontal="right" indent="1" vertical="center" wrapText="1"/>
    </xf>
    <xf fontId="32" fillId="0" borderId="18" numFmtId="0" xfId="0" applyFont="1" applyBorder="1" applyAlignment="1">
      <alignment wrapText="1"/>
    </xf>
    <xf fontId="32" fillId="0" borderId="19" numFmtId="0" xfId="0" applyFont="1" applyBorder="1" applyAlignment="1">
      <alignment wrapText="1"/>
    </xf>
    <xf fontId="32" fillId="0" borderId="19" numFmtId="0" xfId="0" applyFont="1" applyBorder="1" applyAlignment="1">
      <alignment vertical="center" wrapText="1"/>
    </xf>
    <xf fontId="33" fillId="0" borderId="0" numFmtId="0" xfId="0" applyFont="1"/>
    <xf fontId="32" fillId="0" borderId="0" numFmtId="49" xfId="0" applyNumberFormat="1" applyFont="1" applyAlignment="1">
      <alignment vertical="top" wrapText="1"/>
    </xf>
    <xf fontId="40" fillId="0" borderId="0" numFmtId="0" xfId="0" applyFont="1" applyAlignment="1">
      <alignment horizontal="left" vertical="center" wrapText="1"/>
    </xf>
    <xf fontId="41" fillId="0" borderId="0" numFmtId="0" xfId="0" applyFont="1" applyAlignment="1">
      <alignment horizontal="left" vertical="center" wrapText="1"/>
    </xf>
    <xf fontId="42" fillId="0" borderId="0" numFmtId="0" xfId="0" applyFont="1" applyAlignment="1">
      <alignment vertical="center" wrapText="1"/>
    </xf>
    <xf fontId="22" fillId="0" borderId="0" numFmtId="0" xfId="0" applyFont="1" applyAlignment="1">
      <alignment vertical="center" wrapText="1"/>
    </xf>
    <xf fontId="22" fillId="0" borderId="0" numFmtId="0" xfId="0" applyFont="1" applyAlignment="1">
      <alignment horizontal="center" vertical="center" wrapText="1"/>
    </xf>
    <xf fontId="41" fillId="0" borderId="0" numFmtId="0" xfId="0" applyFont="1" applyAlignment="1">
      <alignment horizontal="center" vertical="center" wrapText="1"/>
    </xf>
    <xf fontId="43" fillId="0" borderId="0" numFmtId="0" xfId="0" applyFont="1" applyAlignment="1">
      <alignment vertical="center" wrapText="1"/>
    </xf>
    <xf fontId="44" fillId="0" borderId="0" numFmtId="0" xfId="0" applyFont="1" applyAlignment="1">
      <alignment vertical="center" wrapText="1"/>
    </xf>
    <xf fontId="44" fillId="0" borderId="0" numFmtId="0" xfId="0" applyFont="1" applyAlignment="1">
      <alignment horizontal="left" vertical="center" wrapText="1"/>
    </xf>
    <xf fontId="41" fillId="0" borderId="0" numFmtId="0" xfId="0" applyFont="1" applyAlignment="1">
      <alignment vertical="center" wrapText="1"/>
    </xf>
    <xf fontId="45" fillId="0" borderId="0" numFmtId="0" xfId="0" applyFont="1" applyAlignment="1">
      <alignment vertical="center" wrapText="1"/>
    </xf>
    <xf fontId="22" fillId="0" borderId="0" numFmtId="0" xfId="0" applyFont="1" applyAlignment="1">
      <alignment horizontal="left" indent="1" vertical="top"/>
    </xf>
    <xf fontId="32" fillId="0" borderId="0" numFmtId="49" xfId="0" applyNumberFormat="1" applyFont="1" applyAlignment="1">
      <alignment vertical="top"/>
    </xf>
    <xf fontId="22" fillId="0" borderId="0" numFmtId="49" xfId="0" applyNumberFormat="1" applyFont="1" applyAlignment="1">
      <alignment vertical="center" wrapText="1"/>
    </xf>
    <xf fontId="43" fillId="0" borderId="0" numFmtId="49" xfId="0" applyNumberFormat="1" applyFont="1" applyAlignment="1">
      <alignment vertical="center" wrapText="1"/>
    </xf>
    <xf fontId="0" fillId="0" borderId="0" numFmtId="0" xfId="0" applyAlignment="1">
      <alignment horizontal="left" indent="1" vertical="center"/>
    </xf>
    <xf fontId="0" fillId="0" borderId="0" numFmtId="49" xfId="0" applyNumberFormat="1" applyAlignment="1">
      <alignment vertical="top"/>
    </xf>
    <xf fontId="43" fillId="0" borderId="0" numFmtId="49" xfId="0" applyNumberFormat="1" applyFont="1" applyAlignment="1">
      <alignment vertical="top"/>
    </xf>
    <xf fontId="46" fillId="0" borderId="0" numFmtId="0" xfId="0" applyFont="1" applyAlignment="1">
      <alignment vertical="center" wrapText="1"/>
    </xf>
    <xf fontId="47" fillId="0" borderId="0" numFmtId="0" xfId="0" applyFont="1" applyAlignment="1">
      <alignment horizontal="left" vertical="center" wrapText="1"/>
    </xf>
    <xf fontId="48" fillId="0" borderId="0" numFmtId="0" xfId="0" applyFont="1" applyAlignment="1">
      <alignment vertical="center" wrapText="1"/>
    </xf>
    <xf fontId="46" fillId="40" borderId="0" numFmtId="0" xfId="0" applyFont="1" applyFill="1" applyAlignment="1">
      <alignment vertical="center" wrapText="1"/>
    </xf>
    <xf fontId="46" fillId="0" borderId="0" numFmtId="0" xfId="0" applyFont="1" applyAlignment="1">
      <alignment horizontal="right" vertical="center"/>
    </xf>
    <xf fontId="49" fillId="0" borderId="0" numFmtId="0" xfId="0" applyFont="1" applyAlignment="1">
      <alignment vertical="center" wrapText="1"/>
    </xf>
    <xf fontId="50" fillId="40" borderId="0" numFmtId="0" xfId="0" applyFont="1" applyFill="1" applyAlignment="1">
      <alignment vertical="center" wrapText="1"/>
    </xf>
    <xf fontId="22" fillId="0" borderId="20" numFmtId="0" xfId="0" applyFont="1" applyBorder="1" applyAlignment="1">
      <alignment horizontal="center" vertical="center" wrapText="1"/>
    </xf>
    <xf fontId="22" fillId="0" borderId="21" numFmtId="0" xfId="0" applyFont="1" applyBorder="1" applyAlignment="1">
      <alignment horizontal="center" vertical="center" wrapText="1"/>
    </xf>
    <xf fontId="51" fillId="40" borderId="0" numFmtId="0" xfId="0" applyFont="1" applyFill="1" applyAlignment="1">
      <alignment vertical="center" wrapText="1"/>
    </xf>
    <xf fontId="52" fillId="0" borderId="0" numFmtId="0" xfId="0" applyFont="1" applyAlignment="1">
      <alignment vertical="center" wrapText="1"/>
    </xf>
    <xf fontId="46" fillId="40" borderId="0" numFmtId="0" xfId="0" applyFont="1" applyFill="1" applyAlignment="1">
      <alignment horizontal="right" indent="1" vertical="center" wrapText="1"/>
    </xf>
    <xf fontId="53" fillId="40" borderId="0" numFmtId="0" xfId="0" applyFont="1" applyFill="1" applyAlignment="1">
      <alignment horizontal="center" vertical="center" wrapText="1"/>
    </xf>
    <xf fontId="22" fillId="40" borderId="22" numFmtId="0" xfId="0" applyFont="1" applyFill="1" applyBorder="1" applyAlignment="1">
      <alignment horizontal="right" indent="1" vertical="center" wrapText="1"/>
    </xf>
    <xf fontId="0" fillId="38" borderId="23" numFmtId="0" xfId="0" applyFill="1" applyBorder="1" applyAlignment="1">
      <alignment horizontal="left" indent="1" vertical="center" wrapText="1"/>
    </xf>
    <xf fontId="40" fillId="40" borderId="0" numFmtId="14" xfId="0" applyNumberFormat="1" applyFont="1" applyFill="1" applyAlignment="1">
      <alignment horizontal="left" vertical="center" wrapText="1"/>
    </xf>
    <xf fontId="47" fillId="40" borderId="0" numFmtId="0" xfId="0" applyFont="1" applyFill="1" applyAlignment="1">
      <alignment horizontal="center" vertical="center" wrapText="1"/>
    </xf>
    <xf fontId="46" fillId="40" borderId="0" numFmtId="0" xfId="0" applyFont="1" applyFill="1" applyAlignment="1">
      <alignment horizontal="left" indent="1" vertical="center" wrapText="1"/>
    </xf>
    <xf fontId="22" fillId="40" borderId="0" numFmtId="0" xfId="0" applyFont="1" applyFill="1" applyAlignment="1">
      <alignment horizontal="center" vertical="center" wrapText="1"/>
    </xf>
    <xf fontId="49" fillId="0" borderId="0" numFmtId="0" xfId="0" applyFont="1" applyAlignment="1">
      <alignment horizontal="center" vertical="center" wrapText="1"/>
    </xf>
    <xf fontId="22" fillId="39" borderId="23" numFmtId="0" xfId="0" applyFont="1" applyFill="1" applyBorder="1" applyAlignment="1">
      <alignment horizontal="left" indent="1" vertical="top" wrapText="1"/>
      <protection locked="0"/>
    </xf>
    <xf fontId="22" fillId="0" borderId="0" numFmtId="0" xfId="0" applyFont="1" applyAlignment="1">
      <alignment horizontal="left" vertical="center" wrapText="1"/>
    </xf>
    <xf fontId="22" fillId="41" borderId="23" numFmtId="49" xfId="0" applyNumberFormat="1" applyFont="1" applyFill="1" applyBorder="1" applyAlignment="1">
      <alignment horizontal="left" indent="1" vertical="center" wrapText="1"/>
    </xf>
    <xf fontId="54" fillId="0" borderId="23" numFmtId="14" xfId="0" applyNumberFormat="1" applyFont="1" applyBorder="1" applyAlignment="1">
      <alignment horizontal="center" vertical="center" wrapText="1"/>
    </xf>
    <xf fontId="0" fillId="39" borderId="23" numFmtId="168" xfId="0" applyNumberFormat="1" applyFill="1" applyBorder="1" applyAlignment="1">
      <alignment horizontal="left" indent="1" vertical="center" wrapText="1"/>
      <protection locked="0"/>
    </xf>
    <xf fontId="55" fillId="0" borderId="0" numFmtId="0" xfId="0" applyFont="1" applyAlignment="1">
      <alignment horizontal="left" indent="1" vertical="center"/>
    </xf>
    <xf fontId="22" fillId="40" borderId="0" numFmtId="0" xfId="0" applyFont="1" applyFill="1" applyAlignment="1">
      <alignment vertical="center" wrapText="1"/>
    </xf>
    <xf fontId="54" fillId="0" borderId="23" numFmtId="14" xfId="0" applyNumberFormat="1" applyFont="1" applyBorder="1" applyAlignment="1">
      <alignment horizontal="left" vertical="center" wrapText="1"/>
    </xf>
    <xf fontId="22" fillId="40" borderId="22" numFmtId="49" xfId="0" applyNumberFormat="1" applyFont="1" applyFill="1" applyBorder="1" applyAlignment="1">
      <alignment horizontal="right" indent="1" vertical="center" wrapText="1"/>
    </xf>
    <xf fontId="0" fillId="39" borderId="23" numFmtId="0" xfId="0" applyFill="1" applyBorder="1" applyAlignment="1">
      <alignment horizontal="left" indent="1" vertical="center" wrapText="1"/>
      <protection locked="0"/>
    </xf>
    <xf fontId="22" fillId="39" borderId="23" numFmtId="49" xfId="0" applyNumberFormat="1" applyFont="1" applyFill="1" applyBorder="1" applyAlignment="1">
      <alignment horizontal="left" indent="1" vertical="center" wrapText="1"/>
      <protection locked="0"/>
    </xf>
    <xf fontId="0" fillId="40" borderId="0" numFmtId="0" xfId="0" applyFill="1" applyAlignment="1">
      <alignment horizontal="right" indent="1" vertical="center" wrapText="1"/>
    </xf>
    <xf fontId="52" fillId="0" borderId="0" numFmtId="0" xfId="0" applyFont="1" applyAlignment="1">
      <alignment horizontal="left" vertical="center" wrapText="1"/>
    </xf>
    <xf fontId="22" fillId="40" borderId="0" numFmtId="0" xfId="0" applyFont="1" applyFill="1" applyAlignment="1">
      <alignment horizontal="right" indent="1" vertical="center" wrapText="1"/>
    </xf>
    <xf fontId="0" fillId="40" borderId="0" numFmtId="0" xfId="0" applyFill="1" applyAlignment="1">
      <alignment horizontal="left" indent="1" vertical="center" wrapText="1"/>
    </xf>
    <xf fontId="22" fillId="0" borderId="23" numFmtId="49" xfId="0" applyNumberFormat="1" applyFont="1" applyBorder="1" applyAlignment="1">
      <alignment horizontal="left" indent="1" vertical="center" wrapText="1"/>
    </xf>
    <xf fontId="42" fillId="0" borderId="0" numFmtId="0" xfId="0" applyFont="1" applyAlignment="1">
      <alignment horizontal="center" vertical="center" wrapText="1"/>
    </xf>
    <xf fontId="56" fillId="40" borderId="0" numFmtId="0" xfId="0" applyFont="1" applyFill="1" applyAlignment="1">
      <alignment horizontal="center" vertical="center" wrapText="1"/>
    </xf>
    <xf fontId="22" fillId="38" borderId="23" numFmtId="49" xfId="0" applyNumberFormat="1" applyFont="1" applyFill="1" applyBorder="1" applyAlignment="1">
      <alignment horizontal="left" indent="1" vertical="center" wrapText="1"/>
    </xf>
    <xf fontId="22" fillId="40" borderId="0" numFmtId="14" xfId="0" applyNumberFormat="1" applyFont="1" applyFill="1" applyAlignment="1">
      <alignment horizontal="center" vertical="center" wrapText="1"/>
    </xf>
    <xf fontId="0" fillId="40" borderId="22" numFmtId="0" xfId="0" applyFill="1" applyBorder="1" applyAlignment="1">
      <alignment horizontal="right" indent="1" vertical="center" wrapText="1"/>
    </xf>
    <xf fontId="22" fillId="0" borderId="0" numFmtId="0" xfId="0" applyFont="1" applyAlignment="1">
      <alignment vertical="center"/>
    </xf>
    <xf fontId="22" fillId="40" borderId="0" numFmtId="14" xfId="0" applyNumberFormat="1" applyFont="1" applyFill="1" applyAlignment="1">
      <alignment horizontal="left" vertical="center" wrapText="1"/>
    </xf>
    <xf fontId="22" fillId="39" borderId="23" numFmtId="0" xfId="0" applyFont="1" applyFill="1" applyBorder="1" applyAlignment="1">
      <alignment horizontal="left" indent="1" vertical="center" wrapText="1"/>
      <protection locked="0"/>
    </xf>
    <xf fontId="57" fillId="40" borderId="0" numFmtId="0" xfId="0" applyFont="1" applyFill="1" applyAlignment="1">
      <alignment horizontal="right" indent="1" vertical="center" wrapText="1"/>
    </xf>
    <xf fontId="57" fillId="40" borderId="0" numFmtId="0" xfId="0" applyFont="1" applyFill="1" applyAlignment="1">
      <alignment horizontal="left" indent="1" vertical="center" wrapText="1"/>
    </xf>
    <xf fontId="58" fillId="0" borderId="23" numFmtId="49" xfId="0" applyNumberFormat="1" applyFont="1" applyBorder="1" applyAlignment="1">
      <alignment horizontal="left" indent="1" vertical="center" wrapText="1"/>
    </xf>
    <xf fontId="59" fillId="0" borderId="0" numFmtId="14" xfId="0" applyNumberFormat="1" applyFont="1" applyAlignment="1">
      <alignment horizontal="center" vertical="center" wrapText="1"/>
    </xf>
    <xf fontId="43" fillId="0" borderId="0" numFmtId="0" xfId="0" applyFont="1" applyAlignment="1">
      <alignment horizontal="center" vertical="center" wrapText="1"/>
    </xf>
    <xf fontId="60" fillId="0" borderId="0" numFmtId="0" xfId="0" applyFont="1" applyAlignment="1">
      <alignment vertical="center" wrapText="1"/>
    </xf>
    <xf fontId="22" fillId="41" borderId="23" numFmtId="0" xfId="0" applyFont="1" applyFill="1" applyBorder="1" applyAlignment="1">
      <alignment horizontal="left" indent="1" vertical="center" wrapText="1"/>
    </xf>
    <xf fontId="0" fillId="0" borderId="24" numFmtId="168" xfId="0" applyNumberFormat="1" applyBorder="1" applyAlignment="1">
      <alignment horizontal="left" indent="1" vertical="center" wrapText="1"/>
    </xf>
    <xf fontId="41" fillId="0" borderId="0" numFmtId="49" xfId="0" applyNumberFormat="1" applyFont="1" applyAlignment="1">
      <alignment horizontal="left" vertical="center" wrapText="1"/>
    </xf>
    <xf fontId="50" fillId="40" borderId="0" numFmtId="49" xfId="0" applyNumberFormat="1" applyFont="1" applyFill="1" applyAlignment="1">
      <alignment horizontal="center" vertical="center" wrapText="1"/>
    </xf>
    <xf fontId="22" fillId="0" borderId="0" numFmtId="0" xfId="0" applyFont="1" applyAlignment="1">
      <alignment horizontal="left" indent="4" vertical="center" wrapText="1"/>
    </xf>
    <xf fontId="22" fillId="0" borderId="0" numFmtId="0" xfId="0" applyFont="1" applyAlignment="1">
      <alignment horizontal="left" indent="1" vertical="center" wrapText="1"/>
    </xf>
    <xf fontId="27" fillId="39" borderId="23" numFmtId="49" xfId="0" applyNumberFormat="1" applyFont="1" applyFill="1" applyBorder="1" applyAlignment="1">
      <alignment horizontal="left" indent="1" vertical="center" wrapText="1"/>
      <protection locked="0"/>
    </xf>
    <xf fontId="0" fillId="0" borderId="0" numFmtId="0" xfId="0" applyAlignment="1">
      <alignment horizontal="center" vertical="center" wrapText="1"/>
    </xf>
    <xf fontId="22" fillId="40" borderId="0" numFmtId="49" xfId="0" applyNumberFormat="1" applyFont="1" applyFill="1" applyAlignment="1">
      <alignment horizontal="right" indent="1" vertical="center" wrapText="1"/>
    </xf>
    <xf fontId="43" fillId="0" borderId="0" numFmtId="49" xfId="0" applyNumberFormat="1" applyFont="1" applyAlignment="1">
      <alignment horizontal="center" vertical="center" wrapText="1"/>
    </xf>
    <xf fontId="22" fillId="0" borderId="0" numFmtId="49" xfId="0" applyNumberFormat="1" applyFont="1" applyAlignment="1">
      <alignment horizontal="center" vertical="center" wrapText="1"/>
    </xf>
    <xf fontId="0" fillId="40" borderId="0" numFmtId="49" xfId="0" applyNumberFormat="1" applyFill="1" applyAlignment="1">
      <alignment horizontal="right" indent="1" vertical="center" wrapText="1"/>
    </xf>
    <xf fontId="51" fillId="0" borderId="0" numFmtId="0" xfId="0" applyFont="1" applyAlignment="1">
      <alignment vertical="top" wrapText="1"/>
    </xf>
    <xf fontId="61" fillId="0" borderId="0" numFmtId="0" xfId="0" applyFont="1" applyAlignment="1">
      <alignment horizontal="center" vertical="center" wrapText="1"/>
    </xf>
    <xf fontId="45" fillId="0" borderId="0" numFmtId="0" xfId="0" applyFont="1" applyAlignment="1">
      <alignment vertical="center"/>
    </xf>
    <xf fontId="62" fillId="0" borderId="0" numFmtId="0" xfId="0" applyFont="1" applyAlignment="1">
      <alignment vertical="center"/>
    </xf>
    <xf fontId="63" fillId="0" borderId="0" numFmtId="0" xfId="0" applyFont="1" applyAlignment="1">
      <alignment vertical="center" wrapText="1"/>
    </xf>
    <xf fontId="45" fillId="0" borderId="0" numFmtId="0" xfId="0" applyFont="1" applyAlignment="1">
      <alignment horizontal="center" vertical="center" wrapText="1"/>
    </xf>
    <xf fontId="45" fillId="0" borderId="0" numFmtId="0" xfId="0" applyFont="1" applyAlignment="1">
      <alignment horizontal="left" indent="1" vertical="center"/>
    </xf>
    <xf fontId="45" fillId="0" borderId="0" numFmtId="0" xfId="0" applyFont="1" applyAlignment="1">
      <alignment horizontal="left" indent="1" vertical="center" wrapText="1"/>
    </xf>
    <xf fontId="64" fillId="0" borderId="0" numFmtId="0" xfId="0" applyFont="1" applyAlignment="1">
      <alignment vertical="center" wrapText="1"/>
    </xf>
    <xf fontId="43" fillId="0" borderId="0" numFmtId="0" xfId="0" applyFont="1" applyAlignment="1">
      <alignment horizontal="left" indent="1" vertical="center" wrapText="1"/>
    </xf>
    <xf fontId="64" fillId="0" borderId="0" numFmtId="0" xfId="0" applyFont="1" applyAlignment="1">
      <alignment horizontal="left" indent="1" vertical="center" wrapText="1"/>
    </xf>
    <xf fontId="65" fillId="0" borderId="0" numFmtId="0" xfId="0" applyFont="1" applyAlignment="1">
      <alignment horizontal="left" indent="1" vertical="center"/>
    </xf>
    <xf fontId="66" fillId="0" borderId="0" numFmtId="0" xfId="0" applyFont="1" applyAlignment="1">
      <alignment vertical="center" wrapText="1"/>
    </xf>
    <xf fontId="22" fillId="0" borderId="0" numFmtId="0" xfId="0" applyFont="1" applyAlignment="1">
      <alignment horizontal="right" vertical="center" wrapText="1"/>
    </xf>
    <xf fontId="22" fillId="0" borderId="25" numFmtId="0" xfId="0" applyFont="1" applyBorder="1" applyAlignment="1">
      <alignment horizontal="left" indent="1" vertical="center" wrapText="1"/>
    </xf>
    <xf fontId="22" fillId="0" borderId="0" numFmtId="4" xfId="0" applyNumberFormat="1" applyFont="1" applyAlignment="1">
      <alignment horizontal="right" vertical="center" wrapText="1"/>
    </xf>
    <xf fontId="22" fillId="0" borderId="0" numFmtId="49" xfId="0" applyNumberFormat="1" applyFont="1" applyAlignment="1">
      <alignment vertical="top"/>
    </xf>
    <xf fontId="22" fillId="0" borderId="0" numFmtId="4" xfId="0" applyNumberFormat="1" applyFont="1" applyAlignment="1">
      <alignment horizontal="center" vertical="center" wrapText="1"/>
    </xf>
    <xf fontId="22" fillId="0" borderId="25" numFmtId="0" xfId="0" applyFont="1" applyBorder="1" applyAlignment="1">
      <alignment horizontal="center" vertical="center" wrapText="1"/>
    </xf>
    <xf fontId="22" fillId="0" borderId="23" numFmtId="4" xfId="0" applyNumberFormat="1" applyFont="1" applyBorder="1" applyAlignment="1">
      <alignment horizontal="center" vertical="center" wrapText="1"/>
    </xf>
    <xf fontId="22" fillId="0" borderId="21" numFmtId="169" xfId="0" applyNumberFormat="1" applyFont="1" applyBorder="1" applyAlignment="1">
      <alignment horizontal="center" vertical="center" wrapText="1"/>
    </xf>
    <xf fontId="22" fillId="0" borderId="23" numFmtId="169" xfId="0" applyNumberFormat="1" applyFont="1" applyBorder="1" applyAlignment="1">
      <alignment horizontal="center" vertical="center" wrapText="1"/>
    </xf>
    <xf fontId="67" fillId="0" borderId="0" numFmtId="0" xfId="0" applyFont="1" applyAlignment="1">
      <alignment horizontal="center" vertical="center" wrapText="1"/>
    </xf>
    <xf fontId="67" fillId="0" borderId="25" numFmtId="49" xfId="0" applyNumberFormat="1" applyFont="1" applyBorder="1" applyAlignment="1">
      <alignment horizontal="center" vertical="center" wrapText="1"/>
    </xf>
    <xf fontId="43" fillId="0" borderId="0" numFmtId="0" xfId="0" applyFont="1" applyAlignment="1">
      <alignment vertical="center"/>
    </xf>
    <xf fontId="68" fillId="0" borderId="0" numFmtId="0" xfId="0" applyFont="1" applyAlignment="1">
      <alignment vertical="center"/>
    </xf>
    <xf fontId="22" fillId="42" borderId="26" numFmtId="49" xfId="0" applyNumberFormat="1" applyFont="1" applyFill="1" applyBorder="1" applyAlignment="1">
      <alignment horizontal="center" vertical="center" wrapText="1"/>
    </xf>
    <xf fontId="43" fillId="42" borderId="26" numFmtId="49" xfId="0" applyNumberFormat="1" applyFont="1" applyFill="1" applyBorder="1" applyAlignment="1">
      <alignment horizontal="left" vertical="center" wrapText="1"/>
    </xf>
    <xf fontId="43" fillId="42" borderId="27" numFmtId="49" xfId="0" applyNumberFormat="1" applyFont="1" applyFill="1" applyBorder="1" applyAlignment="1">
      <alignment horizontal="left" vertical="center" wrapText="1"/>
    </xf>
    <xf fontId="45" fillId="0" borderId="28" numFmtId="0" xfId="0" applyFont="1" applyBorder="1" applyAlignment="1">
      <alignment vertical="center"/>
    </xf>
    <xf fontId="22" fillId="0" borderId="23" numFmtId="0" xfId="0" applyFont="1" applyBorder="1" applyAlignment="1">
      <alignment horizontal="center" vertical="center" wrapText="1"/>
    </xf>
    <xf fontId="45" fillId="0" borderId="23" numFmtId="0" xfId="0" applyFont="1" applyBorder="1" applyAlignment="1">
      <alignment horizontal="center" vertical="center" wrapText="1"/>
    </xf>
    <xf fontId="22" fillId="39" borderId="23" numFmtId="49" xfId="0" applyNumberFormat="1" applyFont="1" applyFill="1" applyBorder="1" applyAlignment="1">
      <alignment vertical="center" wrapText="1"/>
      <protection locked="0"/>
    </xf>
    <xf fontId="43" fillId="0" borderId="23" numFmtId="49" xfId="0" applyNumberFormat="1" applyFont="1" applyBorder="1" applyAlignment="1">
      <alignment horizontal="left" vertical="center" wrapText="1"/>
    </xf>
    <xf fontId="67" fillId="0" borderId="29" numFmtId="0" xfId="0" applyFont="1" applyBorder="1" applyAlignment="1">
      <alignment vertical="top" wrapText="1"/>
    </xf>
    <xf fontId="22" fillId="0" borderId="30" numFmtId="0" xfId="0" applyFont="1" applyBorder="1" applyAlignment="1">
      <alignment horizontal="center" vertical="center" wrapText="1"/>
    </xf>
    <xf fontId="45" fillId="0" borderId="30" numFmtId="0" xfId="0" applyFont="1" applyBorder="1" applyAlignment="1">
      <alignment horizontal="center" vertical="center" wrapText="1"/>
    </xf>
    <xf fontId="22" fillId="41" borderId="30" numFmtId="14" xfId="0" applyNumberFormat="1" applyFont="1" applyFill="1" applyBorder="1" applyAlignment="1">
      <alignment horizontal="left" indent="1" vertical="center" wrapText="1"/>
    </xf>
    <xf fontId="22" fillId="38" borderId="30" numFmtId="49" xfId="0" applyNumberFormat="1" applyFont="1" applyFill="1" applyBorder="1" applyAlignment="1">
      <alignment horizontal="center" vertical="center" wrapText="1"/>
    </xf>
    <xf fontId="69" fillId="0" borderId="0" numFmtId="0" xfId="0" applyFont="1" applyAlignment="1">
      <alignment vertical="center" wrapText="1"/>
    </xf>
    <xf fontId="45" fillId="0" borderId="0" numFmtId="49" xfId="0" applyNumberFormat="1" applyFont="1" applyAlignment="1">
      <alignment vertical="top"/>
    </xf>
    <xf fontId="0" fillId="0" borderId="0" numFmtId="0" xfId="0" applyAlignment="1">
      <alignment vertical="center" wrapText="1"/>
    </xf>
    <xf fontId="67" fillId="0" borderId="0" numFmtId="0" xfId="0" applyFont="1" applyAlignment="1">
      <alignment vertical="top" wrapText="1"/>
    </xf>
    <xf fontId="51" fillId="42" borderId="21" numFmtId="49" xfId="0" applyNumberFormat="1" applyFont="1" applyFill="1" applyBorder="1" applyAlignment="1">
      <alignment horizontal="right" vertical="center" wrapText="1"/>
    </xf>
    <xf fontId="51" fillId="42" borderId="25" numFmtId="49" xfId="0" applyNumberFormat="1" applyFont="1" applyFill="1" applyBorder="1" applyAlignment="1">
      <alignment horizontal="right" vertical="center" wrapText="1"/>
    </xf>
    <xf fontId="70" fillId="42" borderId="25" numFmtId="49" xfId="0" applyNumberFormat="1" applyFont="1" applyFill="1" applyBorder="1" applyAlignment="1">
      <alignment horizontal="left" indent="1" vertical="center"/>
    </xf>
    <xf fontId="0" fillId="42" borderId="25" numFmtId="49" xfId="0" applyNumberFormat="1" applyFill="1" applyBorder="1" applyAlignment="1">
      <alignment horizontal="right" vertical="center" wrapText="1"/>
    </xf>
    <xf fontId="0" fillId="42" borderId="20" numFmtId="49" xfId="0" applyNumberFormat="1" applyFill="1" applyBorder="1" applyAlignment="1">
      <alignment horizontal="right" vertical="center" wrapText="1"/>
    </xf>
    <xf fontId="22" fillId="42" borderId="21" numFmtId="49" xfId="0" applyNumberFormat="1" applyFont="1" applyFill="1" applyBorder="1" applyAlignment="1">
      <alignment horizontal="right" vertical="center" wrapText="1"/>
    </xf>
    <xf fontId="22" fillId="42" borderId="25" numFmtId="49" xfId="0" applyNumberFormat="1" applyFont="1" applyFill="1" applyBorder="1" applyAlignment="1">
      <alignment horizontal="right" vertical="center" wrapText="1"/>
    </xf>
    <xf fontId="70" fillId="42" borderId="25" numFmtId="49" xfId="0" applyNumberFormat="1" applyFont="1" applyFill="1" applyBorder="1" applyAlignment="1">
      <alignment horizontal="left" vertical="center"/>
    </xf>
    <xf fontId="22" fillId="42" borderId="20" numFmtId="49" xfId="0" applyNumberFormat="1" applyFont="1" applyFill="1" applyBorder="1" applyAlignment="1">
      <alignment horizontal="right" vertical="center" wrapText="1"/>
    </xf>
    <xf fontId="22" fillId="0" borderId="31" numFmtId="0" xfId="0" applyFont="1" applyBorder="1" applyAlignment="1">
      <alignment vertical="center" wrapText="1"/>
    </xf>
    <xf fontId="71" fillId="0" borderId="0" numFmtId="0" xfId="0" applyFont="1" applyAlignment="1">
      <alignment vertical="center" wrapText="1"/>
    </xf>
    <xf fontId="72" fillId="0" borderId="0" numFmtId="0" xfId="0" applyFont="1" applyAlignment="1">
      <alignment vertical="center" wrapText="1"/>
    </xf>
    <xf fontId="73" fillId="0" borderId="0" numFmtId="0" xfId="0" applyFont="1" applyAlignment="1">
      <alignment horizontal="center" vertical="center" wrapText="1"/>
    </xf>
    <xf fontId="0" fillId="0" borderId="0" numFmtId="49" xfId="75" applyNumberFormat="1" applyAlignment="1">
      <alignment vertical="top"/>
    </xf>
    <xf fontId="0" fillId="0" borderId="0" numFmtId="0" xfId="0" applyAlignment="1">
      <alignment vertical="center"/>
    </xf>
    <xf fontId="22" fillId="0" borderId="27" numFmtId="0" xfId="0" applyFont="1" applyBorder="1" applyAlignment="1">
      <alignment horizontal="left" indent="1" vertical="center" wrapText="1"/>
    </xf>
    <xf fontId="22" fillId="0" borderId="32" numFmtId="0" xfId="0" applyFont="1" applyBorder="1" applyAlignment="1">
      <alignment horizontal="left" indent="1" vertical="center" wrapText="1"/>
    </xf>
    <xf fontId="22" fillId="0" borderId="33" numFmtId="0" xfId="0" applyFont="1" applyBorder="1" applyAlignment="1">
      <alignment horizontal="left" indent="1" vertical="center" wrapText="1"/>
    </xf>
    <xf fontId="74" fillId="0" borderId="0" numFmtId="0" xfId="0" applyFont="1" applyAlignment="1">
      <alignment vertical="center"/>
    </xf>
    <xf fontId="22" fillId="0" borderId="34" numFmtId="0" xfId="0" applyFont="1" applyBorder="1" applyAlignment="1">
      <alignment horizontal="left" indent="1" vertical="center"/>
    </xf>
    <xf fontId="22" fillId="0" borderId="30" numFmtId="0" xfId="0" applyFont="1" applyBorder="1" applyAlignment="1">
      <alignment horizontal="left" indent="1" vertical="center"/>
    </xf>
    <xf fontId="22" fillId="0" borderId="35" numFmtId="0" xfId="0" applyFont="1" applyBorder="1" applyAlignment="1">
      <alignment horizontal="left" indent="1" vertical="center"/>
    </xf>
    <xf fontId="75" fillId="0" borderId="0" numFmtId="0" xfId="0" applyFont="1" applyAlignment="1">
      <alignment vertical="center"/>
    </xf>
    <xf fontId="76" fillId="0" borderId="0" numFmtId="0" xfId="0" applyFont="1" applyAlignment="1">
      <alignment vertical="center"/>
    </xf>
    <xf fontId="77" fillId="0" borderId="0" numFmtId="0" xfId="0" applyFont="1" applyAlignment="1">
      <alignment vertical="center"/>
    </xf>
    <xf fontId="0" fillId="0" borderId="0" numFmtId="0" xfId="0" applyAlignment="1">
      <alignment horizontal="left" indent="2" vertical="center" wrapText="1"/>
    </xf>
    <xf fontId="0" fillId="0" borderId="0" numFmtId="0" xfId="0" applyAlignment="1">
      <alignment horizontal="left" indent="2" vertical="center"/>
    </xf>
    <xf fontId="6" fillId="0" borderId="0" numFmtId="0" xfId="0" applyFont="1" applyAlignment="1">
      <alignment vertical="center"/>
    </xf>
    <xf fontId="22" fillId="43" borderId="0" numFmtId="0" xfId="0" applyFont="1" applyFill="1" applyAlignment="1">
      <alignment horizontal="center" vertical="center" wrapText="1"/>
    </xf>
    <xf fontId="78" fillId="0" borderId="33" numFmtId="0" xfId="0" applyFont="1" applyBorder="1" applyAlignment="1">
      <alignment horizontal="center" vertical="center" wrapText="1"/>
    </xf>
    <xf fontId="78" fillId="0" borderId="26" numFmtId="0" xfId="0" applyFont="1" applyBorder="1" applyAlignment="1">
      <alignment horizontal="center" vertical="center" wrapText="1"/>
    </xf>
    <xf fontId="78" fillId="0" borderId="23" numFmtId="0" xfId="0" applyFont="1" applyBorder="1" applyAlignment="1">
      <alignment horizontal="center" vertical="center" wrapText="1"/>
    </xf>
    <xf fontId="79" fillId="0" borderId="0" numFmtId="0" xfId="0" applyFont="1" applyAlignment="1">
      <alignment horizontal="center" vertical="center" wrapText="1"/>
    </xf>
    <xf fontId="22" fillId="0" borderId="36" numFmtId="0" xfId="0" applyFont="1" applyBorder="1" applyAlignment="1">
      <alignment horizontal="center" vertical="center" wrapText="1"/>
    </xf>
    <xf fontId="22" fillId="0" borderId="37" numFmtId="0" xfId="0" applyFont="1" applyBorder="1" applyAlignment="1">
      <alignment horizontal="center" vertical="center" wrapText="1"/>
    </xf>
    <xf fontId="43" fillId="0" borderId="28" numFmtId="0" xfId="0" applyFont="1" applyBorder="1" applyAlignment="1">
      <alignment vertical="center"/>
    </xf>
    <xf fontId="67" fillId="0" borderId="0" numFmtId="49" xfId="0" applyNumberFormat="1" applyFont="1" applyAlignment="1">
      <alignment horizontal="center" vertical="center" wrapText="1"/>
    </xf>
    <xf fontId="67" fillId="0" borderId="23" numFmtId="49" xfId="0" applyNumberFormat="1" applyFont="1" applyBorder="1" applyAlignment="1">
      <alignment horizontal="center" vertical="center" wrapText="1"/>
    </xf>
    <xf fontId="67" fillId="0" borderId="38" numFmtId="49" xfId="0" applyNumberFormat="1" applyFont="1" applyBorder="1" applyAlignment="1">
      <alignment horizontal="center" vertical="center" wrapText="1"/>
    </xf>
    <xf fontId="67" fillId="0" borderId="39" numFmtId="49" xfId="0" applyNumberFormat="1" applyFont="1" applyBorder="1" applyAlignment="1">
      <alignment horizontal="center" vertical="center" wrapText="1"/>
    </xf>
    <xf fontId="67" fillId="0" borderId="21" numFmtId="49" xfId="0" applyNumberFormat="1" applyFont="1" applyBorder="1" applyAlignment="1">
      <alignment horizontal="center" vertical="center" wrapText="1"/>
    </xf>
    <xf fontId="67" fillId="0" borderId="20" numFmtId="49" xfId="0" applyNumberFormat="1" applyFont="1" applyBorder="1" applyAlignment="1">
      <alignment horizontal="center" vertical="center" wrapText="1"/>
    </xf>
    <xf fontId="45" fillId="0" borderId="0" numFmtId="0" xfId="0" applyFont="1" applyAlignment="1">
      <alignment horizontal="center" vertical="center"/>
    </xf>
    <xf fontId="22" fillId="42" borderId="21" numFmtId="0" xfId="0" applyFont="1" applyFill="1" applyBorder="1" applyAlignment="1">
      <alignment horizontal="center" vertical="center" wrapText="1"/>
    </xf>
    <xf fontId="22" fillId="42" borderId="25" numFmtId="49" xfId="0" applyNumberFormat="1" applyFont="1" applyFill="1" applyBorder="1" applyAlignment="1">
      <alignment horizontal="center" vertical="center" wrapText="1"/>
    </xf>
    <xf fontId="22" fillId="42" borderId="40" numFmtId="49" xfId="0" applyNumberFormat="1" applyFont="1" applyFill="1" applyBorder="1" applyAlignment="1">
      <alignment horizontal="center" vertical="center" wrapText="1"/>
    </xf>
    <xf fontId="0" fillId="42" borderId="25" numFmtId="49" xfId="0" applyNumberFormat="1" applyFill="1" applyBorder="1" applyAlignment="1">
      <alignment horizontal="left" vertical="center"/>
    </xf>
    <xf fontId="0" fillId="42" borderId="20" numFmtId="0" xfId="0" applyFill="1" applyBorder="1" applyAlignment="1">
      <alignment vertical="center"/>
    </xf>
    <xf fontId="22" fillId="0" borderId="23" numFmtId="49" xfId="0" applyNumberFormat="1" applyFont="1" applyBorder="1" applyAlignment="1">
      <alignment horizontal="center" vertical="center" wrapText="1"/>
    </xf>
    <xf fontId="22" fillId="41" borderId="32" numFmtId="0" xfId="0" applyFont="1" applyFill="1" applyBorder="1" applyAlignment="1">
      <alignment horizontal="left" indent="2" vertical="center" wrapText="1"/>
    </xf>
    <xf fontId="22" fillId="41" borderId="30" numFmtId="49" xfId="0" applyNumberFormat="1" applyFont="1" applyFill="1" applyBorder="1" applyAlignment="1">
      <alignment horizontal="center" vertical="center" wrapText="1"/>
    </xf>
    <xf fontId="80" fillId="0" borderId="41" numFmtId="14" xfId="0" applyNumberFormat="1" applyFont="1" applyBorder="1" applyAlignment="1">
      <alignment horizontal="center" vertical="center" wrapText="1"/>
    </xf>
    <xf fontId="22" fillId="0" borderId="41" numFmtId="0" xfId="0" applyFont="1" applyBorder="1" applyAlignment="1">
      <alignment horizontal="center" vertical="center" wrapText="1"/>
    </xf>
    <xf fontId="22" fillId="41" borderId="32" numFmtId="0" xfId="0" applyFont="1" applyFill="1" applyBorder="1" applyAlignment="1">
      <alignment horizontal="left" indent="1" vertical="center" wrapText="1"/>
    </xf>
    <xf fontId="22" fillId="41" borderId="23" numFmtId="49" xfId="0" applyNumberFormat="1" applyFont="1" applyFill="1" applyBorder="1" applyAlignment="1">
      <alignment horizontal="center" vertical="center" wrapText="1"/>
    </xf>
    <xf fontId="22" fillId="0" borderId="32" numFmtId="49" xfId="0" applyNumberFormat="1" applyFont="1" applyBorder="1" applyAlignment="1">
      <alignment horizontal="center" vertical="center" wrapText="1"/>
    </xf>
    <xf fontId="78" fillId="0" borderId="23" numFmtId="49" xfId="0" applyNumberFormat="1" applyFont="1" applyBorder="1" applyAlignment="1">
      <alignment horizontal="left" indent="1" vertical="center" wrapText="1"/>
    </xf>
    <xf fontId="22" fillId="41" borderId="42" numFmtId="0" xfId="0" applyFont="1" applyFill="1" applyBorder="1" applyAlignment="1">
      <alignment horizontal="left" indent="2" vertical="center" wrapText="1"/>
    </xf>
    <xf fontId="22" fillId="41" borderId="30" numFmtId="0" xfId="0" applyFont="1" applyFill="1" applyBorder="1" applyAlignment="1">
      <alignment horizontal="left" indent="1" vertical="center" wrapText="1"/>
    </xf>
    <xf fontId="70" fillId="42" borderId="20" numFmtId="49" xfId="0" applyNumberFormat="1" applyFont="1" applyFill="1" applyBorder="1" applyAlignment="1">
      <alignment horizontal="left" indent="1" vertical="center"/>
    </xf>
    <xf fontId="22" fillId="41" borderId="30" numFmtId="0" xfId="0" applyFont="1" applyFill="1" applyBorder="1" applyAlignment="1">
      <alignment horizontal="left" indent="2" vertical="center" wrapText="1"/>
    </xf>
    <xf fontId="51" fillId="42" borderId="43" numFmtId="49" xfId="0" applyNumberFormat="1" applyFont="1" applyFill="1" applyBorder="1" applyAlignment="1">
      <alignment horizontal="right" vertical="center" wrapText="1"/>
    </xf>
    <xf fontId="51" fillId="42" borderId="44" numFmtId="49" xfId="0" applyNumberFormat="1" applyFont="1" applyFill="1" applyBorder="1" applyAlignment="1">
      <alignment horizontal="right" vertical="center" wrapText="1"/>
    </xf>
    <xf fontId="51" fillId="42" borderId="20" numFmtId="49" xfId="0" applyNumberFormat="1" applyFont="1" applyFill="1" applyBorder="1" applyAlignment="1">
      <alignment horizontal="right" vertical="center" wrapText="1"/>
    </xf>
    <xf fontId="78" fillId="43" borderId="0" numFmtId="0" xfId="0" applyFont="1" applyFill="1" applyAlignment="1">
      <alignment vertical="top"/>
    </xf>
    <xf fontId="70" fillId="42" borderId="25" numFmtId="49" xfId="0" applyNumberFormat="1" applyFont="1" applyFill="1" applyBorder="1" applyAlignment="1">
      <alignment horizontal="left" indent="2" vertical="center"/>
    </xf>
    <xf fontId="22" fillId="0" borderId="27" numFmtId="0" xfId="0" applyFont="1" applyBorder="1" applyAlignment="1">
      <alignment horizontal="left" indent="1" vertical="top" wrapText="1"/>
    </xf>
    <xf fontId="22" fillId="0" borderId="32" numFmtId="0" xfId="0" applyFont="1" applyBorder="1" applyAlignment="1">
      <alignment horizontal="left" indent="1" vertical="top" wrapText="1"/>
    </xf>
    <xf fontId="22" fillId="0" borderId="33" numFmtId="0" xfId="0" applyFont="1" applyBorder="1" applyAlignment="1">
      <alignment horizontal="left" indent="1" vertical="top" wrapText="1"/>
    </xf>
    <xf fontId="81" fillId="0" borderId="0" numFmtId="0" xfId="0" applyFont="1" applyAlignment="1">
      <alignment vertical="center" wrapText="1"/>
    </xf>
    <xf fontId="36" fillId="0" borderId="0" numFmtId="0" xfId="0" applyFont="1" applyAlignment="1">
      <alignment vertical="center" wrapText="1"/>
    </xf>
    <xf fontId="22" fillId="0" borderId="45" numFmtId="0" xfId="0" applyFont="1" applyBorder="1" applyAlignment="1">
      <alignment horizontal="left" indent="1" vertical="center"/>
    </xf>
    <xf fontId="82" fillId="0" borderId="0" numFmtId="0" xfId="0" applyFont="1" applyAlignment="1">
      <alignment vertical="center"/>
    </xf>
    <xf fontId="63" fillId="0" borderId="29" numFmtId="0" xfId="0" applyFont="1" applyBorder="1" applyAlignment="1">
      <alignment horizontal="left" indent="1" vertical="center" wrapText="1"/>
    </xf>
    <xf fontId="63" fillId="0" borderId="42" numFmtId="0" xfId="0" applyFont="1" applyBorder="1" applyAlignment="1">
      <alignment horizontal="left" indent="1" vertical="center" wrapText="1"/>
    </xf>
    <xf fontId="63" fillId="0" borderId="28" numFmtId="0" xfId="0" applyFont="1" applyBorder="1" applyAlignment="1">
      <alignment horizontal="left" indent="1" vertical="center" wrapText="1"/>
    </xf>
    <xf fontId="0" fillId="0" borderId="23" numFmtId="0" xfId="0" applyBorder="1" applyAlignment="1">
      <alignment horizontal="center" vertical="center" wrapText="1"/>
    </xf>
    <xf fontId="45" fillId="40" borderId="0" numFmtId="49" xfId="0" applyNumberFormat="1" applyFont="1" applyFill="1" applyAlignment="1">
      <alignment horizontal="center" vertical="center" wrapText="1"/>
    </xf>
    <xf fontId="45" fillId="40" borderId="45" numFmtId="49" xfId="0" applyNumberFormat="1" applyFont="1" applyFill="1" applyBorder="1" applyAlignment="1">
      <alignment horizontal="center" vertical="center" wrapText="1"/>
    </xf>
    <xf fontId="45" fillId="0" borderId="23" numFmtId="0" xfId="0" applyFont="1" applyBorder="1" applyAlignment="1">
      <alignment horizontal="center" vertical="center"/>
    </xf>
    <xf fontId="0" fillId="0" borderId="23" numFmtId="0" xfId="0" applyBorder="1" applyAlignment="1">
      <alignment horizontal="center" vertical="center"/>
    </xf>
    <xf fontId="0" fillId="0" borderId="23" numFmtId="49" xfId="0" applyNumberFormat="1" applyBorder="1" applyAlignment="1">
      <alignment horizontal="center" vertical="center"/>
    </xf>
    <xf fontId="0" fillId="0" borderId="23" numFmtId="49" xfId="0" applyNumberFormat="1" applyBorder="1" applyAlignment="1">
      <alignment horizontal="left" vertical="center"/>
    </xf>
    <xf fontId="0" fillId="0" borderId="0" numFmtId="49" xfId="0" applyNumberFormat="1" applyAlignment="1">
      <alignment vertical="center"/>
    </xf>
    <xf fontId="0" fillId="0" borderId="23" numFmtId="0" xfId="0" applyBorder="1" applyAlignment="1">
      <alignment horizontal="center" vertical="top"/>
    </xf>
    <xf fontId="22" fillId="0" borderId="23" numFmtId="0" xfId="0" applyFont="1" applyBorder="1" applyAlignment="1">
      <alignment horizontal="left" vertical="top" wrapText="1"/>
    </xf>
    <xf fontId="22" fillId="41" borderId="32" numFmtId="0" xfId="0" applyFont="1" applyFill="1" applyBorder="1" applyAlignment="1">
      <alignment horizontal="center" vertical="top" wrapText="1"/>
    </xf>
    <xf fontId="0" fillId="0" borderId="33" numFmtId="0" xfId="0" applyBorder="1" applyAlignment="1">
      <alignment horizontal="center" vertical="center"/>
    </xf>
    <xf fontId="0" fillId="0" borderId="26" numFmtId="0" xfId="0" applyBorder="1" applyAlignment="1">
      <alignment horizontal="center" vertical="center"/>
    </xf>
    <xf fontId="22" fillId="0" borderId="26" numFmtId="49" xfId="0" applyNumberFormat="1" applyFont="1" applyBorder="1" applyAlignment="1">
      <alignment horizontal="left" vertical="center" wrapText="1"/>
    </xf>
    <xf fontId="22" fillId="0" borderId="26" numFmtId="49" xfId="0" applyNumberFormat="1" applyFont="1" applyBorder="1" applyAlignment="1">
      <alignment horizontal="center" vertical="center" wrapText="1"/>
    </xf>
    <xf fontId="0" fillId="0" borderId="26" numFmtId="0" xfId="0" applyBorder="1" applyAlignment="1">
      <alignment horizontal="left" vertical="center" wrapText="1"/>
    </xf>
    <xf fontId="0" fillId="0" borderId="26" numFmtId="49" xfId="0" applyNumberFormat="1" applyBorder="1" applyAlignment="1">
      <alignment horizontal="left" vertical="center" wrapText="1"/>
    </xf>
    <xf fontId="22" fillId="0" borderId="27" numFmtId="49" xfId="0" applyNumberFormat="1" applyFont="1" applyBorder="1" applyAlignment="1">
      <alignment horizontal="left" vertical="center" wrapText="1"/>
    </xf>
    <xf fontId="22" fillId="0" borderId="0" numFmtId="0" xfId="0" applyFont="1" applyAlignment="1">
      <alignment horizontal="left" indent="1" vertical="center"/>
    </xf>
    <xf fontId="22" fillId="41" borderId="42" numFmtId="0" xfId="0" applyFont="1" applyFill="1" applyBorder="1" applyAlignment="1">
      <alignment horizontal="center" vertical="top" wrapText="1"/>
    </xf>
    <xf fontId="0" fillId="0" borderId="28" numFmtId="0" xfId="0" applyBorder="1" applyAlignment="1">
      <alignment horizontal="center" vertical="center"/>
    </xf>
    <xf fontId="0" fillId="0" borderId="0" numFmtId="0" xfId="0" applyAlignment="1">
      <alignment horizontal="center" vertical="center"/>
    </xf>
    <xf fontId="22" fillId="0" borderId="0" numFmtId="49" xfId="0" applyNumberFormat="1" applyFont="1" applyAlignment="1">
      <alignment horizontal="left" vertical="center" wrapText="1"/>
    </xf>
    <xf fontId="0" fillId="0" borderId="0" numFmtId="0" xfId="0" applyAlignment="1">
      <alignment horizontal="left" vertical="center" wrapText="1"/>
    </xf>
    <xf fontId="0" fillId="0" borderId="0" numFmtId="49" xfId="0" applyNumberFormat="1" applyAlignment="1">
      <alignment horizontal="left" vertical="center" wrapText="1"/>
    </xf>
    <xf fontId="70" fillId="0" borderId="0" numFmtId="0" xfId="0" applyFont="1" applyAlignment="1">
      <alignment horizontal="left" vertical="center"/>
    </xf>
    <xf fontId="70" fillId="0" borderId="29" numFmtId="0" xfId="0" applyFont="1" applyBorder="1" applyAlignment="1">
      <alignment horizontal="left" vertical="center"/>
    </xf>
    <xf fontId="0" fillId="0" borderId="0" numFmtId="49" xfId="0" applyNumberFormat="1" applyAlignment="1">
      <alignment horizontal="left" vertical="top"/>
    </xf>
    <xf fontId="0" fillId="0" borderId="23" numFmtId="49" xfId="0" applyNumberFormat="1" applyBorder="1" applyAlignment="1">
      <alignment vertical="top"/>
    </xf>
    <xf fontId="0" fillId="0" borderId="23" numFmtId="49" xfId="0" applyNumberFormat="1" applyBorder="1" applyAlignment="1">
      <alignment horizontal="left" vertical="top"/>
    </xf>
    <xf fontId="22" fillId="41" borderId="30" numFmtId="0" xfId="0" applyFont="1" applyFill="1" applyBorder="1" applyAlignment="1">
      <alignment horizontal="center" vertical="top" wrapText="1"/>
    </xf>
    <xf fontId="70" fillId="0" borderId="35" numFmtId="0" xfId="0" applyFont="1" applyBorder="1" applyAlignment="1">
      <alignment horizontal="left" vertical="center"/>
    </xf>
    <xf fontId="70" fillId="0" borderId="45" numFmtId="0" xfId="0" applyFont="1" applyBorder="1" applyAlignment="1">
      <alignment horizontal="left" vertical="center"/>
    </xf>
    <xf fontId="0" fillId="0" borderId="45" numFmtId="0" xfId="0" applyBorder="1" applyAlignment="1">
      <alignment vertical="center"/>
    </xf>
    <xf fontId="70" fillId="0" borderId="34" numFmtId="0" xfId="0" applyFont="1" applyBorder="1" applyAlignment="1">
      <alignment horizontal="left" vertical="center"/>
    </xf>
    <xf fontId="22" fillId="39" borderId="23" numFmtId="0" xfId="0" applyFont="1" applyFill="1" applyBorder="1" applyAlignment="1">
      <alignment horizontal="left" vertical="top" wrapText="1"/>
      <protection locked="0"/>
    </xf>
    <xf fontId="22" fillId="0" borderId="0" numFmtId="49" xfId="0" applyNumberFormat="1" applyFont="1" applyAlignment="1">
      <alignment horizontal="left" indent="1" vertical="center"/>
    </xf>
    <xf fontId="0" fillId="39" borderId="23" numFmtId="0" xfId="0" applyFill="1" applyBorder="1" applyAlignment="1">
      <alignment horizontal="left" vertical="top"/>
      <protection locked="0"/>
    </xf>
    <xf fontId="0" fillId="0" borderId="32" numFmtId="0" xfId="0" applyBorder="1" applyAlignment="1">
      <alignment horizontal="center" vertical="top"/>
    </xf>
    <xf fontId="22" fillId="0" borderId="32" numFmtId="0" xfId="0" applyFont="1" applyBorder="1" applyAlignment="1">
      <alignment horizontal="left" vertical="top" wrapText="1"/>
    </xf>
    <xf fontId="0" fillId="0" borderId="42" numFmtId="0" xfId="0" applyBorder="1" applyAlignment="1">
      <alignment horizontal="center" vertical="top"/>
    </xf>
    <xf fontId="22" fillId="0" borderId="42" numFmtId="0" xfId="0" applyFont="1" applyBorder="1" applyAlignment="1">
      <alignment horizontal="left" vertical="top" wrapText="1"/>
    </xf>
    <xf fontId="0" fillId="0" borderId="30" numFmtId="0" xfId="0" applyBorder="1" applyAlignment="1">
      <alignment horizontal="center" vertical="top"/>
    </xf>
    <xf fontId="22" fillId="0" borderId="30" numFmtId="0" xfId="0" applyFont="1" applyBorder="1" applyAlignment="1">
      <alignment horizontal="left" vertical="top" wrapText="1"/>
    </xf>
    <xf fontId="22" fillId="41" borderId="23" numFmtId="0" xfId="0" applyFont="1" applyFill="1" applyBorder="1" applyAlignment="1">
      <alignment horizontal="left" vertical="top" wrapText="1"/>
    </xf>
    <xf fontId="22" fillId="36" borderId="23" numFmtId="49" xfId="0" applyNumberFormat="1" applyFont="1" applyFill="1" applyBorder="1" applyAlignment="1">
      <alignment horizontal="left" vertical="center" wrapText="1"/>
      <protection locked="0"/>
    </xf>
    <xf fontId="22" fillId="41" borderId="32" numFmtId="49" xfId="0" applyNumberFormat="1" applyFont="1" applyFill="1" applyBorder="1" applyAlignment="1">
      <alignment horizontal="center" vertical="center" wrapText="1"/>
    </xf>
    <xf fontId="0" fillId="40" borderId="23" numFmtId="0" xfId="0" applyFill="1" applyBorder="1" applyAlignment="1">
      <alignment horizontal="left" vertical="center" wrapText="1"/>
    </xf>
    <xf fontId="0" fillId="40" borderId="23" numFmtId="49" xfId="0" applyNumberFormat="1" applyFill="1" applyBorder="1" applyAlignment="1">
      <alignment horizontal="left" vertical="center" wrapText="1"/>
    </xf>
    <xf fontId="0" fillId="39" borderId="23" numFmtId="49" xfId="0" applyNumberFormat="1" applyFill="1" applyBorder="1" applyAlignment="1">
      <alignment horizontal="left" vertical="center" wrapText="1"/>
      <protection locked="0"/>
    </xf>
    <xf fontId="22" fillId="41" borderId="42" numFmtId="49" xfId="0" applyNumberFormat="1" applyFont="1" applyFill="1" applyBorder="1" applyAlignment="1">
      <alignment horizontal="center" vertical="center" wrapText="1"/>
    </xf>
    <xf fontId="70" fillId="42" borderId="21" numFmtId="0" xfId="0" applyFont="1" applyFill="1" applyBorder="1" applyAlignment="1">
      <alignment horizontal="left" vertical="center"/>
    </xf>
    <xf fontId="70" fillId="42" borderId="25" numFmtId="0" xfId="0" applyFont="1" applyFill="1" applyBorder="1" applyAlignment="1">
      <alignment horizontal="left" vertical="center"/>
    </xf>
    <xf fontId="70" fillId="42" borderId="20" numFmtId="0" xfId="0" applyFont="1" applyFill="1" applyBorder="1" applyAlignment="1">
      <alignment horizontal="left" vertical="center"/>
    </xf>
    <xf fontId="0" fillId="41" borderId="23" numFmtId="49" xfId="0" applyNumberFormat="1" applyFill="1" applyBorder="1" applyAlignment="1">
      <alignment horizontal="left" vertical="top"/>
    </xf>
    <xf fontId="0" fillId="36" borderId="23" numFmtId="49" xfId="0" applyNumberFormat="1" applyFill="1" applyBorder="1" applyAlignment="1">
      <alignment horizontal="left" vertical="top"/>
      <protection locked="0"/>
    </xf>
    <xf fontId="0" fillId="42" borderId="25" numFmtId="0" xfId="0" applyFill="1" applyBorder="1" applyAlignment="1">
      <alignment vertical="center"/>
    </xf>
    <xf fontId="0" fillId="0" borderId="0" numFmtId="0" xfId="0" applyAlignment="1">
      <alignment horizontal="left" vertical="top" wrapText="1"/>
    </xf>
    <xf fontId="0" fillId="0" borderId="0" numFmtId="0" xfId="0" applyAlignment="1" quotePrefix="1">
      <alignment horizontal="left" indent="1" vertical="top" wrapText="1"/>
    </xf>
    <xf fontId="0" fillId="0" borderId="0" numFmtId="0" xfId="0" applyAlignment="1">
      <alignment horizontal="left" indent="1" vertical="top" wrapText="1"/>
    </xf>
    <xf fontId="0" fillId="0" borderId="0" numFmtId="0" xfId="0" applyAlignment="1">
      <alignment vertical="top" wrapText="1"/>
    </xf>
    <xf fontId="41" fillId="0" borderId="0" numFmtId="49" xfId="0" applyNumberFormat="1" applyFont="1" applyAlignment="1">
      <alignment vertical="top"/>
    </xf>
    <xf fontId="45" fillId="0" borderId="0" numFmtId="49" xfId="0" applyNumberFormat="1" applyFont="1" applyAlignment="1">
      <alignment horizontal="center" vertical="center"/>
    </xf>
    <xf fontId="43" fillId="0" borderId="0" numFmtId="49" xfId="0" applyNumberFormat="1" applyFont="1" applyAlignment="1">
      <alignment horizontal="center" vertical="center"/>
    </xf>
    <xf fontId="82" fillId="0" borderId="0" numFmtId="49" xfId="0" applyNumberFormat="1" applyFont="1" applyAlignment="1">
      <alignment vertical="top"/>
    </xf>
    <xf fontId="22" fillId="0" borderId="26" numFmtId="0" xfId="0" applyFont="1" applyBorder="1" applyAlignment="1">
      <alignment horizontal="left" indent="1" vertical="center" wrapText="1"/>
    </xf>
    <xf fontId="36" fillId="0" borderId="0" numFmtId="0" xfId="0" applyFont="1" applyAlignment="1">
      <alignment horizontal="left" indent="1" vertical="center" wrapText="1"/>
    </xf>
    <xf fontId="66" fillId="0" borderId="0" numFmtId="0" xfId="0" applyFont="1" applyAlignment="1">
      <alignment vertical="center"/>
    </xf>
    <xf fontId="83" fillId="0" borderId="0" numFmtId="0" xfId="0" applyFont="1" applyAlignment="1">
      <alignment vertical="center" wrapText="1"/>
    </xf>
    <xf fontId="84" fillId="0" borderId="0" numFmtId="0" xfId="0" applyFont="1" applyAlignment="1">
      <alignment vertical="center" wrapText="1"/>
    </xf>
    <xf fontId="22" fillId="0" borderId="45" numFmtId="0" xfId="0" applyFont="1" applyBorder="1" applyAlignment="1">
      <alignment horizontal="left" indent="1" vertical="center" wrapText="1"/>
    </xf>
    <xf fontId="22" fillId="0" borderId="33" numFmtId="0" xfId="0" applyFont="1" applyBorder="1" applyAlignment="1">
      <alignment horizontal="center" vertical="center" wrapText="1"/>
    </xf>
    <xf fontId="22" fillId="0" borderId="27" numFmtId="0" xfId="0" applyFont="1" applyBorder="1" applyAlignment="1">
      <alignment horizontal="center" vertical="center" wrapText="1"/>
    </xf>
    <xf fontId="22" fillId="0" borderId="42" numFmtId="0" xfId="0" applyFont="1" applyBorder="1" applyAlignment="1">
      <alignment horizontal="center" vertical="center" wrapText="1"/>
    </xf>
    <xf fontId="22" fillId="0" borderId="32" numFmtId="0" xfId="0" applyFont="1" applyBorder="1" applyAlignment="1">
      <alignment horizontal="center" vertical="center" wrapText="1"/>
    </xf>
    <xf fontId="22" fillId="0" borderId="28" numFmtId="0" xfId="0" applyFont="1" applyBorder="1" applyAlignment="1">
      <alignment horizontal="center" vertical="center" wrapText="1"/>
    </xf>
    <xf fontId="22" fillId="0" borderId="29" numFmtId="0" xfId="0" applyFont="1" applyBorder="1" applyAlignment="1">
      <alignment horizontal="center" vertical="center" wrapText="1"/>
    </xf>
    <xf fontId="22" fillId="0" borderId="35" numFmtId="0" xfId="0" applyFont="1" applyBorder="1" applyAlignment="1">
      <alignment horizontal="center" vertical="center" wrapText="1"/>
    </xf>
    <xf fontId="22" fillId="0" borderId="34" numFmtId="0" xfId="0" applyFont="1" applyBorder="1" applyAlignment="1">
      <alignment horizontal="center" vertical="center" wrapText="1"/>
    </xf>
    <xf fontId="22" fillId="0" borderId="23" numFmtId="49" xfId="0" applyNumberFormat="1" applyFont="1" applyBorder="1" applyAlignment="1">
      <alignment horizontal="center" vertical="center"/>
    </xf>
    <xf fontId="22" fillId="0" borderId="23" numFmtId="0" xfId="0" applyFont="1" applyBorder="1" applyAlignment="1">
      <alignment horizontal="left" vertical="center" wrapText="1"/>
    </xf>
    <xf fontId="22" fillId="0" borderId="33" numFmtId="49" xfId="0" applyNumberFormat="1" applyFont="1" applyBorder="1" applyAlignment="1">
      <alignment vertical="center" wrapText="1"/>
    </xf>
    <xf fontId="22" fillId="0" borderId="26" numFmtId="0" xfId="0" applyFont="1" applyBorder="1" applyAlignment="1">
      <alignment horizontal="center" vertical="center"/>
    </xf>
    <xf fontId="22" fillId="0" borderId="26" numFmtId="49" xfId="0" applyNumberFormat="1" applyFont="1" applyBorder="1" applyAlignment="1">
      <alignment vertical="center" wrapText="1"/>
    </xf>
    <xf fontId="61" fillId="0" borderId="26" numFmtId="49" xfId="0" applyNumberFormat="1" applyFont="1" applyBorder="1" applyAlignment="1">
      <alignment vertical="center" wrapText="1"/>
    </xf>
    <xf fontId="22" fillId="0" borderId="26" numFmtId="0" xfId="0" applyFont="1" applyBorder="1" applyAlignment="1">
      <alignment horizontal="left" vertical="center" wrapText="1"/>
    </xf>
    <xf fontId="22" fillId="0" borderId="28" numFmtId="49" xfId="0" applyNumberFormat="1" applyFont="1" applyBorder="1" applyAlignment="1">
      <alignment vertical="center" wrapText="1"/>
    </xf>
    <xf fontId="22" fillId="0" borderId="0" numFmtId="0" xfId="0" applyFont="1" applyAlignment="1">
      <alignment horizontal="center" vertical="center"/>
    </xf>
    <xf fontId="61" fillId="0" borderId="0" numFmtId="49" xfId="0" applyNumberFormat="1" applyFont="1" applyAlignment="1">
      <alignment vertical="center" wrapText="1"/>
    </xf>
    <xf fontId="61" fillId="0" borderId="0" numFmtId="49" xfId="0" applyNumberFormat="1" applyFont="1" applyAlignment="1">
      <alignment horizontal="center" vertical="center" wrapText="1"/>
    </xf>
    <xf fontId="70" fillId="0" borderId="0" numFmtId="0" xfId="0" applyFont="1" applyAlignment="1">
      <alignment vertical="center"/>
    </xf>
    <xf fontId="70" fillId="0" borderId="28" numFmtId="0" xfId="0" applyFont="1" applyBorder="1" applyAlignment="1">
      <alignment horizontal="left" vertical="center"/>
    </xf>
    <xf fontId="22" fillId="0" borderId="32" numFmtId="49" xfId="0" applyNumberFormat="1" applyFont="1" applyBorder="1" applyAlignment="1">
      <alignment horizontal="center" vertical="center"/>
    </xf>
    <xf fontId="22" fillId="0" borderId="32" numFmtId="0" xfId="0" applyFont="1" applyBorder="1" applyAlignment="1">
      <alignment horizontal="left" vertical="center" wrapText="1"/>
    </xf>
    <xf fontId="22" fillId="0" borderId="33" numFmtId="0" xfId="0" applyFont="1" applyBorder="1" applyAlignment="1">
      <alignment horizontal="left" vertical="center" wrapText="1"/>
    </xf>
    <xf fontId="82" fillId="0" borderId="35" numFmtId="49" xfId="0" applyNumberFormat="1" applyFont="1" applyBorder="1" applyAlignment="1">
      <alignment vertical="top"/>
    </xf>
    <xf fontId="82" fillId="0" borderId="45" numFmtId="49" xfId="0" applyNumberFormat="1" applyFont="1" applyBorder="1" applyAlignment="1">
      <alignment vertical="top"/>
    </xf>
    <xf fontId="22" fillId="0" borderId="21" numFmtId="0" xfId="0" applyFont="1" applyBorder="1" applyAlignment="1">
      <alignment horizontal="left" vertical="center" wrapText="1"/>
    </xf>
    <xf fontId="22" fillId="40" borderId="0" numFmtId="0" xfId="0" applyFont="1" applyFill="1"/>
    <xf fontId="45" fillId="40" borderId="0" numFmtId="0" xfId="0" applyFont="1" applyFill="1"/>
    <xf fontId="0" fillId="40" borderId="0" numFmtId="0" xfId="0" applyFill="1"/>
    <xf fontId="0" fillId="40" borderId="0" numFmtId="0" xfId="0" applyFill="1" applyAlignment="1">
      <alignment horizontal="center"/>
    </xf>
    <xf fontId="57" fillId="40" borderId="0" numFmtId="0" xfId="0" applyFont="1" applyFill="1"/>
    <xf fontId="57" fillId="40" borderId="0" numFmtId="0" xfId="0" applyFont="1" applyFill="1" applyAlignment="1">
      <alignment horizontal="center"/>
    </xf>
    <xf fontId="85" fillId="0" borderId="0" numFmtId="0" xfId="0" applyFont="1" applyAlignment="1">
      <alignment vertical="center"/>
    </xf>
    <xf fontId="86" fillId="0" borderId="0" numFmtId="0" xfId="0" applyFont="1" applyAlignment="1">
      <alignment vertical="center"/>
    </xf>
    <xf fontId="87" fillId="40" borderId="0" numFmtId="0" xfId="0" applyFont="1" applyFill="1" applyAlignment="1">
      <alignment horizontal="right" vertical="center"/>
    </xf>
    <xf fontId="45" fillId="40" borderId="0" numFmtId="0" xfId="0" applyFont="1" applyFill="1" applyAlignment="1">
      <alignment vertical="center" wrapText="1"/>
    </xf>
    <xf fontId="54" fillId="40" borderId="0" numFmtId="0" xfId="0" applyFont="1" applyFill="1" applyAlignment="1">
      <alignment horizontal="left" vertical="center" wrapText="1"/>
    </xf>
    <xf fontId="0" fillId="40" borderId="23" numFmtId="49" xfId="0" applyNumberFormat="1" applyFill="1" applyBorder="1" applyAlignment="1">
      <alignment horizontal="center" vertical="center" wrapText="1"/>
    </xf>
    <xf fontId="22" fillId="40" borderId="23" numFmtId="49" xfId="0" applyNumberFormat="1" applyFont="1" applyFill="1" applyBorder="1" applyAlignment="1">
      <alignment horizontal="center" vertical="center" wrapText="1"/>
    </xf>
    <xf fontId="0" fillId="40" borderId="23" numFmtId="0" xfId="0" applyFill="1" applyBorder="1" applyAlignment="1">
      <alignment horizontal="center" vertical="center" wrapText="1"/>
    </xf>
    <xf fontId="22" fillId="40" borderId="23" numFmtId="0" xfId="0" applyFont="1" applyFill="1" applyBorder="1" applyAlignment="1">
      <alignment horizontal="center" vertical="center" wrapText="1"/>
    </xf>
    <xf fontId="67" fillId="40" borderId="0" numFmtId="0" xfId="0" applyFont="1" applyFill="1" applyAlignment="1">
      <alignment horizontal="center" vertical="center"/>
    </xf>
    <xf fontId="45" fillId="0" borderId="23" numFmtId="49" xfId="0" applyNumberFormat="1" applyFont="1" applyBorder="1" applyAlignment="1">
      <alignment horizontal="center" vertical="center"/>
    </xf>
    <xf fontId="45" fillId="0" borderId="23" numFmtId="0" xfId="0" applyFont="1" applyBorder="1" applyAlignment="1">
      <alignment vertical="center" wrapText="1"/>
    </xf>
    <xf fontId="45" fillId="0" borderId="23" numFmtId="0" xfId="0" applyFont="1" applyBorder="1" applyAlignment="1">
      <alignment horizontal="left" vertical="center" wrapText="1"/>
    </xf>
    <xf fontId="88" fillId="40" borderId="0" numFmtId="0" xfId="0" applyFont="1" applyFill="1"/>
    <xf fontId="0" fillId="40" borderId="23" numFmtId="49" xfId="0" applyNumberFormat="1" applyFill="1" applyBorder="1" applyAlignment="1">
      <alignment horizontal="center" vertical="center"/>
    </xf>
    <xf fontId="0" fillId="40" borderId="23" numFmtId="0" xfId="0" applyFill="1" applyBorder="1" applyAlignment="1">
      <alignment vertical="center" wrapText="1"/>
    </xf>
    <xf fontId="22" fillId="40" borderId="23" numFmtId="0" xfId="0" applyFont="1" applyFill="1" applyBorder="1" applyAlignment="1">
      <alignment vertical="center" wrapText="1"/>
    </xf>
    <xf fontId="0" fillId="40" borderId="23" numFmtId="0" xfId="0" applyFill="1" applyBorder="1" applyAlignment="1">
      <alignment horizontal="left" indent="1" vertical="center" wrapText="1"/>
    </xf>
    <xf fontId="45" fillId="0" borderId="23" numFmtId="0" xfId="0" applyFont="1" applyBorder="1" applyAlignment="1">
      <alignment horizontal="left" indent="1" vertical="center" wrapText="1"/>
    </xf>
    <xf fontId="22" fillId="40" borderId="0" numFmtId="49" xfId="0" applyNumberFormat="1" applyFont="1" applyFill="1" applyAlignment="1">
      <alignment horizontal="center" vertical="center" wrapText="1"/>
    </xf>
    <xf fontId="22" fillId="40" borderId="29" numFmtId="0" xfId="0" applyFont="1" applyFill="1" applyBorder="1" applyAlignment="1">
      <alignment horizontal="center" vertical="center" wrapText="1"/>
    </xf>
    <xf fontId="85" fillId="0" borderId="0" numFmtId="0" xfId="0" applyFont="1" applyAlignment="1">
      <alignment vertical="center" wrapText="1"/>
    </xf>
    <xf fontId="0" fillId="40" borderId="23" numFmtId="0" xfId="0" applyFill="1" applyBorder="1" applyAlignment="1">
      <alignment horizontal="center" vertical="center"/>
    </xf>
    <xf fontId="0" fillId="40" borderId="23" numFmtId="0" xfId="0" applyFill="1" applyBorder="1" applyAlignment="1">
      <alignment horizontal="left" indent="2" vertical="center" wrapText="1"/>
    </xf>
    <xf fontId="0" fillId="0" borderId="23" numFmtId="49" xfId="0" applyNumberFormat="1" applyBorder="1" applyAlignment="1">
      <alignment horizontal="left" vertical="center" wrapText="1"/>
    </xf>
    <xf fontId="0" fillId="0" borderId="23" numFmtId="168" xfId="0" applyNumberFormat="1" applyBorder="1" applyAlignment="1">
      <alignment horizontal="left" indent="1" vertical="center" wrapText="1"/>
    </xf>
    <xf fontId="22" fillId="40" borderId="0" numFmtId="49" xfId="0" applyNumberFormat="1" applyFont="1" applyFill="1" applyAlignment="1">
      <alignment vertical="center" wrapText="1"/>
    </xf>
    <xf fontId="22" fillId="40" borderId="29" numFmtId="0" xfId="0" applyFont="1" applyFill="1" applyBorder="1" applyAlignment="1">
      <alignment vertical="center" wrapText="1"/>
    </xf>
    <xf fontId="22" fillId="42" borderId="21" numFmtId="0" xfId="0" applyFont="1" applyFill="1" applyBorder="1" applyAlignment="1">
      <alignment horizontal="center"/>
    </xf>
    <xf fontId="87" fillId="42" borderId="25" numFmtId="0" xfId="0" applyFont="1" applyFill="1" applyBorder="1" applyAlignment="1">
      <alignment horizontal="left" vertical="center"/>
    </xf>
    <xf fontId="87" fillId="42" borderId="20" numFmtId="0" xfId="0" applyFont="1" applyFill="1" applyBorder="1" applyAlignment="1">
      <alignment horizontal="left" vertical="center"/>
    </xf>
    <xf fontId="45" fillId="40" borderId="23" numFmtId="49" xfId="0" applyNumberFormat="1" applyFont="1" applyFill="1" applyBorder="1" applyAlignment="1">
      <alignment horizontal="center" vertical="center"/>
    </xf>
    <xf fontId="45" fillId="40" borderId="23" numFmtId="0" xfId="0" applyFont="1" applyFill="1" applyBorder="1" applyAlignment="1">
      <alignment vertical="center" wrapText="1"/>
    </xf>
    <xf fontId="45" fillId="40" borderId="23" numFmtId="0" xfId="0" applyFont="1" applyFill="1" applyBorder="1" applyAlignment="1">
      <alignment horizontal="left" indent="1" vertical="center" wrapText="1"/>
    </xf>
    <xf fontId="45" fillId="40" borderId="23" numFmtId="0" xfId="0" applyFont="1" applyFill="1" applyBorder="1" applyAlignment="1">
      <alignment horizontal="left" indent="2" vertical="center" wrapText="1"/>
    </xf>
    <xf fontId="45" fillId="0" borderId="23" numFmtId="49" xfId="0" applyNumberFormat="1" applyFont="1" applyBorder="1" applyAlignment="1">
      <alignment horizontal="left" vertical="center" wrapText="1"/>
    </xf>
    <xf fontId="0" fillId="36" borderId="23" numFmtId="49" xfId="0" applyNumberFormat="1" applyFill="1" applyBorder="1" applyAlignment="1">
      <alignment horizontal="left" vertical="center" wrapText="1"/>
      <protection locked="0"/>
    </xf>
    <xf fontId="0" fillId="40" borderId="32" numFmtId="0" xfId="0" applyFill="1" applyBorder="1" applyAlignment="1">
      <alignment horizontal="left" vertical="center" wrapText="1"/>
    </xf>
    <xf fontId="22" fillId="40" borderId="32" numFmtId="0" xfId="0" applyFont="1" applyFill="1" applyBorder="1" applyAlignment="1">
      <alignment horizontal="left" vertical="top" wrapText="1"/>
    </xf>
    <xf fontId="0" fillId="0" borderId="23" numFmtId="49" xfId="0" applyNumberFormat="1" applyBorder="1" applyAlignment="1">
      <alignment horizontal="left" indent="1" vertical="center" wrapText="1"/>
    </xf>
    <xf fontId="22" fillId="40" borderId="42" numFmtId="0" xfId="0" applyFont="1" applyFill="1" applyBorder="1" applyAlignment="1">
      <alignment horizontal="left" vertical="top" wrapText="1"/>
    </xf>
    <xf fontId="61" fillId="40" borderId="0" numFmtId="0" xfId="0" applyFont="1" applyFill="1" applyAlignment="1">
      <alignment horizontal="center" vertical="center" wrapText="1"/>
    </xf>
    <xf fontId="0" fillId="39" borderId="23" numFmtId="49" xfId="0" applyNumberFormat="1" applyFill="1" applyBorder="1" applyAlignment="1">
      <alignment horizontal="left" indent="1" vertical="center" wrapText="1"/>
      <protection locked="0"/>
    </xf>
    <xf fontId="22" fillId="39" borderId="21" numFmtId="49" xfId="0" applyNumberFormat="1" applyFont="1" applyFill="1" applyBorder="1" applyAlignment="1">
      <alignment horizontal="left" vertical="center" wrapText="1"/>
      <protection locked="0"/>
    </xf>
    <xf fontId="22" fillId="40" borderId="30" numFmtId="0" xfId="0" applyFont="1" applyFill="1" applyBorder="1" applyAlignment="1">
      <alignment horizontal="left" vertical="top" wrapText="1"/>
    </xf>
    <xf fontId="89" fillId="40" borderId="0" numFmtId="0" xfId="0" applyFont="1" applyFill="1"/>
    <xf fontId="22" fillId="39" borderId="23" numFmtId="49" xfId="0" applyNumberFormat="1" applyFont="1" applyFill="1" applyBorder="1" applyAlignment="1" quotePrefix="1">
      <alignment horizontal="left" vertical="center" wrapText="1"/>
      <protection locked="0"/>
    </xf>
    <xf fontId="22" fillId="41" borderId="23" numFmtId="49" xfId="0" applyNumberFormat="1" applyFont="1" applyFill="1" applyBorder="1" applyAlignment="1">
      <alignment horizontal="left" vertical="center" wrapText="1"/>
    </xf>
    <xf fontId="0" fillId="40" borderId="21" numFmtId="0" xfId="0" applyFill="1" applyBorder="1" applyAlignment="1">
      <alignment horizontal="left" indent="1" vertical="center" wrapText="1"/>
    </xf>
    <xf fontId="22" fillId="41" borderId="21" numFmtId="49" xfId="0" applyNumberFormat="1" applyFont="1" applyFill="1" applyBorder="1" applyAlignment="1">
      <alignment horizontal="left" vertical="center" wrapText="1"/>
    </xf>
    <xf fontId="0" fillId="40" borderId="23" numFmtId="0" xfId="0" applyFill="1" applyBorder="1" applyAlignment="1">
      <alignment vertical="top" wrapText="1"/>
    </xf>
    <xf fontId="0" fillId="40" borderId="21" numFmtId="0" xfId="0" applyFill="1" applyBorder="1" applyAlignment="1">
      <alignment horizontal="left" vertical="center" wrapText="1"/>
    </xf>
    <xf fontId="0" fillId="40" borderId="30" numFmtId="0" xfId="0" applyFill="1" applyBorder="1" applyAlignment="1">
      <alignment vertical="center" wrapText="1"/>
    </xf>
    <xf fontId="90" fillId="40" borderId="0" numFmtId="0" xfId="0" applyFont="1" applyFill="1"/>
    <xf fontId="22" fillId="0" borderId="0" numFmtId="0" xfId="0" applyFont="1" applyAlignment="1">
      <alignment vertical="top" wrapText="1"/>
    </xf>
    <xf fontId="71" fillId="0" borderId="0" numFmtId="0" xfId="0" applyFont="1" applyAlignment="1">
      <alignment horizontal="right" vertical="top" wrapText="1"/>
    </xf>
    <xf fontId="71" fillId="0" borderId="0" numFmtId="0" xfId="0" applyFont="1" applyAlignment="1">
      <alignment horizontal="left" indent="1" vertical="top" wrapText="1"/>
    </xf>
    <xf fontId="78" fillId="40" borderId="0" numFmtId="0" xfId="0" applyFont="1" applyFill="1" applyAlignment="1">
      <alignment horizontal="center"/>
    </xf>
    <xf fontId="78" fillId="40" borderId="0" numFmtId="0" xfId="0" applyFont="1" applyFill="1"/>
    <xf fontId="91" fillId="40" borderId="0" numFmtId="0" xfId="0" applyFont="1" applyFill="1" applyAlignment="1">
      <alignment horizontal="right" vertical="center"/>
    </xf>
    <xf fontId="92" fillId="40" borderId="0" numFmtId="0" xfId="0" applyFont="1" applyFill="1" applyAlignment="1">
      <alignment vertical="center"/>
    </xf>
    <xf fontId="91" fillId="40" borderId="0" numFmtId="0" xfId="0" applyFont="1" applyFill="1" applyAlignment="1">
      <alignment horizontal="right" vertical="top"/>
    </xf>
    <xf fontId="92" fillId="40" borderId="0" numFmtId="0" xfId="0" applyFont="1" applyFill="1" applyAlignment="1">
      <alignment vertical="center" wrapText="1"/>
    </xf>
    <xf fontId="49" fillId="40" borderId="0" numFmtId="0" xfId="0" applyFont="1" applyFill="1" applyAlignment="1">
      <alignment horizontal="center" vertical="center" wrapText="1"/>
    </xf>
    <xf fontId="49" fillId="40" borderId="0" numFmtId="0" xfId="0" applyFont="1" applyFill="1" applyAlignment="1">
      <alignment horizontal="right" vertical="center" wrapText="1"/>
    </xf>
    <xf fontId="36" fillId="0" borderId="0" numFmtId="0" xfId="0" applyFont="1" applyAlignment="1">
      <alignment horizontal="left" indent="3" vertical="center" wrapText="1"/>
    </xf>
    <xf fontId="81" fillId="0" borderId="0" numFmtId="0" xfId="0" applyFont="1" applyAlignment="1">
      <alignment horizontal="center" vertical="center" wrapText="1"/>
    </xf>
    <xf fontId="22" fillId="0" borderId="34" numFmtId="0" xfId="0" applyFont="1" applyBorder="1" applyAlignment="1">
      <alignment horizontal="left" indent="1" vertical="center" wrapText="1"/>
    </xf>
    <xf fontId="22" fillId="0" borderId="30" numFmtId="0" xfId="0" applyFont="1" applyBorder="1" applyAlignment="1">
      <alignment horizontal="left" indent="1" vertical="center" wrapText="1"/>
    </xf>
    <xf fontId="22" fillId="0" borderId="35" numFmtId="0" xfId="0" applyFont="1" applyBorder="1" applyAlignment="1">
      <alignment horizontal="left" indent="1" vertical="center" wrapText="1"/>
    </xf>
    <xf fontId="47" fillId="0" borderId="0" numFmtId="0" xfId="0" applyFont="1" applyAlignment="1">
      <alignment vertical="center" wrapText="1"/>
    </xf>
    <xf fontId="93" fillId="40" borderId="0" numFmtId="0" xfId="0" applyFont="1" applyFill="1" applyAlignment="1">
      <alignment horizontal="center" vertical="center" wrapText="1"/>
    </xf>
    <xf fontId="46" fillId="0" borderId="0" numFmtId="0" xfId="0" applyFont="1" applyAlignment="1">
      <alignment horizontal="left" indent="1" vertical="center" wrapText="1"/>
    </xf>
    <xf fontId="22" fillId="0" borderId="0" numFmtId="0" xfId="0" applyFont="1" applyAlignment="1">
      <alignment horizontal="right" vertical="center"/>
    </xf>
    <xf fontId="0" fillId="0" borderId="21" numFmtId="0" xfId="0" applyBorder="1" applyAlignment="1">
      <alignment horizontal="center" vertical="center" wrapText="1"/>
    </xf>
    <xf fontId="0" fillId="0" borderId="25" numFmtId="0" xfId="0" applyBorder="1" applyAlignment="1">
      <alignment horizontal="center" vertical="center" wrapText="1"/>
    </xf>
    <xf fontId="0" fillId="0" borderId="20" numFmtId="0" xfId="0" applyBorder="1" applyAlignment="1">
      <alignment horizontal="center" vertical="center" wrapText="1"/>
    </xf>
    <xf fontId="0" fillId="0" borderId="32" numFmtId="0" xfId="0" applyBorder="1" applyAlignment="1">
      <alignment horizontal="center" vertical="center" wrapText="1"/>
    </xf>
    <xf fontId="0" fillId="0" borderId="33" numFmtId="0" xfId="0" applyBorder="1" applyAlignment="1">
      <alignment horizontal="center" vertical="center" wrapText="1"/>
    </xf>
    <xf fontId="0" fillId="0" borderId="27" numFmtId="0" xfId="0" applyBorder="1" applyAlignment="1">
      <alignment horizontal="center" vertical="center" wrapText="1"/>
    </xf>
    <xf fontId="0" fillId="0" borderId="30" numFmtId="0" xfId="0" applyBorder="1" applyAlignment="1">
      <alignment horizontal="center" vertical="center" wrapText="1"/>
    </xf>
    <xf fontId="0" fillId="0" borderId="35" numFmtId="0" xfId="0" applyBorder="1" applyAlignment="1">
      <alignment horizontal="center" vertical="center" wrapText="1"/>
    </xf>
    <xf fontId="0" fillId="0" borderId="34" numFmtId="0" xfId="0" applyBorder="1" applyAlignment="1">
      <alignment horizontal="center" vertical="center" wrapText="1"/>
    </xf>
    <xf fontId="67" fillId="40" borderId="0" numFmtId="0" xfId="0" applyFont="1" applyFill="1" applyAlignment="1">
      <alignment horizontal="center" vertical="center" wrapText="1"/>
    </xf>
    <xf fontId="67" fillId="40" borderId="0" numFmtId="49" xfId="0" applyNumberFormat="1" applyFont="1" applyFill="1" applyAlignment="1">
      <alignment horizontal="center" vertical="center" wrapText="1"/>
    </xf>
    <xf fontId="94" fillId="40" borderId="0" numFmtId="0" xfId="0" applyFont="1" applyFill="1" applyAlignment="1">
      <alignment horizontal="center" vertical="center" wrapText="1"/>
    </xf>
    <xf fontId="63" fillId="0" borderId="32" numFmtId="49" xfId="0" applyNumberFormat="1" applyFont="1" applyBorder="1" applyAlignment="1">
      <alignment horizontal="left" vertical="center" wrapText="1"/>
    </xf>
    <xf fontId="63" fillId="0" borderId="23" numFmtId="49" xfId="0" applyNumberFormat="1" applyFont="1" applyBorder="1" applyAlignment="1">
      <alignment horizontal="left" vertical="center" wrapText="1"/>
    </xf>
    <xf fontId="0" fillId="0" borderId="23" numFmtId="49" xfId="0" applyNumberFormat="1" applyBorder="1" applyAlignment="1">
      <alignment vertical="top" wrapText="1"/>
    </xf>
    <xf fontId="0" fillId="0" borderId="23" numFmtId="49" xfId="0" applyNumberFormat="1" applyBorder="1" applyAlignment="1">
      <alignment horizontal="center" vertical="center" wrapText="1"/>
    </xf>
    <xf fontId="22" fillId="41" borderId="21" numFmtId="0" xfId="0" applyFont="1" applyFill="1" applyBorder="1" applyAlignment="1">
      <alignment horizontal="left" vertical="center" wrapText="1"/>
    </xf>
    <xf fontId="67" fillId="40" borderId="23" numFmtId="49" xfId="0" applyNumberFormat="1" applyFont="1" applyFill="1" applyBorder="1" applyAlignment="1">
      <alignment horizontal="center" vertical="center" wrapText="1"/>
    </xf>
    <xf fontId="0" fillId="39" borderId="23" numFmtId="4" xfId="0" applyNumberFormat="1" applyFill="1" applyBorder="1" applyAlignment="1">
      <alignment horizontal="right" vertical="center" wrapText="1"/>
      <protection locked="0"/>
    </xf>
    <xf fontId="0" fillId="39" borderId="23" numFmtId="3" xfId="0" applyNumberFormat="1" applyFill="1" applyBorder="1" applyAlignment="1">
      <alignment horizontal="right" vertical="center" wrapText="1"/>
      <protection locked="0"/>
    </xf>
    <xf fontId="0" fillId="39" borderId="20" numFmtId="4" xfId="0" applyNumberFormat="1" applyFill="1" applyBorder="1" applyAlignment="1">
      <alignment horizontal="right" vertical="center" wrapText="1"/>
      <protection locked="0"/>
    </xf>
    <xf fontId="0" fillId="36" borderId="23" numFmtId="0" xfId="0" applyFill="1" applyBorder="1" applyAlignment="1">
      <alignment horizontal="right" vertical="center" wrapText="1"/>
      <protection locked="0"/>
    </xf>
    <xf fontId="0" fillId="0" borderId="20" numFmtId="3" xfId="0" applyNumberFormat="1" applyBorder="1" applyAlignment="1">
      <alignment horizontal="right" vertical="center" wrapText="1"/>
    </xf>
    <xf fontId="0" fillId="0" borderId="32" numFmtId="0" xfId="0" applyBorder="1" applyAlignment="1">
      <alignment horizontal="left" vertical="top" wrapText="1"/>
    </xf>
    <xf fontId="51" fillId="42" borderId="21" numFmtId="49" xfId="0" applyNumberFormat="1" applyFont="1" applyFill="1" applyBorder="1" applyAlignment="1">
      <alignment horizontal="center" vertical="center"/>
    </xf>
    <xf fontId="70" fillId="42" borderId="25" numFmtId="0" xfId="0" applyFont="1" applyFill="1" applyBorder="1" applyAlignment="1">
      <alignment vertical="center"/>
    </xf>
    <xf fontId="70" fillId="42" borderId="25" numFmtId="49" xfId="0" applyNumberFormat="1" applyFont="1" applyFill="1" applyBorder="1" applyAlignment="1">
      <alignment vertical="center"/>
    </xf>
    <xf fontId="87" fillId="42" borderId="25" numFmtId="49" xfId="0" applyNumberFormat="1" applyFont="1" applyFill="1" applyBorder="1" applyAlignment="1">
      <alignment vertical="center"/>
    </xf>
    <xf fontId="87" fillId="42" borderId="20" numFmtId="49" xfId="0" applyNumberFormat="1" applyFont="1" applyFill="1" applyBorder="1" applyAlignment="1">
      <alignment vertical="center"/>
    </xf>
    <xf fontId="0" fillId="0" borderId="30" numFmtId="0" xfId="0" applyBorder="1" applyAlignment="1">
      <alignment horizontal="left" vertical="top" wrapText="1"/>
    </xf>
    <xf fontId="0" fillId="0" borderId="33" numFmtId="49" xfId="0" applyNumberFormat="1" applyBorder="1" applyAlignment="1">
      <alignment horizontal="center" vertical="center" wrapText="1"/>
    </xf>
    <xf fontId="22" fillId="41" borderId="26" numFmtId="0" xfId="0" applyFont="1" applyFill="1" applyBorder="1" applyAlignment="1">
      <alignment horizontal="left" vertical="center" wrapText="1"/>
    </xf>
    <xf fontId="61" fillId="40" borderId="23" numFmtId="0" xfId="0" applyFont="1" applyFill="1" applyBorder="1" applyAlignment="1">
      <alignment horizontal="center" vertical="center" wrapText="1"/>
    </xf>
    <xf fontId="22" fillId="39" borderId="23" numFmtId="49" xfId="0" applyNumberFormat="1" applyFont="1" applyFill="1" applyBorder="1" applyAlignment="1">
      <alignment horizontal="left" vertical="center" wrapText="1"/>
      <protection locked="0"/>
    </xf>
    <xf fontId="22" fillId="39" borderId="23" numFmtId="3" xfId="0" applyNumberFormat="1" applyFont="1" applyFill="1" applyBorder="1" applyAlignment="1">
      <alignment horizontal="right" vertical="center" wrapText="1"/>
      <protection locked="0"/>
    </xf>
    <xf fontId="0" fillId="0" borderId="35" numFmtId="49" xfId="0" applyNumberFormat="1" applyBorder="1" applyAlignment="1">
      <alignment horizontal="center" vertical="center" wrapText="1"/>
    </xf>
    <xf fontId="22" fillId="41" borderId="45" numFmtId="0" xfId="0" applyFont="1" applyFill="1" applyBorder="1" applyAlignment="1">
      <alignment horizontal="left" vertical="center" wrapText="1"/>
    </xf>
    <xf fontId="22" fillId="0" borderId="26" numFmtId="0" xfId="0" applyFont="1" applyBorder="1" applyAlignment="1">
      <alignment horizontal="left" indent="1" vertical="top" wrapText="1"/>
    </xf>
    <xf fontId="46" fillId="40" borderId="0" numFmtId="0" xfId="0" applyFont="1" applyFill="1" applyAlignment="1">
      <alignment horizontal="right" vertical="center"/>
    </xf>
    <xf fontId="46" fillId="40" borderId="0" numFmtId="0" xfId="0" applyFont="1" applyFill="1" applyAlignment="1">
      <alignment horizontal="right" vertical="center" wrapText="1"/>
    </xf>
    <xf fontId="36" fillId="0" borderId="0" numFmtId="0" xfId="0" applyFont="1" applyAlignment="1">
      <alignment horizontal="center" vertical="center" wrapText="1"/>
    </xf>
    <xf fontId="46" fillId="0" borderId="0" numFmtId="4" xfId="0" applyNumberFormat="1" applyFont="1" applyAlignment="1">
      <alignment horizontal="right" vertical="center" wrapText="1"/>
    </xf>
    <xf fontId="67" fillId="40" borderId="25" numFmtId="49" xfId="0" applyNumberFormat="1" applyFont="1" applyFill="1" applyBorder="1" applyAlignment="1">
      <alignment horizontal="center" vertical="center" wrapText="1"/>
    </xf>
    <xf fontId="22" fillId="0" borderId="23" numFmtId="49" xfId="0" applyNumberFormat="1" applyFont="1" applyBorder="1" applyAlignment="1">
      <alignment horizontal="left" vertical="center" wrapText="1"/>
    </xf>
    <xf fontId="61" fillId="40" borderId="29" numFmtId="0" xfId="0" applyFont="1" applyFill="1" applyBorder="1" applyAlignment="1">
      <alignment vertical="top" wrapText="1"/>
    </xf>
    <xf fontId="22" fillId="42" borderId="25" numFmtId="14" xfId="0" applyNumberFormat="1" applyFont="1" applyFill="1" applyBorder="1" applyAlignment="1">
      <alignment horizontal="center" vertical="center" wrapText="1"/>
    </xf>
    <xf fontId="80" fillId="42" borderId="25" numFmtId="14" xfId="0" applyNumberFormat="1" applyFont="1" applyFill="1" applyBorder="1" applyAlignment="1">
      <alignment horizontal="center" vertical="center" wrapText="1"/>
    </xf>
    <xf fontId="55" fillId="42" borderId="20" numFmtId="49" xfId="0" applyNumberFormat="1" applyFont="1" applyFill="1" applyBorder="1" applyAlignment="1">
      <alignment horizontal="left" vertical="center" wrapText="1"/>
    </xf>
    <xf fontId="0" fillId="0" borderId="42" numFmtId="0" xfId="0" applyBorder="1" applyAlignment="1">
      <alignment horizontal="left" vertical="top" wrapText="1"/>
    </xf>
    <xf fontId="45" fillId="0" borderId="0" numFmtId="0" xfId="0" applyFont="1" applyAlignment="1">
      <alignment horizontal="left" vertical="center" wrapText="1"/>
    </xf>
    <xf fontId="45" fillId="0" borderId="0" numFmtId="49" xfId="0" applyNumberFormat="1" applyFont="1" applyAlignment="1">
      <alignment horizontal="left" vertical="center" wrapText="1"/>
    </xf>
    <xf fontId="61" fillId="40" borderId="0" numFmtId="0" xfId="0" applyFont="1" applyFill="1" applyAlignment="1">
      <alignment vertical="top" wrapText="1"/>
    </xf>
    <xf fontId="45" fillId="40" borderId="30" numFmtId="0" xfId="0" applyFont="1" applyFill="1" applyBorder="1" applyAlignment="1">
      <alignment horizontal="center" vertical="center" wrapText="1"/>
    </xf>
    <xf fontId="22" fillId="41" borderId="30" numFmtId="14" xfId="0" applyNumberFormat="1" applyFont="1" applyFill="1" applyBorder="1" applyAlignment="1">
      <alignment horizontal="left" vertical="center" wrapText="1"/>
    </xf>
    <xf fontId="22" fillId="41" borderId="23" numFmtId="14" xfId="0" applyNumberFormat="1" applyFont="1" applyFill="1" applyBorder="1" applyAlignment="1">
      <alignment horizontal="center" vertical="center" wrapText="1"/>
    </xf>
    <xf fontId="55" fillId="39" borderId="23" numFmtId="49" xfId="0" applyNumberFormat="1" applyFont="1" applyFill="1" applyBorder="1" applyAlignment="1">
      <alignment horizontal="left" vertical="center" wrapText="1"/>
      <protection locked="0"/>
    </xf>
    <xf fontId="51" fillId="42" borderId="25" numFmtId="49" xfId="0" applyNumberFormat="1" applyFont="1" applyFill="1" applyBorder="1" applyAlignment="1">
      <alignment horizontal="center" vertical="center"/>
    </xf>
    <xf fontId="87" fillId="42" borderId="25" numFmtId="49" xfId="0" applyNumberFormat="1" applyFont="1" applyFill="1" applyBorder="1" applyAlignment="1">
      <alignment horizontal="left" indent="1" vertical="center"/>
    </xf>
    <xf fontId="87" fillId="42" borderId="20" numFmtId="49" xfId="0" applyNumberFormat="1" applyFont="1" applyFill="1" applyBorder="1" applyAlignment="1">
      <alignment horizontal="left" indent="1" vertical="center"/>
    </xf>
    <xf fontId="93" fillId="0" borderId="0" numFmtId="0" xfId="0" applyFont="1" applyAlignment="1">
      <alignment horizontal="center" vertical="center" wrapText="1"/>
    </xf>
    <xf fontId="71" fillId="0" borderId="0" numFmtId="0" xfId="0" applyFont="1" applyAlignment="1">
      <alignment vertical="top" wrapText="1"/>
    </xf>
    <xf fontId="22" fillId="0" borderId="0" numFmtId="0" xfId="0" applyFont="1" applyAlignment="1">
      <alignment horizontal="right" vertical="top" wrapText="1"/>
    </xf>
    <xf fontId="71" fillId="0" borderId="0" numFmtId="0" xfId="0" applyFont="1" applyAlignment="1">
      <alignment vertical="top"/>
    </xf>
    <xf fontId="95" fillId="0" borderId="0" numFmtId="0" xfId="0" applyFont="1" applyAlignment="1">
      <alignment vertical="center" wrapText="1"/>
    </xf>
    <xf fontId="43" fillId="0" borderId="0" numFmtId="0" xfId="0" applyFont="1" applyAlignment="1">
      <alignment horizontal="left" indent="1" vertical="center"/>
    </xf>
    <xf fontId="43" fillId="0" borderId="23" numFmtId="0" xfId="0" applyFont="1" applyBorder="1" applyAlignment="1">
      <alignment horizontal="center" vertical="center"/>
    </xf>
    <xf fontId="43" fillId="0" borderId="0" numFmtId="0" xfId="0" applyFont="1" applyAlignment="1">
      <alignment horizontal="center" vertical="center"/>
    </xf>
    <xf fontId="43" fillId="0" borderId="0" numFmtId="0" xfId="0" applyFont="1" applyAlignment="1">
      <alignment horizontal="left" vertical="center" wrapText="1"/>
    </xf>
    <xf fontId="22" fillId="0" borderId="29" numFmtId="49" xfId="0" applyNumberFormat="1" applyFont="1" applyBorder="1" applyAlignment="1">
      <alignment vertical="top"/>
    </xf>
    <xf fontId="22" fillId="40" borderId="23" numFmtId="0" xfId="0" applyFont="1" applyFill="1" applyBorder="1" applyAlignment="1">
      <alignment horizontal="left" vertical="center" wrapText="1"/>
    </xf>
    <xf fontId="22" fillId="0" borderId="23" numFmtId="0" xfId="0" applyFont="1" applyBorder="1" applyAlignment="1">
      <alignment vertical="center" wrapText="1"/>
    </xf>
    <xf fontId="22" fillId="0" borderId="23" numFmtId="0" xfId="0" applyFont="1" applyBorder="1" applyAlignment="1">
      <alignment horizontal="left" indent="6" vertical="center" wrapText="1"/>
    </xf>
    <xf fontId="22" fillId="38" borderId="21" numFmtId="0" xfId="0" applyFont="1" applyFill="1" applyBorder="1" applyAlignment="1">
      <alignment horizontal="left" vertical="center" wrapText="1"/>
    </xf>
    <xf fontId="22" fillId="38" borderId="25" numFmtId="0" xfId="0" applyFont="1" applyFill="1" applyBorder="1" applyAlignment="1">
      <alignment horizontal="left" vertical="center" wrapText="1"/>
    </xf>
    <xf fontId="22" fillId="38" borderId="20" numFmtId="0" xfId="0" applyFont="1" applyFill="1" applyBorder="1" applyAlignment="1">
      <alignment horizontal="left" vertical="center" wrapText="1"/>
    </xf>
    <xf fontId="71" fillId="0" borderId="23" numFmtId="0" xfId="0" applyFont="1" applyBorder="1" applyAlignment="1">
      <alignment vertical="top" wrapText="1"/>
    </xf>
    <xf fontId="43" fillId="0" borderId="21" numFmtId="0" xfId="0" applyFont="1" applyBorder="1" applyAlignment="1">
      <alignment horizontal="center" vertical="center"/>
    </xf>
    <xf fontId="66" fillId="40" borderId="0" numFmtId="0" xfId="0" applyFont="1" applyFill="1" applyAlignment="1">
      <alignment horizontal="center" vertical="center" wrapText="1"/>
    </xf>
    <xf fontId="22" fillId="0" borderId="29" numFmtId="0" xfId="0" applyFont="1" applyBorder="1" applyAlignment="1">
      <alignment vertical="center" wrapText="1"/>
    </xf>
    <xf fontId="22" fillId="40" borderId="23" numFmtId="0" xfId="0" applyFont="1" applyFill="1" applyBorder="1" applyAlignment="1">
      <alignment horizontal="left" indent="1" vertical="center" wrapText="1"/>
    </xf>
    <xf fontId="61" fillId="0" borderId="0" numFmtId="0" xfId="0" applyFont="1" applyAlignment="1">
      <alignment vertical="center" wrapText="1"/>
    </xf>
    <xf fontId="22" fillId="40" borderId="23" numFmtId="0" xfId="0" applyFont="1" applyFill="1" applyBorder="1" applyAlignment="1">
      <alignment horizontal="left" indent="2" vertical="center" wrapText="1"/>
    </xf>
    <xf fontId="22" fillId="40" borderId="23" numFmtId="0" xfId="0" applyFont="1" applyFill="1" applyBorder="1" applyAlignment="1">
      <alignment horizontal="left" indent="3" vertical="center" wrapText="1"/>
    </xf>
    <xf fontId="43" fillId="0" borderId="23" numFmtId="0" xfId="0" applyFont="1" applyBorder="1" applyAlignment="1">
      <alignment horizontal="center" vertical="center" wrapText="1"/>
    </xf>
    <xf fontId="45" fillId="0" borderId="29" numFmtId="0" xfId="0" applyFont="1" applyBorder="1" applyAlignment="1">
      <alignment horizontal="center" vertical="center" wrapText="1"/>
    </xf>
    <xf fontId="22" fillId="40" borderId="23" numFmtId="0" xfId="0" applyFont="1" applyFill="1" applyBorder="1" applyAlignment="1">
      <alignment horizontal="left" indent="4" vertical="center" wrapText="1"/>
    </xf>
    <xf fontId="22" fillId="41" borderId="25" numFmtId="0" xfId="0" applyFont="1" applyFill="1" applyBorder="1" applyAlignment="1">
      <alignment horizontal="left" vertical="center" wrapText="1"/>
    </xf>
    <xf fontId="22" fillId="41" borderId="20" numFmtId="0" xfId="0" applyFont="1" applyFill="1" applyBorder="1" applyAlignment="1">
      <alignment horizontal="left" vertical="center" wrapText="1"/>
    </xf>
    <xf fontId="43" fillId="0" borderId="21" numFmtId="0" xfId="0" applyFont="1" applyBorder="1" applyAlignment="1">
      <alignment horizontal="center" vertical="center" wrapText="1"/>
    </xf>
    <xf fontId="45" fillId="0" borderId="29" numFmtId="0" xfId="0" applyFont="1" applyBorder="1" applyAlignment="1">
      <alignment vertical="center" wrapText="1"/>
    </xf>
    <xf fontId="22" fillId="40" borderId="23" numFmtId="0" xfId="0" applyFont="1" applyFill="1" applyBorder="1" applyAlignment="1">
      <alignment horizontal="left" indent="5" vertical="center" wrapText="1"/>
    </xf>
    <xf fontId="22" fillId="41" borderId="23" numFmtId="0" xfId="0" applyFont="1" applyFill="1" applyBorder="1" applyAlignment="1">
      <alignment horizontal="left" indent="6" vertical="center" wrapText="1"/>
    </xf>
    <xf fontId="22" fillId="36" borderId="23" numFmtId="4" xfId="0" applyNumberFormat="1" applyFont="1" applyFill="1" applyBorder="1" applyAlignment="1">
      <alignment horizontal="right" vertical="center" wrapText="1"/>
      <protection locked="0"/>
    </xf>
    <xf fontId="22" fillId="0" borderId="23" numFmtId="4" xfId="0" applyNumberFormat="1" applyFont="1" applyBorder="1" applyAlignment="1">
      <alignment horizontal="right" vertical="center" wrapText="1"/>
    </xf>
    <xf fontId="22" fillId="36" borderId="23" numFmtId="166" xfId="0" applyNumberFormat="1" applyFont="1" applyFill="1" applyBorder="1" applyAlignment="1">
      <alignment horizontal="right" vertical="center" wrapText="1"/>
      <protection locked="0"/>
    </xf>
    <xf fontId="0" fillId="39" borderId="23" numFmtId="168" xfId="0" applyNumberFormat="1" applyFill="1" applyBorder="1" applyAlignment="1">
      <alignment horizontal="center" vertical="center" wrapText="1"/>
      <protection locked="0"/>
    </xf>
    <xf fontId="71" fillId="0" borderId="32" numFmtId="0" xfId="0" applyFont="1" applyBorder="1" applyAlignment="1">
      <alignment horizontal="left" vertical="top" wrapText="1"/>
    </xf>
    <xf fontId="45" fillId="0" borderId="23" numFmtId="4" xfId="0" applyNumberFormat="1" applyFont="1" applyBorder="1" applyAlignment="1">
      <alignment horizontal="center" vertical="center" wrapText="1"/>
    </xf>
    <xf fontId="0" fillId="39" borderId="23" numFmtId="49" xfId="0" applyNumberFormat="1" applyFill="1" applyBorder="1" applyAlignment="1">
      <alignment horizontal="center" vertical="center" wrapText="1"/>
      <protection locked="0"/>
    </xf>
    <xf fontId="71" fillId="0" borderId="42" numFmtId="0" xfId="0" applyFont="1" applyBorder="1" applyAlignment="1">
      <alignment horizontal="left" vertical="top" wrapText="1"/>
    </xf>
    <xf fontId="87" fillId="42" borderId="21" numFmtId="49" xfId="0" applyNumberFormat="1" applyFont="1" applyFill="1" applyBorder="1" applyAlignment="1">
      <alignment horizontal="left" vertical="center"/>
    </xf>
    <xf fontId="70" fillId="42" borderId="25" numFmtId="49" xfId="0" applyNumberFormat="1" applyFont="1" applyFill="1" applyBorder="1" applyAlignment="1">
      <alignment horizontal="left" indent="6" vertical="center"/>
    </xf>
    <xf fontId="22" fillId="42" borderId="20" numFmtId="49" xfId="0" applyNumberFormat="1" applyFont="1" applyFill="1" applyBorder="1" applyAlignment="1">
      <alignment horizontal="center" vertical="center" wrapText="1"/>
    </xf>
    <xf fontId="71" fillId="0" borderId="30" numFmtId="0" xfId="0" applyFont="1" applyBorder="1" applyAlignment="1">
      <alignment horizontal="left" vertical="top" wrapText="1"/>
    </xf>
    <xf fontId="70" fillId="42" borderId="25" numFmtId="49" xfId="0" applyNumberFormat="1" applyFont="1" applyFill="1" applyBorder="1" applyAlignment="1">
      <alignment horizontal="left" indent="5" vertical="center"/>
    </xf>
    <xf fontId="0" fillId="42" borderId="25" numFmtId="49" xfId="0" applyNumberFormat="1" applyFill="1" applyBorder="1" applyAlignment="1">
      <alignment horizontal="center" vertical="center" wrapText="1"/>
    </xf>
    <xf fontId="0" fillId="42" borderId="20" numFmtId="49" xfId="0" applyNumberFormat="1" applyFill="1" applyBorder="1" applyAlignment="1">
      <alignment horizontal="center" vertical="center" wrapText="1"/>
    </xf>
    <xf fontId="95" fillId="0" borderId="0" numFmtId="49" xfId="0" applyNumberFormat="1" applyFont="1" applyAlignment="1">
      <alignment vertical="top"/>
    </xf>
    <xf fontId="70" fillId="42" borderId="25" numFmtId="49" xfId="0" applyNumberFormat="1" applyFont="1" applyFill="1" applyBorder="1" applyAlignment="1">
      <alignment horizontal="left" indent="4" vertical="center"/>
    </xf>
    <xf fontId="96" fillId="0" borderId="0" numFmtId="49" xfId="0" applyNumberFormat="1" applyFont="1" applyAlignment="1">
      <alignment vertical="top"/>
    </xf>
    <xf fontId="97" fillId="0" borderId="26" numFmtId="49" xfId="0" applyNumberFormat="1" applyFont="1" applyBorder="1" applyAlignment="1">
      <alignment horizontal="left" vertical="center"/>
    </xf>
    <xf fontId="45" fillId="0" borderId="26" numFmtId="49" xfId="0" applyNumberFormat="1" applyFont="1" applyBorder="1" applyAlignment="1">
      <alignment horizontal="left" indent="3" vertical="center"/>
    </xf>
    <xf fontId="45" fillId="0" borderId="26" numFmtId="49" xfId="0" applyNumberFormat="1" applyFont="1" applyBorder="1" applyAlignment="1">
      <alignment horizontal="center" vertical="center" wrapText="1"/>
    </xf>
    <xf fontId="45" fillId="0" borderId="0" numFmtId="49" xfId="0" applyNumberFormat="1" applyFont="1" applyAlignment="1">
      <alignment horizontal="left" vertical="center"/>
    </xf>
    <xf fontId="97" fillId="0" borderId="0" numFmtId="49" xfId="0" applyNumberFormat="1" applyFont="1" applyAlignment="1">
      <alignment horizontal="left" vertical="center"/>
    </xf>
    <xf fontId="45" fillId="0" borderId="0" numFmtId="49" xfId="0" applyNumberFormat="1" applyFont="1" applyAlignment="1">
      <alignment horizontal="left" indent="2" vertical="center"/>
    </xf>
    <xf fontId="45" fillId="0" borderId="0" numFmtId="49" xfId="0" applyNumberFormat="1" applyFont="1" applyAlignment="1">
      <alignment horizontal="center" vertical="center" wrapText="1"/>
    </xf>
    <xf fontId="45" fillId="0" borderId="0" numFmtId="49" xfId="0" applyNumberFormat="1" applyFont="1" applyAlignment="1">
      <alignment horizontal="left" indent="1" vertical="center"/>
    </xf>
    <xf fontId="43" fillId="0" borderId="23" numFmtId="4" xfId="0" applyNumberFormat="1" applyFont="1" applyBorder="1" applyAlignment="1">
      <alignment horizontal="right" vertical="center" wrapText="1"/>
    </xf>
    <xf fontId="43" fillId="0" borderId="23" numFmtId="166" xfId="0" applyNumberFormat="1" applyFont="1" applyBorder="1" applyAlignment="1">
      <alignment horizontal="right" vertical="center" wrapText="1"/>
    </xf>
    <xf fontId="43" fillId="0" borderId="23" numFmtId="168" xfId="0" applyNumberFormat="1" applyFont="1" applyBorder="1" applyAlignment="1">
      <alignment horizontal="center" vertical="center" wrapText="1"/>
    </xf>
    <xf fontId="43" fillId="0" borderId="23" numFmtId="49" xfId="0" applyNumberFormat="1" applyFont="1" applyBorder="1" applyAlignment="1">
      <alignment horizontal="center" vertical="center" wrapText="1"/>
    </xf>
    <xf fontId="43" fillId="0" borderId="23" numFmtId="49" xfId="0" applyNumberFormat="1" applyFont="1" applyBorder="1" applyAlignment="1">
      <alignment vertical="center" wrapText="1"/>
    </xf>
    <xf fontId="98" fillId="0" borderId="0" numFmtId="0" xfId="0" applyFont="1" applyAlignment="1">
      <alignment vertical="center" wrapText="1"/>
    </xf>
    <xf fontId="95" fillId="40" borderId="0" numFmtId="0" xfId="0" applyFont="1" applyFill="1" applyAlignment="1">
      <alignment vertical="center" wrapText="1"/>
    </xf>
    <xf fontId="22" fillId="40" borderId="0" numFmtId="0" xfId="0" applyFont="1" applyFill="1" applyAlignment="1">
      <alignment horizontal="left" vertical="center" wrapText="1"/>
    </xf>
    <xf fontId="51" fillId="40" borderId="0" numFmtId="0" xfId="0" applyFont="1" applyFill="1" applyAlignment="1">
      <alignment horizontal="center" vertical="center" wrapText="1"/>
    </xf>
    <xf fontId="0" fillId="40" borderId="23" numFmtId="0" xfId="0" applyFill="1" applyBorder="1" applyAlignment="1">
      <alignment horizontal="right" indent="1" vertical="center" wrapText="1"/>
    </xf>
    <xf fontId="0" fillId="0" borderId="25" numFmtId="0" xfId="0" applyBorder="1" applyAlignment="1">
      <alignment vertical="center"/>
    </xf>
    <xf fontId="22" fillId="38" borderId="23" numFmtId="0" xfId="0" applyFont="1" applyFill="1" applyBorder="1" applyAlignment="1">
      <alignment horizontal="left" indent="1" vertical="center" wrapText="1"/>
    </xf>
    <xf fontId="99" fillId="0" borderId="0" numFmtId="0" xfId="0" applyFont="1" applyAlignment="1">
      <alignment vertical="center"/>
    </xf>
    <xf fontId="22" fillId="38" borderId="23" numFmtId="168" xfId="0" applyNumberFormat="1" applyFont="1" applyFill="1" applyBorder="1" applyAlignment="1">
      <alignment horizontal="left" indent="1" vertical="center" wrapText="1"/>
    </xf>
    <xf fontId="22" fillId="40" borderId="45" numFmtId="0" xfId="0" applyFont="1" applyFill="1" applyBorder="1" applyAlignment="1">
      <alignment vertical="center" wrapText="1"/>
    </xf>
    <xf fontId="61" fillId="0" borderId="45" numFmtId="0" xfId="0" applyFont="1" applyBorder="1" applyAlignment="1">
      <alignment horizontal="center" vertical="center" wrapText="1"/>
    </xf>
    <xf fontId="22" fillId="0" borderId="32" numFmtId="0" xfId="0" applyFont="1" applyBorder="1" applyAlignment="1">
      <alignment vertical="center" wrapText="1"/>
    </xf>
    <xf fontId="0" fillId="40" borderId="21" numFmtId="0" xfId="0" applyFill="1" applyBorder="1" applyAlignment="1">
      <alignment horizontal="center" vertical="center" wrapText="1"/>
    </xf>
    <xf fontId="0" fillId="40" borderId="25" numFmtId="0" xfId="0" applyFill="1" applyBorder="1" applyAlignment="1">
      <alignment horizontal="center" vertical="center" wrapText="1"/>
    </xf>
    <xf fontId="0" fillId="40" borderId="20" numFmtId="0" xfId="0" applyFill="1" applyBorder="1" applyAlignment="1">
      <alignment horizontal="center" vertical="center" wrapText="1"/>
    </xf>
    <xf fontId="22" fillId="40" borderId="32" numFmtId="0" xfId="0" applyFont="1" applyFill="1" applyBorder="1" applyAlignment="1">
      <alignment horizontal="center" vertical="center" wrapText="1"/>
    </xf>
    <xf fontId="70" fillId="42" borderId="32" numFmtId="49" xfId="0" applyNumberFormat="1" applyFont="1" applyFill="1" applyBorder="1" applyAlignment="1">
      <alignment horizontal="center" textRotation="90" vertical="center" wrapText="1"/>
    </xf>
    <xf fontId="22" fillId="0" borderId="42" numFmtId="0" xfId="0" applyFont="1" applyBorder="1" applyAlignment="1">
      <alignment vertical="center" wrapText="1"/>
    </xf>
    <xf fontId="43" fillId="0" borderId="32" numFmtId="0" xfId="0" applyFont="1" applyBorder="1" applyAlignment="1">
      <alignment horizontal="center" vertical="center" wrapText="1"/>
    </xf>
    <xf fontId="22" fillId="40" borderId="42" numFmtId="0" xfId="0" applyFont="1" applyFill="1" applyBorder="1" applyAlignment="1">
      <alignment horizontal="center" vertical="center" wrapText="1"/>
    </xf>
    <xf fontId="70" fillId="42" borderId="42" numFmtId="49" xfId="0" applyNumberFormat="1" applyFont="1" applyFill="1" applyBorder="1" applyAlignment="1">
      <alignment horizontal="center" textRotation="90" vertical="center" wrapText="1"/>
    </xf>
    <xf fontId="22" fillId="0" borderId="30" numFmtId="0" xfId="0" applyFont="1" applyBorder="1" applyAlignment="1">
      <alignment vertical="center" wrapText="1"/>
    </xf>
    <xf fontId="43" fillId="0" borderId="30" numFmtId="0" xfId="0" applyFont="1" applyBorder="1" applyAlignment="1">
      <alignment horizontal="center" vertical="center" wrapText="1"/>
    </xf>
    <xf fontId="22" fillId="40" borderId="30" numFmtId="0" xfId="0" applyFont="1" applyFill="1" applyBorder="1" applyAlignment="1">
      <alignment horizontal="center" vertical="center" wrapText="1"/>
    </xf>
    <xf fontId="70" fillId="42" borderId="30" numFmtId="49" xfId="0" applyNumberFormat="1" applyFont="1" applyFill="1" applyBorder="1" applyAlignment="1">
      <alignment horizontal="center" textRotation="90" vertical="center" wrapText="1"/>
    </xf>
    <xf fontId="63" fillId="0" borderId="0" numFmtId="49" xfId="0" applyNumberFormat="1" applyFont="1" applyAlignment="1">
      <alignment vertical="center" wrapText="1"/>
    </xf>
    <xf fontId="100" fillId="40" borderId="0" numFmtId="0" xfId="0" applyFont="1" applyFill="1" applyAlignment="1">
      <alignment vertical="center" wrapText="1"/>
    </xf>
    <xf fontId="96" fillId="40" borderId="0" numFmtId="0" xfId="0" applyFont="1" applyFill="1" applyAlignment="1">
      <alignment vertical="center" wrapText="1"/>
    </xf>
    <xf fontId="94" fillId="40" borderId="26" numFmtId="49" xfId="0" applyNumberFormat="1" applyFont="1" applyFill="1" applyBorder="1" applyAlignment="1">
      <alignment horizontal="left" vertical="center" wrapText="1"/>
    </xf>
    <xf fontId="94" fillId="40" borderId="26" numFmtId="49" xfId="0" applyNumberFormat="1" applyFont="1" applyFill="1" applyBorder="1" applyAlignment="1">
      <alignment horizontal="center" vertical="center" wrapText="1"/>
    </xf>
    <xf fontId="45" fillId="40" borderId="26" numFmtId="0" xfId="0" applyFont="1" applyFill="1" applyBorder="1" applyAlignment="1">
      <alignment horizontal="center" vertical="center" wrapText="1"/>
    </xf>
    <xf fontId="94" fillId="40" borderId="26" numFmtId="0" xfId="0" applyFont="1" applyFill="1" applyBorder="1" applyAlignment="1">
      <alignment horizontal="center" vertical="center" wrapText="1"/>
    </xf>
    <xf fontId="0" fillId="39" borderId="32" numFmtId="168" xfId="0" applyNumberFormat="1" applyFill="1" applyBorder="1" applyAlignment="1">
      <alignment horizontal="center" vertical="center" wrapText="1"/>
      <protection locked="0"/>
    </xf>
    <xf fontId="22" fillId="0" borderId="32" numFmtId="4" xfId="0" applyNumberFormat="1" applyFont="1" applyBorder="1" applyAlignment="1">
      <alignment horizontal="right" vertical="center" wrapText="1"/>
    </xf>
    <xf fontId="0" fillId="39" borderId="30" numFmtId="49" xfId="0" applyNumberFormat="1" applyFill="1" applyBorder="1" applyAlignment="1">
      <alignment horizontal="center" vertical="center" wrapText="1"/>
      <protection locked="0"/>
    </xf>
    <xf fontId="22" fillId="0" borderId="30" numFmtId="4" xfId="0" applyNumberFormat="1" applyFont="1" applyBorder="1" applyAlignment="1">
      <alignment horizontal="right" vertical="center" wrapText="1"/>
    </xf>
    <xf fontId="22" fillId="0" borderId="0" numFmtId="0" xfId="0" applyFont="1" applyAlignment="1">
      <alignment horizontal="left" vertical="top" wrapText="1"/>
    </xf>
    <xf fontId="22" fillId="0" borderId="23" numFmtId="0" xfId="0" applyFont="1" applyBorder="1" applyAlignment="1">
      <alignment horizontal="center" vertical="center"/>
    </xf>
    <xf fontId="22" fillId="0" borderId="21" numFmtId="0" xfId="0" applyFont="1" applyBorder="1" applyAlignment="1">
      <alignment horizontal="center" vertical="center"/>
    </xf>
    <xf fontId="63" fillId="0" borderId="0" numFmtId="0" xfId="0" applyFont="1" applyAlignment="1">
      <alignment horizontal="left" indent="1" vertical="center"/>
    </xf>
    <xf fontId="63" fillId="0" borderId="0" numFmtId="0" xfId="0" applyFont="1" applyAlignment="1">
      <alignment horizontal="center" vertical="center"/>
    </xf>
    <xf fontId="63" fillId="0" borderId="0" numFmtId="0" xfId="0" applyFont="1" applyAlignment="1">
      <alignment horizontal="left" vertical="center" wrapText="1"/>
    </xf>
    <xf fontId="63" fillId="0" borderId="0" numFmtId="49" xfId="0" applyNumberFormat="1" applyFont="1" applyAlignment="1">
      <alignment horizontal="left" vertical="center"/>
    </xf>
    <xf fontId="22" fillId="0" borderId="23" numFmtId="49" xfId="0" applyNumberFormat="1" applyFont="1" applyBorder="1" applyAlignment="1">
      <alignment vertical="center" wrapText="1"/>
    </xf>
    <xf fontId="22" fillId="0" borderId="0" numFmtId="49" xfId="0" applyNumberFormat="1" applyFont="1" applyAlignment="1">
      <alignment horizontal="left" vertical="center"/>
    </xf>
    <xf fontId="22" fillId="0" borderId="23" numFmtId="166" xfId="0" applyNumberFormat="1" applyFont="1" applyBorder="1" applyAlignment="1">
      <alignment horizontal="right" vertical="center" wrapText="1"/>
    </xf>
    <xf fontId="0" fillId="40" borderId="26" numFmtId="0" xfId="0" applyFill="1" applyBorder="1" applyAlignment="1">
      <alignment horizontal="center" vertical="center" wrapText="1"/>
    </xf>
    <xf fontId="45" fillId="0" borderId="32" numFmtId="0" xfId="0" applyFont="1" applyBorder="1" applyAlignment="1">
      <alignment horizontal="center" vertical="center" wrapText="1"/>
    </xf>
    <xf fontId="45" fillId="0" borderId="23" numFmtId="0" xfId="0" applyFont="1" applyBorder="1" applyAlignment="1">
      <alignment horizontal="left" indent="4" vertical="center" wrapText="1"/>
    </xf>
    <xf fontId="45" fillId="0" borderId="23" numFmtId="0" xfId="0" applyFont="1" applyBorder="1" applyAlignment="1">
      <alignment horizontal="left" indent="6" vertical="center" wrapText="1"/>
    </xf>
    <xf fontId="45" fillId="0" borderId="21" numFmtId="0" xfId="0" applyFont="1" applyBorder="1" applyAlignment="1">
      <alignment horizontal="left" vertical="center" wrapText="1"/>
    </xf>
    <xf fontId="45" fillId="0" borderId="25" numFmtId="0" xfId="0" applyFont="1" applyBorder="1" applyAlignment="1">
      <alignment horizontal="left" vertical="center" wrapText="1"/>
    </xf>
    <xf fontId="45" fillId="0" borderId="20" numFmtId="0" xfId="0" applyFont="1" applyBorder="1" applyAlignment="1">
      <alignment horizontal="left" vertical="center" wrapText="1"/>
    </xf>
    <xf fontId="45" fillId="0" borderId="23" numFmtId="0" xfId="0" applyFont="1" applyBorder="1" applyAlignment="1">
      <alignment vertical="top" wrapText="1"/>
    </xf>
    <xf fontId="97" fillId="0" borderId="21" numFmtId="49" xfId="0" applyNumberFormat="1" applyFont="1" applyBorder="1" applyAlignment="1">
      <alignment horizontal="left" vertical="center"/>
    </xf>
    <xf fontId="45" fillId="0" borderId="25" numFmtId="49" xfId="0" applyNumberFormat="1" applyFont="1" applyBorder="1" applyAlignment="1">
      <alignment horizontal="left" indent="4" vertical="center"/>
    </xf>
    <xf fontId="45" fillId="0" borderId="25" numFmtId="49" xfId="0" applyNumberFormat="1" applyFont="1" applyBorder="1" applyAlignment="1">
      <alignment horizontal="center" vertical="center" wrapText="1"/>
    </xf>
    <xf fontId="45" fillId="0" borderId="20" numFmtId="49" xfId="0" applyNumberFormat="1" applyFont="1" applyBorder="1" applyAlignment="1">
      <alignment horizontal="center" vertical="center" wrapText="1"/>
    </xf>
    <xf fontId="45" fillId="0" borderId="0" numFmtId="49" xfId="0" applyNumberFormat="1" applyFont="1" applyAlignment="1">
      <alignment vertical="center" wrapText="1"/>
    </xf>
    <xf fontId="43" fillId="0" borderId="0" numFmtId="0" xfId="0" applyFont="1" applyAlignment="1">
      <alignment vertical="top" wrapText="1"/>
    </xf>
    <xf fontId="22" fillId="40" borderId="32" numFmtId="0" xfId="0" applyFont="1" applyFill="1" applyBorder="1" applyAlignment="1">
      <alignment horizontal="left" vertical="center" wrapText="1"/>
    </xf>
    <xf fontId="22" fillId="40" borderId="32" numFmtId="0" xfId="0" applyFont="1" applyFill="1" applyBorder="1" applyAlignment="1">
      <alignment horizontal="left" indent="2" vertical="center" wrapText="1"/>
    </xf>
    <xf fontId="22" fillId="0" borderId="32" numFmtId="0" xfId="0" applyFont="1" applyBorder="1" applyAlignment="1">
      <alignment horizontal="left" indent="6" vertical="center" wrapText="1"/>
    </xf>
    <xf fontId="22" fillId="38" borderId="33" numFmtId="0" xfId="0" applyFont="1" applyFill="1" applyBorder="1" applyAlignment="1">
      <alignment horizontal="left" vertical="center" wrapText="1"/>
    </xf>
    <xf fontId="22" fillId="38" borderId="26" numFmtId="0" xfId="0" applyFont="1" applyFill="1" applyBorder="1" applyAlignment="1">
      <alignment horizontal="left" vertical="center" wrapText="1"/>
    </xf>
    <xf fontId="22" fillId="38" borderId="27" numFmtId="0" xfId="0" applyFont="1" applyFill="1" applyBorder="1" applyAlignment="1">
      <alignment horizontal="left" vertical="center" wrapText="1"/>
    </xf>
    <xf fontId="22" fillId="38" borderId="23" numFmtId="0" xfId="0" applyFont="1" applyFill="1" applyBorder="1" applyAlignment="1">
      <alignment horizontal="left" vertical="center" wrapText="1"/>
    </xf>
    <xf fontId="71" fillId="0" borderId="20" numFmtId="0" xfId="0" applyFont="1" applyBorder="1" applyAlignment="1">
      <alignment vertical="top" wrapText="1"/>
    </xf>
    <xf fontId="45" fillId="0" borderId="20" numFmtId="0" xfId="0" applyFont="1" applyBorder="1" applyAlignment="1">
      <alignment vertical="top" wrapText="1"/>
    </xf>
    <xf fontId="22" fillId="41" borderId="23" numFmtId="0" xfId="0" applyFont="1" applyFill="1" applyBorder="1" applyAlignment="1">
      <alignment horizontal="left" vertical="center" wrapText="1"/>
    </xf>
    <xf fontId="22" fillId="40" borderId="30" numFmtId="0" xfId="0" applyFont="1" applyFill="1" applyBorder="1" applyAlignment="1">
      <alignment horizontal="left" vertical="center" wrapText="1"/>
    </xf>
    <xf fontId="22" fillId="41" borderId="30" numFmtId="0" xfId="0" applyFont="1" applyFill="1" applyBorder="1" applyAlignment="1">
      <alignment horizontal="left" indent="6" vertical="center" wrapText="1"/>
    </xf>
    <xf fontId="22" fillId="0" borderId="30" numFmtId="0" xfId="0" applyFont="1" applyBorder="1" applyAlignment="1">
      <alignment horizontal="left" indent="6" vertical="center" wrapText="1"/>
    </xf>
    <xf fontId="22" fillId="36" borderId="30" numFmtId="4" xfId="0" applyNumberFormat="1" applyFont="1" applyFill="1" applyBorder="1" applyAlignment="1">
      <alignment horizontal="right" vertical="center" wrapText="1"/>
      <protection locked="0"/>
    </xf>
    <xf fontId="22" fillId="36" borderId="30" numFmtId="166" xfId="0" applyNumberFormat="1" applyFont="1" applyFill="1" applyBorder="1" applyAlignment="1">
      <alignment horizontal="right" vertical="center" wrapText="1"/>
      <protection locked="0"/>
    </xf>
    <xf fontId="0" fillId="39" borderId="30" numFmtId="168" xfId="0" applyNumberFormat="1" applyFill="1" applyBorder="1" applyAlignment="1">
      <alignment horizontal="center" vertical="center" wrapText="1"/>
      <protection locked="0"/>
    </xf>
    <xf fontId="22" fillId="41" borderId="27" numFmtId="0" xfId="0" applyFont="1" applyFill="1" applyBorder="1" applyAlignment="1">
      <alignment horizontal="left" vertical="center" wrapText="1"/>
    </xf>
    <xf fontId="22" fillId="36" borderId="21" numFmtId="166" xfId="0" applyNumberFormat="1" applyFont="1" applyFill="1" applyBorder="1" applyAlignment="1">
      <alignment horizontal="right" vertical="center" wrapText="1"/>
      <protection locked="0"/>
    </xf>
    <xf fontId="22" fillId="36" borderId="20" numFmtId="4" xfId="0" applyNumberFormat="1" applyFont="1" applyFill="1" applyBorder="1" applyAlignment="1">
      <alignment horizontal="right" vertical="center" wrapText="1"/>
      <protection locked="0"/>
    </xf>
    <xf fontId="71" fillId="0" borderId="32" numFmtId="0" xfId="0" applyFont="1" applyBorder="1" applyAlignment="1">
      <alignment vertical="top" wrapText="1"/>
    </xf>
    <xf fontId="22" fillId="36" borderId="23" numFmtId="0" xfId="0" applyFont="1" applyFill="1" applyBorder="1" applyAlignment="1">
      <alignment horizontal="left" indent="7" vertical="center" wrapText="1"/>
      <protection locked="0"/>
    </xf>
    <xf fontId="45" fillId="0" borderId="21" numFmtId="4" xfId="0" applyNumberFormat="1" applyFont="1" applyBorder="1" applyAlignment="1">
      <alignment horizontal="center" vertical="center" wrapText="1"/>
    </xf>
    <xf fontId="22" fillId="0" borderId="20" numFmtId="4" xfId="0" applyNumberFormat="1" applyFont="1" applyBorder="1" applyAlignment="1">
      <alignment horizontal="right" vertical="center" wrapText="1"/>
    </xf>
    <xf fontId="22" fillId="42" borderId="25" numFmtId="0" xfId="0" applyFont="1" applyFill="1" applyBorder="1" applyAlignment="1">
      <alignment horizontal="left" indent="6" vertical="center" wrapText="1"/>
    </xf>
    <xf fontId="22" fillId="42" borderId="25" numFmtId="4" xfId="0" applyNumberFormat="1" applyFont="1" applyFill="1" applyBorder="1" applyAlignment="1">
      <alignment horizontal="right" vertical="center" wrapText="1"/>
    </xf>
    <xf fontId="45" fillId="42" borderId="25" numFmtId="4" xfId="0" applyNumberFormat="1" applyFont="1" applyFill="1" applyBorder="1" applyAlignment="1">
      <alignment horizontal="center" vertical="center" wrapText="1"/>
    </xf>
    <xf fontId="22" fillId="42" borderId="20" numFmtId="4" xfId="0" applyNumberFormat="1" applyFont="1" applyFill="1" applyBorder="1" applyAlignment="1">
      <alignment horizontal="right" vertical="center" wrapText="1"/>
    </xf>
    <xf fontId="22" fillId="42" borderId="45" numFmtId="49" xfId="0" applyNumberFormat="1" applyFont="1" applyFill="1" applyBorder="1" applyAlignment="1">
      <alignment horizontal="center" vertical="center" wrapText="1"/>
    </xf>
    <xf fontId="22" fillId="0" borderId="26" numFmtId="0" xfId="0" applyFont="1" applyBorder="1" applyAlignment="1">
      <alignment horizontal="center" vertical="center" wrapText="1"/>
    </xf>
    <xf fontId="22" fillId="0" borderId="45" numFmtId="0" xfId="0" applyFont="1" applyBorder="1" applyAlignment="1">
      <alignment horizontal="center" vertical="center" wrapText="1"/>
    </xf>
    <xf fontId="0" fillId="0" borderId="42" numFmtId="0" xfId="0" applyBorder="1" applyAlignment="1">
      <alignment horizontal="center" vertical="center" wrapText="1"/>
    </xf>
    <xf fontId="64" fillId="40" borderId="0" numFmtId="0" xfId="0" applyFont="1" applyFill="1" applyAlignment="1">
      <alignment horizontal="center" vertical="center" wrapText="1"/>
    </xf>
    <xf fontId="45" fillId="0" borderId="23" numFmtId="0" xfId="0" applyFont="1" applyBorder="1" applyAlignment="1">
      <alignment horizontal="left" indent="5" vertical="center" wrapText="1"/>
    </xf>
    <xf fontId="45" fillId="0" borderId="29" numFmtId="0" xfId="0" applyFont="1" applyBorder="1" applyAlignment="1">
      <alignment horizontal="center" vertical="top" wrapText="1"/>
    </xf>
    <xf fontId="22" fillId="39" borderId="32" numFmtId="49" xfId="0" applyNumberFormat="1" applyFont="1" applyFill="1" applyBorder="1" applyAlignment="1">
      <alignment horizontal="left" indent="6" vertical="center" wrapText="1"/>
      <protection locked="0"/>
    </xf>
    <xf fontId="61" fillId="0" borderId="23" numFmtId="0" xfId="0" applyFont="1" applyBorder="1" applyAlignment="1">
      <alignment horizontal="center" vertical="center" wrapText="1"/>
    </xf>
    <xf fontId="22" fillId="0" borderId="23" numFmtId="0" xfId="0" applyFont="1" applyBorder="1" applyAlignment="1">
      <alignment horizontal="left" indent="4" vertical="center" wrapText="1"/>
    </xf>
    <xf fontId="22" fillId="40" borderId="42" numFmtId="0" xfId="0" applyFont="1" applyFill="1" applyBorder="1" applyAlignment="1">
      <alignment horizontal="left" vertical="center" wrapText="1"/>
    </xf>
    <xf fontId="22" fillId="39" borderId="42" numFmtId="49" xfId="0" applyNumberFormat="1" applyFont="1" applyFill="1" applyBorder="1" applyAlignment="1">
      <alignment horizontal="left" indent="6" vertical="center" wrapText="1"/>
      <protection locked="0"/>
    </xf>
    <xf fontId="22" fillId="42" borderId="20" numFmtId="166" xfId="0" applyNumberFormat="1" applyFont="1" applyFill="1" applyBorder="1" applyAlignment="1">
      <alignment horizontal="right" vertical="center" wrapText="1"/>
    </xf>
    <xf fontId="70" fillId="42" borderId="21" numFmtId="49" xfId="0" applyNumberFormat="1" applyFont="1" applyFill="1" applyBorder="1" applyAlignment="1">
      <alignment horizontal="left" vertical="center"/>
    </xf>
    <xf fontId="22" fillId="42" borderId="25" numFmtId="166" xfId="0" applyNumberFormat="1" applyFont="1" applyFill="1" applyBorder="1" applyAlignment="1">
      <alignment horizontal="right" vertical="center" wrapText="1"/>
    </xf>
    <xf fontId="22" fillId="0" borderId="42" numFmtId="4" xfId="0" applyNumberFormat="1" applyFont="1" applyBorder="1" applyAlignment="1">
      <alignment horizontal="right" vertical="center" wrapText="1"/>
    </xf>
    <xf fontId="70" fillId="42" borderId="21" numFmtId="49" xfId="0" applyNumberFormat="1" applyFont="1" applyFill="1" applyBorder="1" applyAlignment="1">
      <alignment horizontal="left" indent="1" vertical="center"/>
    </xf>
    <xf fontId="22" fillId="39" borderId="30" numFmtId="49" xfId="0" applyNumberFormat="1" applyFont="1" applyFill="1" applyBorder="1" applyAlignment="1">
      <alignment horizontal="left" indent="6" vertical="center" wrapText="1"/>
      <protection locked="0"/>
    </xf>
    <xf fontId="45" fillId="42" borderId="20" numFmtId="4" xfId="0" applyNumberFormat="1" applyFont="1" applyFill="1" applyBorder="1" applyAlignment="1">
      <alignment horizontal="center" vertical="center" wrapText="1"/>
    </xf>
    <xf fontId="70" fillId="42" borderId="21" numFmtId="49" xfId="0" applyNumberFormat="1" applyFont="1" applyFill="1" applyBorder="1" applyAlignment="1">
      <alignment vertical="center" wrapText="1"/>
    </xf>
    <xf fontId="70" fillId="42" borderId="25" numFmtId="49" xfId="0" applyNumberFormat="1" applyFont="1" applyFill="1" applyBorder="1" applyAlignment="1">
      <alignment vertical="center" wrapText="1"/>
    </xf>
    <xf fontId="45" fillId="0" borderId="29" numFmtId="49" xfId="0" applyNumberFormat="1" applyFont="1" applyBorder="1" applyAlignment="1">
      <alignment vertical="top"/>
    </xf>
    <xf fontId="101" fillId="0" borderId="0" numFmtId="0" xfId="0" applyFont="1" applyAlignment="1">
      <alignment horizontal="center" vertical="center" wrapText="1"/>
    </xf>
    <xf fontId="45" fillId="0" borderId="0" numFmtId="49" xfId="0" applyNumberFormat="1" applyFont="1" applyAlignment="1">
      <alignment horizontal="left" indent="1" vertical="center" wrapText="1"/>
    </xf>
    <xf fontId="45" fillId="0" borderId="0" numFmtId="0" xfId="0" applyFont="1" applyAlignment="1">
      <alignment horizontal="left" indent="4" vertical="center" wrapText="1"/>
    </xf>
    <xf fontId="45" fillId="0" borderId="29" numFmtId="0" xfId="0" applyFont="1" applyBorder="1" applyAlignment="1">
      <alignment horizontal="left" indent="1" vertical="center" wrapText="1"/>
    </xf>
    <xf fontId="45" fillId="0" borderId="23" numFmtId="4" xfId="0" applyNumberFormat="1" applyFont="1" applyBorder="1" applyAlignment="1">
      <alignment horizontal="right" vertical="center" wrapText="1"/>
    </xf>
    <xf fontId="45" fillId="0" borderId="23" numFmtId="166" xfId="0" applyNumberFormat="1" applyFont="1" applyBorder="1" applyAlignment="1">
      <alignment horizontal="right" vertical="center" wrapText="1"/>
    </xf>
    <xf fontId="45" fillId="0" borderId="23" numFmtId="168" xfId="0" applyNumberFormat="1" applyFont="1" applyBorder="1" applyAlignment="1">
      <alignment horizontal="center" vertical="center" wrapText="1"/>
    </xf>
    <xf fontId="45" fillId="0" borderId="23" numFmtId="49" xfId="0" applyNumberFormat="1" applyFont="1" applyBorder="1" applyAlignment="1">
      <alignment horizontal="center" vertical="center" wrapText="1"/>
    </xf>
    <xf fontId="43" fillId="0" borderId="0" numFmtId="0" xfId="0" applyFont="1" applyAlignment="1">
      <alignment horizontal="left" vertical="center"/>
    </xf>
    <xf fontId="43" fillId="0" borderId="0" numFmtId="49" xfId="0" applyNumberFormat="1" applyFont="1" applyAlignment="1">
      <alignment horizontal="left" vertical="center"/>
    </xf>
    <xf fontId="98" fillId="0" borderId="0" numFmtId="0" xfId="0" applyFont="1" applyAlignment="1">
      <alignment horizontal="left" vertical="center"/>
    </xf>
    <xf fontId="45" fillId="0" borderId="0" numFmtId="0" xfId="0" applyFont="1" applyAlignment="1">
      <alignment horizontal="left" vertical="center"/>
    </xf>
    <xf fontId="98" fillId="40" borderId="0" numFmtId="0" xfId="0" applyFont="1" applyFill="1" applyAlignment="1">
      <alignment vertical="center" wrapText="1"/>
    </xf>
    <xf fontId="22" fillId="40" borderId="33" numFmtId="0" xfId="0" applyFont="1" applyFill="1" applyBorder="1" applyAlignment="1">
      <alignment horizontal="center" vertical="center" wrapText="1"/>
    </xf>
    <xf fontId="0" fillId="40" borderId="33" numFmtId="0" xfId="0" applyFill="1" applyBorder="1" applyAlignment="1">
      <alignment horizontal="center" vertical="center" wrapText="1"/>
    </xf>
    <xf fontId="0" fillId="40" borderId="27" numFmtId="0" xfId="0" applyFill="1" applyBorder="1" applyAlignment="1">
      <alignment horizontal="center" vertical="center" wrapText="1"/>
    </xf>
    <xf fontId="22" fillId="40" borderId="28" numFmtId="0" xfId="0" applyFont="1" applyFill="1" applyBorder="1" applyAlignment="1">
      <alignment horizontal="center" vertical="center" wrapText="1"/>
    </xf>
    <xf fontId="0" fillId="40" borderId="28" numFmtId="0" xfId="0" applyFill="1" applyBorder="1" applyAlignment="1">
      <alignment horizontal="center" vertical="center" wrapText="1"/>
    </xf>
    <xf fontId="0" fillId="40" borderId="0" numFmtId="0" xfId="0" applyFill="1" applyAlignment="1">
      <alignment horizontal="center" vertical="center" wrapText="1"/>
    </xf>
    <xf fontId="0" fillId="40" borderId="29" numFmtId="0" xfId="0" applyFill="1" applyBorder="1" applyAlignment="1">
      <alignment horizontal="center" vertical="center" wrapText="1"/>
    </xf>
    <xf fontId="22" fillId="38" borderId="23" numFmtId="0" xfId="0" applyFont="1" applyFill="1" applyBorder="1" applyAlignment="1">
      <alignment horizontal="center" vertical="center" wrapText="1"/>
    </xf>
    <xf fontId="22" fillId="39" borderId="23" numFmtId="0" xfId="0" applyFont="1" applyFill="1" applyBorder="1" applyAlignment="1">
      <alignment horizontal="center" vertical="center" wrapText="1"/>
      <protection locked="0"/>
    </xf>
    <xf fontId="22" fillId="40" borderId="35" numFmtId="0" xfId="0" applyFont="1" applyFill="1" applyBorder="1" applyAlignment="1">
      <alignment horizontal="center" vertical="center" wrapText="1"/>
    </xf>
    <xf fontId="0" fillId="40" borderId="35" numFmtId="0" xfId="0" applyFill="1" applyBorder="1" applyAlignment="1">
      <alignment horizontal="center" vertical="center" wrapText="1"/>
    </xf>
    <xf fontId="0" fillId="40" borderId="45" numFmtId="0" xfId="0" applyFill="1" applyBorder="1" applyAlignment="1">
      <alignment horizontal="center" vertical="center" wrapText="1"/>
    </xf>
    <xf fontId="0" fillId="40" borderId="34" numFmtId="0" xfId="0" applyFill="1" applyBorder="1" applyAlignment="1">
      <alignment horizontal="center" vertical="center" wrapText="1"/>
    </xf>
    <xf fontId="22" fillId="0" borderId="23" numFmtId="0" xfId="0" applyFont="1" applyBorder="1" applyAlignment="1">
      <alignment horizontal="left" indent="1" vertical="center" wrapText="1"/>
    </xf>
    <xf fontId="22" fillId="42" borderId="21" numFmtId="49" xfId="0" applyNumberFormat="1" applyFont="1" applyFill="1" applyBorder="1" applyAlignment="1">
      <alignment horizontal="center" vertical="center" wrapText="1"/>
    </xf>
    <xf fontId="63" fillId="0" borderId="29" numFmtId="49" xfId="0" applyNumberFormat="1" applyFont="1" applyBorder="1" applyAlignment="1">
      <alignment vertical="top"/>
    </xf>
    <xf fontId="22" fillId="36" borderId="21" numFmtId="0" xfId="0" applyFont="1" applyFill="1" applyBorder="1" applyAlignment="1">
      <alignment horizontal="left" vertical="center" wrapText="1"/>
      <protection locked="0"/>
    </xf>
    <xf fontId="22" fillId="36" borderId="25" numFmtId="0" xfId="0" applyFont="1" applyFill="1" applyBorder="1" applyAlignment="1">
      <alignment horizontal="left" vertical="center" wrapText="1"/>
      <protection locked="0"/>
    </xf>
    <xf fontId="22" fillId="36" borderId="20" numFmtId="0" xfId="0" applyFont="1" applyFill="1" applyBorder="1" applyAlignment="1">
      <alignment horizontal="left" vertical="center" wrapText="1"/>
      <protection locked="0"/>
    </xf>
    <xf fontId="22" fillId="36" borderId="21" numFmtId="49" xfId="0" applyNumberFormat="1" applyFont="1" applyFill="1" applyBorder="1" applyAlignment="1">
      <alignment horizontal="left" vertical="center" wrapText="1"/>
      <protection locked="0"/>
    </xf>
    <xf fontId="22" fillId="36" borderId="25" numFmtId="49" xfId="0" applyNumberFormat="1" applyFont="1" applyFill="1" applyBorder="1" applyAlignment="1">
      <alignment horizontal="left" vertical="center" wrapText="1"/>
      <protection locked="0"/>
    </xf>
    <xf fontId="22" fillId="36" borderId="20" numFmtId="49" xfId="0" applyNumberFormat="1" applyFont="1" applyFill="1" applyBorder="1" applyAlignment="1">
      <alignment horizontal="left" vertical="center" wrapText="1"/>
      <protection locked="0"/>
    </xf>
    <xf fontId="22" fillId="36" borderId="23" numFmtId="49" xfId="0" applyNumberFormat="1" applyFont="1" applyFill="1" applyBorder="1" applyAlignment="1">
      <alignment horizontal="left" indent="6" vertical="center" wrapText="1"/>
      <protection locked="0"/>
    </xf>
    <xf fontId="22" fillId="0" borderId="33" numFmtId="4" xfId="0" applyNumberFormat="1" applyFont="1" applyBorder="1" applyAlignment="1">
      <alignment horizontal="right" vertical="center" wrapText="1"/>
    </xf>
    <xf fontId="71" fillId="0" borderId="23" numFmtId="0" xfId="0" applyFont="1" applyBorder="1" applyAlignment="1">
      <alignment horizontal="left" vertical="top" wrapText="1"/>
    </xf>
    <xf fontId="22" fillId="0" borderId="35" numFmtId="4" xfId="0" applyNumberFormat="1" applyFont="1" applyBorder="1" applyAlignment="1">
      <alignment horizontal="right" vertical="center" wrapText="1"/>
    </xf>
    <xf fontId="0" fillId="42" borderId="34" numFmtId="49" xfId="0" applyNumberFormat="1" applyFill="1" applyBorder="1" applyAlignment="1">
      <alignment horizontal="center" vertical="center" wrapText="1"/>
    </xf>
    <xf fontId="70" fillId="42" borderId="25" numFmtId="49" xfId="0" applyNumberFormat="1" applyFont="1" applyFill="1" applyBorder="1" applyAlignment="1">
      <alignment horizontal="left" indent="3" vertical="center"/>
    </xf>
    <xf fontId="102" fillId="0" borderId="0" numFmtId="0" xfId="0" applyFont="1" applyAlignment="1">
      <alignment vertical="center" wrapText="1"/>
    </xf>
    <xf fontId="22" fillId="36" borderId="32" numFmtId="49" xfId="0" applyNumberFormat="1" applyFont="1" applyFill="1" applyBorder="1" applyAlignment="1">
      <alignment horizontal="left" indent="6" vertical="center" wrapText="1"/>
      <protection locked="0"/>
    </xf>
    <xf fontId="22" fillId="39" borderId="23" numFmtId="4" xfId="0" applyNumberFormat="1" applyFont="1" applyFill="1" applyBorder="1" applyAlignment="1">
      <alignment horizontal="left" indent="1" vertical="center" wrapText="1"/>
      <protection locked="0"/>
    </xf>
    <xf fontId="22" fillId="0" borderId="0" numFmtId="0" xfId="0" applyFont="1" applyAlignment="1">
      <alignment horizontal="left" vertical="center"/>
    </xf>
    <xf fontId="22" fillId="39" borderId="20" numFmtId="0" xfId="0" applyFont="1" applyFill="1" applyBorder="1" applyAlignment="1">
      <alignment horizontal="center" vertical="center" wrapText="1"/>
      <protection locked="0"/>
    </xf>
    <xf fontId="22" fillId="40" borderId="34" numFmtId="0" xfId="0" applyFont="1" applyFill="1" applyBorder="1" applyAlignment="1">
      <alignment horizontal="center" vertical="center" wrapText="1"/>
    </xf>
    <xf fontId="0" fillId="40" borderId="23" numFmtId="168" xfId="0" applyNumberFormat="1" applyFill="1" applyBorder="1" applyAlignment="1">
      <alignment horizontal="center" vertical="center" wrapText="1"/>
    </xf>
    <xf fontId="101" fillId="0" borderId="0" numFmtId="0" xfId="0" applyFont="1" applyAlignment="1">
      <alignment vertical="center" wrapText="1"/>
    </xf>
    <xf fontId="101" fillId="40" borderId="0" numFmtId="0" xfId="0" applyFont="1" applyFill="1" applyAlignment="1">
      <alignment horizontal="center" vertical="center" wrapText="1"/>
    </xf>
    <xf fontId="45" fillId="40" borderId="23" numFmtId="0" xfId="0" applyFont="1" applyFill="1" applyBorder="1" applyAlignment="1">
      <alignment horizontal="left" indent="3" vertical="center" wrapText="1"/>
    </xf>
    <xf fontId="22" fillId="39" borderId="23" numFmtId="4" xfId="0" applyNumberFormat="1" applyFont="1" applyFill="1" applyBorder="1" applyAlignment="1">
      <alignment horizontal="center" vertical="center" wrapText="1"/>
      <protection locked="0"/>
    </xf>
    <xf fontId="22" fillId="41" borderId="27" numFmtId="49" xfId="0" applyNumberFormat="1" applyFont="1" applyFill="1" applyBorder="1" applyAlignment="1">
      <alignment horizontal="center" vertical="center" wrapText="1"/>
    </xf>
    <xf fontId="22" fillId="36" borderId="42" numFmtId="49" xfId="0" applyNumberFormat="1" applyFont="1" applyFill="1" applyBorder="1" applyAlignment="1">
      <alignment horizontal="left" indent="6" vertical="center" wrapText="1"/>
      <protection locked="0"/>
    </xf>
    <xf fontId="22" fillId="41" borderId="34" numFmtId="49" xfId="0" applyNumberFormat="1" applyFont="1" applyFill="1" applyBorder="1" applyAlignment="1">
      <alignment horizontal="center" vertical="center" wrapText="1"/>
    </xf>
    <xf fontId="70" fillId="42" borderId="45" numFmtId="49" xfId="0" applyNumberFormat="1" applyFont="1" applyFill="1" applyBorder="1" applyAlignment="1">
      <alignment horizontal="left" vertical="center"/>
    </xf>
    <xf fontId="22" fillId="36" borderId="30" numFmtId="49" xfId="0" applyNumberFormat="1" applyFont="1" applyFill="1" applyBorder="1" applyAlignment="1">
      <alignment horizontal="left" indent="6" vertical="center" wrapText="1"/>
      <protection locked="0"/>
    </xf>
    <xf fontId="45" fillId="0" borderId="26" numFmtId="0" xfId="0" applyFont="1" applyBorder="1" applyAlignment="1">
      <alignment horizontal="left" vertical="center" wrapText="1"/>
    </xf>
    <xf fontId="22" fillId="40" borderId="23" numFmtId="49" xfId="73" applyNumberFormat="1" applyFont="1" applyFill="1" applyBorder="1" applyAlignment="1">
      <alignment horizontal="center" vertical="center" wrapText="1"/>
    </xf>
    <xf fontId="40" fillId="0" borderId="0" numFmtId="49" xfId="0" applyNumberFormat="1" applyFont="1" applyAlignment="1">
      <alignment horizontal="center" vertical="center" wrapText="1"/>
    </xf>
    <xf fontId="68" fillId="0" borderId="0" numFmtId="0" xfId="0" applyFont="1" applyAlignment="1">
      <alignment vertical="center" wrapText="1"/>
    </xf>
    <xf fontId="22" fillId="0" borderId="46" numFmtId="0" xfId="0" applyFont="1" applyBorder="1" applyAlignment="1">
      <alignment horizontal="center" vertical="center" wrapText="1"/>
    </xf>
    <xf fontId="22" fillId="39" borderId="23" numFmtId="0" xfId="0" applyFont="1" applyFill="1" applyBorder="1" applyAlignment="1">
      <alignment horizontal="left" indent="2" vertical="center" wrapText="1"/>
      <protection locked="0"/>
    </xf>
    <xf fontId="103" fillId="0" borderId="0" numFmtId="0" xfId="0" applyFont="1" applyAlignment="1">
      <alignment vertical="center" wrapText="1"/>
    </xf>
    <xf fontId="45" fillId="0" borderId="46" numFmtId="0" xfId="0" applyFont="1" applyBorder="1" applyAlignment="1">
      <alignment horizontal="center" vertical="center" wrapText="1"/>
    </xf>
    <xf fontId="45" fillId="0" borderId="23" numFmtId="0" xfId="0" applyFont="1" applyBorder="1" applyAlignment="1">
      <alignment horizontal="left" indent="2" vertical="center" wrapText="1"/>
    </xf>
    <xf fontId="22" fillId="0" borderId="23" numFmtId="0" xfId="0" applyFont="1" applyBorder="1" applyAlignment="1">
      <alignment horizontal="left" indent="3" vertical="center" wrapText="1"/>
    </xf>
    <xf fontId="22" fillId="39" borderId="23" numFmtId="49" xfId="0" applyNumberFormat="1" applyFont="1" applyFill="1" applyBorder="1" applyAlignment="1">
      <alignment horizontal="center" vertical="center" wrapText="1"/>
      <protection locked="0"/>
    </xf>
    <xf fontId="22" fillId="36" borderId="23" numFmtId="0" xfId="0" applyFont="1" applyFill="1" applyBorder="1" applyAlignment="1">
      <alignment horizontal="left" vertical="center" wrapText="1"/>
      <protection locked="0"/>
    </xf>
    <xf fontId="22" fillId="0" borderId="0" numFmtId="49" xfId="0" applyNumberFormat="1" applyFont="1" applyAlignment="1">
      <alignment horizontal="center" vertical="top" wrapText="1"/>
    </xf>
    <xf fontId="22" fillId="0" borderId="20" numFmtId="0" xfId="0" applyFont="1" applyBorder="1" applyAlignment="1">
      <alignment vertical="top" wrapText="1"/>
    </xf>
    <xf fontId="22" fillId="36" borderId="23" numFmtId="167" xfId="0" applyNumberFormat="1" applyFont="1" applyFill="1" applyBorder="1" applyAlignment="1">
      <alignment horizontal="right" vertical="center" wrapText="1"/>
      <protection locked="0"/>
    </xf>
    <xf fontId="22" fillId="0" borderId="27" numFmtId="0" xfId="0" applyFont="1" applyBorder="1" applyAlignment="1">
      <alignment vertical="center" wrapText="1"/>
    </xf>
    <xf fontId="22" fillId="0" borderId="0" numFmtId="0" xfId="0" applyFont="1" applyAlignment="1">
      <alignment horizontal="left" indent="3" vertical="center" wrapText="1"/>
    </xf>
    <xf fontId="97" fillId="40" borderId="0" numFmtId="0" xfId="0" applyFont="1" applyFill="1" applyAlignment="1">
      <alignment horizontal="right" vertical="center"/>
    </xf>
    <xf fontId="22" fillId="0" borderId="21" numFmtId="0" xfId="0" applyFont="1" applyBorder="1" applyAlignment="1">
      <alignment vertical="center" wrapText="1"/>
    </xf>
    <xf fontId="22" fillId="0" borderId="25" numFmtId="0" xfId="0" applyFont="1" applyBorder="1" applyAlignment="1">
      <alignment horizontal="right" indent="1" vertical="center" wrapText="1"/>
    </xf>
    <xf fontId="22" fillId="0" borderId="20" numFmtId="0" xfId="0" applyFont="1" applyBorder="1" applyAlignment="1">
      <alignment horizontal="right" indent="1" vertical="center" wrapText="1"/>
    </xf>
    <xf fontId="22" fillId="38" borderId="21" numFmtId="0" xfId="0" applyFont="1" applyFill="1" applyBorder="1" applyAlignment="1">
      <alignment horizontal="left" vertical="top" wrapText="1"/>
    </xf>
    <xf fontId="22" fillId="0" borderId="21" numFmtId="0" xfId="0" applyFont="1" applyBorder="1" applyAlignment="1">
      <alignment horizontal="right" vertical="center" wrapText="1"/>
    </xf>
    <xf fontId="22" fillId="0" borderId="25" numFmtId="0" xfId="0" applyFont="1" applyBorder="1" applyAlignment="1">
      <alignment horizontal="right" vertical="center" wrapText="1"/>
    </xf>
    <xf fontId="22" fillId="39" borderId="23" numFmtId="4" xfId="0" applyNumberFormat="1" applyFont="1" applyFill="1" applyBorder="1" applyAlignment="1">
      <alignment horizontal="right" vertical="center" wrapText="1"/>
      <protection locked="0"/>
    </xf>
    <xf fontId="22" fillId="38" borderId="23" numFmtId="4" xfId="0" applyNumberFormat="1" applyFont="1" applyFill="1" applyBorder="1" applyAlignment="1">
      <alignment horizontal="right" vertical="center" wrapText="1"/>
    </xf>
    <xf fontId="40" fillId="35" borderId="0" numFmtId="49" xfId="0" applyNumberFormat="1" applyFont="1" applyFill="1" applyAlignment="1">
      <alignment horizontal="center" textRotation="90" vertical="center" wrapText="1"/>
    </xf>
    <xf fontId="63" fillId="0" borderId="0" numFmtId="0" xfId="0" applyFont="1" applyAlignment="1">
      <alignment horizontal="center" vertical="center" wrapText="1"/>
    </xf>
    <xf fontId="63" fillId="0" borderId="0" numFmtId="49" xfId="0" applyNumberFormat="1" applyFont="1" applyAlignment="1">
      <alignment horizontal="center" vertical="center" wrapText="1"/>
    </xf>
    <xf fontId="63" fillId="0" borderId="46" numFmtId="49" xfId="0" applyNumberFormat="1" applyFont="1" applyBorder="1" applyAlignment="1">
      <alignment horizontal="center" vertical="center" wrapText="1"/>
    </xf>
    <xf fontId="63" fillId="0" borderId="23" numFmtId="0" xfId="0" applyFont="1" applyBorder="1" applyAlignment="1">
      <alignment horizontal="left" indent="2" vertical="center" wrapText="1"/>
    </xf>
    <xf fontId="63" fillId="0" borderId="23" numFmtId="0" xfId="0" applyFont="1" applyBorder="1" applyAlignment="1">
      <alignment horizontal="center" vertical="center" wrapText="1"/>
    </xf>
    <xf fontId="63" fillId="0" borderId="23" numFmtId="0" xfId="0" applyFont="1" applyBorder="1" applyAlignment="1">
      <alignment vertical="center" wrapText="1"/>
    </xf>
    <xf fontId="104" fillId="0" borderId="0" numFmtId="0" xfId="0" applyFont="1" applyAlignment="1">
      <alignment vertical="center" wrapText="1"/>
    </xf>
    <xf fontId="63" fillId="0" borderId="46" numFmtId="0" xfId="0" applyFont="1" applyBorder="1" applyAlignment="1">
      <alignment horizontal="center" vertical="center" wrapText="1"/>
    </xf>
    <xf fontId="63" fillId="0" borderId="23" numFmtId="0" xfId="0" applyFont="1" applyBorder="1" applyAlignment="1">
      <alignment horizontal="left" indent="3" vertical="center" wrapText="1"/>
    </xf>
    <xf fontId="63" fillId="0" borderId="23" numFmtId="4" xfId="0" applyNumberFormat="1" applyFont="1" applyBorder="1" applyAlignment="1">
      <alignment horizontal="right" vertical="center" wrapText="1"/>
    </xf>
    <xf fontId="22" fillId="42" borderId="21" numFmtId="49" xfId="0" applyNumberFormat="1" applyFont="1" applyFill="1" applyBorder="1" applyAlignment="1">
      <alignment vertical="center" wrapText="1"/>
    </xf>
    <xf fontId="22" fillId="42" borderId="25" numFmtId="0" xfId="0" applyFont="1" applyFill="1" applyBorder="1" applyAlignment="1">
      <alignment vertical="center" wrapText="1"/>
    </xf>
    <xf fontId="43" fillId="42" borderId="20" numFmtId="0" xfId="0" applyFont="1" applyFill="1" applyBorder="1" applyAlignment="1">
      <alignment vertical="center" wrapText="1"/>
    </xf>
    <xf fontId="22" fillId="0" borderId="23" numFmtId="0" xfId="0" applyFont="1" applyBorder="1" applyAlignment="1">
      <alignment horizontal="left" indent="2" vertical="center" wrapText="1"/>
    </xf>
    <xf fontId="22" fillId="0" borderId="0" numFmtId="14" xfId="0" applyNumberFormat="1" applyFont="1" applyAlignment="1">
      <alignment horizontal="center" vertical="center" wrapText="1"/>
    </xf>
    <xf fontId="40" fillId="35" borderId="0" numFmtId="49" xfId="0" applyNumberFormat="1" applyFont="1" applyFill="1" applyAlignment="1">
      <alignment horizontal="center" vertical="center" wrapText="1"/>
    </xf>
    <xf fontId="51" fillId="0" borderId="0" numFmtId="49" xfId="0" applyNumberFormat="1" applyFont="1" applyAlignment="1">
      <alignment horizontal="center" vertical="center"/>
    </xf>
    <xf fontId="22" fillId="39" borderId="23" numFmtId="167" xfId="0" applyNumberFormat="1" applyFont="1" applyFill="1" applyBorder="1" applyAlignment="1">
      <alignment horizontal="right" vertical="center" wrapText="1"/>
      <protection locked="0"/>
    </xf>
    <xf fontId="40" fillId="0" borderId="0" numFmtId="49" xfId="0" applyNumberFormat="1" applyFont="1" applyAlignment="1">
      <alignment horizontal="left" vertical="center" wrapText="1"/>
    </xf>
    <xf fontId="68" fillId="0" borderId="0" numFmtId="0" xfId="0" applyFont="1" applyAlignment="1">
      <alignment horizontal="left" vertical="center" wrapText="1"/>
    </xf>
    <xf fontId="22" fillId="38" borderId="32" numFmtId="4" xfId="0" applyNumberFormat="1" applyFont="1" applyFill="1" applyBorder="1" applyAlignment="1">
      <alignment horizontal="right" vertical="center" wrapText="1"/>
    </xf>
    <xf fontId="45" fillId="0" borderId="23" numFmtId="0" xfId="0" applyFont="1" applyBorder="1" applyAlignment="1">
      <alignment horizontal="left" indent="3" vertical="center" wrapText="1"/>
    </xf>
    <xf fontId="45" fillId="0" borderId="23" numFmtId="49" xfId="0" applyNumberFormat="1" applyFont="1" applyBorder="1" applyAlignment="1">
      <alignment vertical="center" wrapText="1"/>
    </xf>
    <xf fontId="45" fillId="0" borderId="32" numFmtId="0" xfId="0" applyFont="1" applyBorder="1" applyAlignment="1">
      <alignment vertical="top" wrapText="1"/>
    </xf>
    <xf fontId="22" fillId="0" borderId="21" numFmtId="0" xfId="0" applyFont="1" applyBorder="1" applyAlignment="1">
      <alignment horizontal="left" indent="2" vertical="center" wrapText="1"/>
    </xf>
    <xf fontId="22" fillId="39" borderId="20" numFmtId="4" xfId="0" applyNumberFormat="1" applyFont="1" applyFill="1" applyBorder="1" applyAlignment="1">
      <alignment horizontal="right" vertical="center" wrapText="1"/>
      <protection locked="0"/>
    </xf>
    <xf fontId="22" fillId="0" borderId="21" numFmtId="0" xfId="0" applyFont="1" applyBorder="1" applyAlignment="1">
      <alignment horizontal="left" indent="1" vertical="center" wrapText="1"/>
    </xf>
    <xf fontId="55" fillId="36" borderId="20" numFmtId="49" xfId="0" applyNumberFormat="1" applyFont="1" applyFill="1" applyBorder="1" applyAlignment="1">
      <alignment horizontal="left" vertical="center" wrapText="1"/>
      <protection locked="0"/>
    </xf>
    <xf fontId="55" fillId="36" borderId="23" numFmtId="49" xfId="0" applyNumberFormat="1" applyFont="1" applyFill="1" applyBorder="1" applyAlignment="1">
      <alignment horizontal="left" vertical="center" wrapText="1"/>
      <protection locked="0"/>
    </xf>
    <xf fontId="22" fillId="39" borderId="20" numFmtId="167" xfId="0" applyNumberFormat="1" applyFont="1" applyFill="1" applyBorder="1" applyAlignment="1">
      <alignment horizontal="right" vertical="center" wrapText="1"/>
      <protection locked="0"/>
    </xf>
    <xf fontId="22" fillId="38" borderId="20" numFmtId="167" xfId="0" applyNumberFormat="1" applyFont="1" applyFill="1" applyBorder="1" applyAlignment="1">
      <alignment horizontal="right" vertical="center" wrapText="1"/>
    </xf>
    <xf fontId="22" fillId="38" borderId="23" numFmtId="167" xfId="0" applyNumberFormat="1" applyFont="1" applyFill="1" applyBorder="1" applyAlignment="1">
      <alignment horizontal="right" vertical="center" wrapText="1"/>
    </xf>
    <xf fontId="22" fillId="39" borderId="34" numFmtId="4" xfId="0" applyNumberFormat="1" applyFont="1" applyFill="1" applyBorder="1" applyAlignment="1">
      <alignment horizontal="right" vertical="center" wrapText="1"/>
      <protection locked="0"/>
    </xf>
    <xf fontId="22" fillId="39" borderId="30" numFmtId="4" xfId="0" applyNumberFormat="1" applyFont="1" applyFill="1" applyBorder="1" applyAlignment="1">
      <alignment horizontal="right" vertical="center" wrapText="1"/>
      <protection locked="0"/>
    </xf>
    <xf fontId="45" fillId="0" borderId="42" numFmtId="0" xfId="0" applyFont="1" applyBorder="1" applyAlignment="1">
      <alignment horizontal="left" indent="1" vertical="center" wrapText="1"/>
    </xf>
    <xf fontId="45" fillId="0" borderId="42" numFmtId="0" xfId="0" applyFont="1" applyBorder="1" applyAlignment="1">
      <alignment horizontal="center" vertical="center" wrapText="1"/>
    </xf>
    <xf fontId="45" fillId="0" borderId="32" numFmtId="0" xfId="0" applyFont="1" applyBorder="1" applyAlignment="1">
      <alignment vertical="center" wrapText="1"/>
    </xf>
    <xf fontId="22" fillId="42" borderId="33" numFmtId="49" xfId="0" applyNumberFormat="1" applyFont="1" applyFill="1" applyBorder="1" applyAlignment="1">
      <alignment vertical="center" wrapText="1"/>
    </xf>
    <xf fontId="70" fillId="42" borderId="26" numFmtId="49" xfId="0" applyNumberFormat="1" applyFont="1" applyFill="1" applyBorder="1" applyAlignment="1">
      <alignment horizontal="left" indent="1" vertical="center"/>
    </xf>
    <xf fontId="22" fillId="0" borderId="30" numFmtId="0" xfId="0" applyFont="1" applyBorder="1" applyAlignment="1">
      <alignment vertical="top" wrapText="1"/>
    </xf>
    <xf fontId="22" fillId="39" borderId="32" numFmtId="167" xfId="0" applyNumberFormat="1" applyFont="1" applyFill="1" applyBorder="1" applyAlignment="1">
      <alignment horizontal="right" vertical="center" wrapText="1"/>
      <protection locked="0"/>
    </xf>
    <xf fontId="45" fillId="0" borderId="30" numFmtId="0" xfId="0" applyFont="1" applyBorder="1" applyAlignment="1">
      <alignment horizontal="left" indent="1" vertical="center" wrapText="1"/>
    </xf>
    <xf fontId="45" fillId="0" borderId="32" numFmtId="0" xfId="0" applyFont="1" applyBorder="1" applyAlignment="1">
      <alignment horizontal="left" indent="1" vertical="center" wrapText="1"/>
    </xf>
    <xf fontId="40" fillId="0" borderId="0" numFmtId="0" xfId="0" applyFont="1" applyAlignment="1">
      <alignment vertical="center" wrapText="1"/>
    </xf>
    <xf fontId="41" fillId="0" borderId="0" numFmtId="49" xfId="0" applyNumberFormat="1" applyFont="1" applyAlignment="1">
      <alignment horizontal="center" vertical="center" wrapText="1"/>
    </xf>
    <xf fontId="22" fillId="0" borderId="26" numFmtId="0" xfId="0" applyFont="1" applyBorder="1" applyAlignment="1">
      <alignment vertical="center" wrapText="1"/>
    </xf>
    <xf fontId="22" fillId="0" borderId="45" numFmtId="0" xfId="0" applyFont="1" applyBorder="1" applyAlignment="1">
      <alignment vertical="center" wrapText="1"/>
    </xf>
    <xf fontId="51" fillId="0" borderId="0" numFmtId="0" xfId="0" applyFont="1" applyAlignment="1">
      <alignment horizontal="center" vertical="center" wrapText="1"/>
    </xf>
    <xf fontId="44" fillId="0" borderId="0" numFmtId="49" xfId="0" applyNumberFormat="1" applyFont="1" applyAlignment="1">
      <alignment horizontal="center" vertical="center" wrapText="1"/>
    </xf>
    <xf fontId="105" fillId="0" borderId="0" numFmtId="0" xfId="0" applyFont="1" applyAlignment="1">
      <alignment horizontal="center" vertical="center" wrapText="1"/>
    </xf>
    <xf fontId="106" fillId="40" borderId="0" numFmtId="0" xfId="0" applyFont="1" applyFill="1" applyAlignment="1">
      <alignment horizontal="right" vertical="center"/>
    </xf>
    <xf fontId="107" fillId="0" borderId="0" numFmtId="0" xfId="0" applyFont="1" applyAlignment="1">
      <alignment vertical="center" wrapText="1"/>
    </xf>
    <xf fontId="51" fillId="0" borderId="0" numFmtId="9" xfId="0" applyNumberFormat="1" applyFont="1" applyAlignment="1">
      <alignment horizontal="center" vertical="center" wrapText="1"/>
    </xf>
    <xf fontId="0" fillId="0" borderId="0" numFmtId="0" xfId="0" applyAlignment="1">
      <alignment vertical="top"/>
    </xf>
    <xf fontId="45" fillId="0" borderId="32" numFmtId="49" xfId="0" applyNumberFormat="1" applyFont="1" applyBorder="1" applyAlignment="1">
      <alignment horizontal="center" vertical="center" wrapText="1"/>
    </xf>
    <xf fontId="0" fillId="0" borderId="21" numFmtId="0" xfId="0" applyBorder="1" applyAlignment="1">
      <alignment horizontal="right" indent="1" vertical="center" wrapText="1"/>
    </xf>
    <xf fontId="0" fillId="0" borderId="25" numFmtId="0" xfId="0" applyBorder="1" applyAlignment="1">
      <alignment horizontal="right" indent="1" vertical="center" wrapText="1"/>
    </xf>
    <xf fontId="0" fillId="0" borderId="20" numFmtId="0" xfId="0" applyBorder="1" applyAlignment="1">
      <alignment horizontal="right" indent="1" vertical="center" wrapText="1"/>
    </xf>
    <xf fontId="22" fillId="0" borderId="20" numFmtId="0" xfId="0" applyFont="1" applyBorder="1" applyAlignment="1">
      <alignment horizontal="left" indent="1" vertical="center" wrapText="1"/>
    </xf>
    <xf fontId="45" fillId="0" borderId="28" numFmtId="49" xfId="0" applyNumberFormat="1" applyFont="1" applyBorder="1" applyAlignment="1">
      <alignment vertical="top"/>
    </xf>
    <xf fontId="43" fillId="0" borderId="0" numFmtId="0" xfId="0" applyFont="1" applyAlignment="1">
      <alignment horizontal="center" vertical="top"/>
    </xf>
    <xf fontId="43" fillId="0" borderId="0" numFmtId="0" xfId="0" applyFont="1" applyAlignment="1">
      <alignment vertical="top"/>
    </xf>
    <xf fontId="69" fillId="0" borderId="0" numFmtId="0" xfId="0" applyFont="1" applyAlignment="1">
      <alignment vertical="top"/>
    </xf>
    <xf fontId="108" fillId="0" borderId="0" numFmtId="0" xfId="0" applyFont="1" applyAlignment="1">
      <alignment vertical="top"/>
    </xf>
    <xf fontId="45" fillId="0" borderId="42" numFmtId="49" xfId="0" applyNumberFormat="1" applyFont="1" applyBorder="1" applyAlignment="1">
      <alignment horizontal="center" vertical="center" wrapText="1"/>
    </xf>
    <xf fontId="22" fillId="0" borderId="30" numFmtId="0" xfId="0" applyFont="1" applyBorder="1" applyAlignment="1">
      <alignment horizontal="left" vertical="center" wrapText="1"/>
    </xf>
    <xf fontId="22" fillId="0" borderId="30" numFmtId="2" xfId="0" applyNumberFormat="1" applyFont="1" applyBorder="1" applyAlignment="1">
      <alignment horizontal="center" vertical="center" wrapText="1"/>
    </xf>
    <xf fontId="45" fillId="0" borderId="28" numFmtId="0" xfId="0" applyFont="1" applyBorder="1" applyAlignment="1">
      <alignment vertical="center" wrapText="1"/>
    </xf>
    <xf fontId="45" fillId="0" borderId="30" numFmtId="49" xfId="0" applyNumberFormat="1" applyFont="1" applyBorder="1" applyAlignment="1">
      <alignment horizontal="center" vertical="center" wrapText="1"/>
    </xf>
    <xf fontId="70" fillId="0" borderId="26" numFmtId="49" xfId="0" applyNumberFormat="1" applyFont="1" applyBorder="1" applyAlignment="1">
      <alignment horizontal="right" vertical="center"/>
    </xf>
    <xf fontId="71" fillId="0" borderId="0" numFmtId="0" xfId="0" applyFont="1" applyAlignment="1">
      <alignment horizontal="left" vertical="top" wrapText="1"/>
    </xf>
    <xf fontId="43" fillId="44" borderId="23" numFmtId="0" xfId="0" applyFont="1" applyFill="1" applyBorder="1" applyAlignment="1">
      <alignment horizontal="left" vertical="center" wrapText="1"/>
    </xf>
    <xf fontId="22" fillId="45" borderId="23" numFmtId="0" xfId="74" applyFont="1" applyFill="1" applyBorder="1" applyAlignment="1">
      <alignment vertical="center"/>
    </xf>
    <xf fontId="0" fillId="7" borderId="23" numFmtId="49" xfId="0" applyNumberFormat="1" applyFill="1" applyBorder="1" applyAlignment="1">
      <alignment horizontal="center" vertical="center" wrapText="1"/>
    </xf>
    <xf fontId="109" fillId="0" borderId="32" numFmtId="49" xfId="0" applyNumberFormat="1" applyFont="1" applyBorder="1" applyAlignment="1">
      <alignment horizontal="center" vertical="center" wrapText="1"/>
    </xf>
    <xf fontId="109" fillId="0" borderId="23" numFmtId="49" xfId="0" applyNumberFormat="1" applyFont="1" applyBorder="1" applyAlignment="1">
      <alignment horizontal="center" vertical="center" wrapText="1"/>
    </xf>
    <xf fontId="45" fillId="0" borderId="21" numFmtId="0" xfId="0" applyFont="1" applyBorder="1" applyAlignment="1">
      <alignment vertical="center" wrapText="1"/>
    </xf>
    <xf fontId="22" fillId="0" borderId="26" numFmtId="0" xfId="0" applyFont="1" applyBorder="1" applyAlignment="1">
      <alignment horizontal="right" indent="1" vertical="center" wrapText="1"/>
    </xf>
    <xf fontId="40" fillId="0" borderId="0" numFmtId="0" xfId="0" applyFont="1" applyAlignment="1">
      <alignment horizontal="center" vertical="center" wrapText="1"/>
    </xf>
    <xf fontId="22" fillId="0" borderId="46" numFmtId="49" xfId="0" applyNumberFormat="1" applyFont="1" applyBorder="1" applyAlignment="1">
      <alignment horizontal="center" vertical="center" wrapText="1"/>
    </xf>
    <xf fontId="55" fillId="36" borderId="21" numFmtId="49" xfId="0" applyNumberFormat="1" applyFont="1" applyFill="1" applyBorder="1" applyAlignment="1">
      <alignment horizontal="left" vertical="center" wrapText="1"/>
      <protection locked="0"/>
    </xf>
    <xf fontId="22" fillId="0" borderId="47" numFmtId="49" xfId="0" applyNumberFormat="1" applyFont="1" applyBorder="1" applyAlignment="1">
      <alignment horizontal="center" vertical="center" wrapText="1"/>
    </xf>
    <xf fontId="22" fillId="39" borderId="33" numFmtId="4" xfId="0" applyNumberFormat="1" applyFont="1" applyFill="1" applyBorder="1" applyAlignment="1">
      <alignment horizontal="right" vertical="center" wrapText="1"/>
      <protection locked="0"/>
    </xf>
    <xf fontId="22" fillId="39" borderId="32" numFmtId="4" xfId="0" applyNumberFormat="1" applyFont="1" applyFill="1" applyBorder="1" applyAlignment="1">
      <alignment horizontal="right" vertical="center" wrapText="1"/>
      <protection locked="0"/>
    </xf>
    <xf fontId="43" fillId="42" borderId="25" numFmtId="0" xfId="0" applyFont="1" applyFill="1" applyBorder="1" applyAlignment="1">
      <alignment vertical="center" wrapText="1"/>
    </xf>
    <xf fontId="22" fillId="0" borderId="48" numFmtId="49" xfId="0" applyNumberFormat="1" applyFont="1" applyBorder="1" applyAlignment="1">
      <alignment horizontal="center" vertical="center" wrapText="1"/>
    </xf>
    <xf fontId="22" fillId="39" borderId="21" numFmtId="4" xfId="0" applyNumberFormat="1" applyFont="1" applyFill="1" applyBorder="1" applyAlignment="1">
      <alignment horizontal="right" vertical="center" wrapText="1"/>
      <protection locked="0"/>
    </xf>
    <xf fontId="22" fillId="0" borderId="49" numFmtId="49" xfId="0" applyNumberFormat="1" applyFont="1" applyBorder="1" applyAlignment="1">
      <alignment horizontal="center" vertical="center" wrapText="1"/>
    </xf>
    <xf fontId="22" fillId="39" borderId="21" numFmtId="3" xfId="0" applyNumberFormat="1" applyFont="1" applyFill="1" applyBorder="1" applyAlignment="1">
      <alignment horizontal="right" vertical="center" wrapText="1"/>
      <protection locked="0"/>
    </xf>
    <xf fontId="55" fillId="39" borderId="21" numFmtId="49" xfId="0" applyNumberFormat="1" applyFont="1" applyFill="1" applyBorder="1" applyAlignment="1">
      <alignment horizontal="left" vertical="center" wrapText="1"/>
      <protection locked="0"/>
    </xf>
    <xf fontId="22" fillId="0" borderId="0" numFmtId="0" xfId="0" applyFont="1" applyAlignment="1">
      <alignment horizontal="left" indent="2" vertical="center" wrapText="1"/>
    </xf>
    <xf fontId="110" fillId="0" borderId="0" numFmtId="49" xfId="0" applyNumberFormat="1" applyFont="1" applyAlignment="1">
      <alignment horizontal="center" vertical="center" wrapText="1"/>
    </xf>
    <xf fontId="22" fillId="0" borderId="23" numFmtId="0" xfId="0" applyFont="1" applyBorder="1" applyAlignment="1">
      <alignment vertical="top" wrapText="1"/>
    </xf>
    <xf fontId="22" fillId="40" borderId="0" numFmtId="0" xfId="0" applyFont="1" applyFill="1" applyAlignment="1">
      <alignment horizontal="right" vertical="center" wrapText="1"/>
    </xf>
    <xf fontId="22" fillId="40" borderId="0" numFmtId="0" xfId="0" applyFont="1" applyFill="1" applyAlignment="1">
      <alignment horizontal="right" vertical="center"/>
    </xf>
    <xf fontId="22" fillId="40" borderId="21" numFmtId="0" xfId="0" applyFont="1" applyFill="1" applyBorder="1" applyAlignment="1">
      <alignment horizontal="center" vertical="center" wrapText="1"/>
    </xf>
    <xf fontId="22" fillId="40" borderId="25" numFmtId="0" xfId="0" applyFont="1" applyFill="1" applyBorder="1" applyAlignment="1">
      <alignment horizontal="center" vertical="center" wrapText="1"/>
    </xf>
    <xf fontId="22" fillId="40" borderId="27" numFmtId="0" xfId="0" applyFont="1" applyFill="1" applyBorder="1" applyAlignment="1">
      <alignment horizontal="center" vertical="center" wrapText="1"/>
    </xf>
    <xf fontId="22" fillId="40" borderId="23" numFmtId="0" xfId="0" applyFont="1" applyFill="1" applyBorder="1" applyAlignment="1">
      <alignment horizontal="center" vertical="center"/>
    </xf>
    <xf fontId="0" fillId="0" borderId="23" numFmtId="0" xfId="0" applyBorder="1" applyAlignment="1">
      <alignment horizontal="left" vertical="top" wrapText="1"/>
    </xf>
    <xf fontId="0" fillId="0" borderId="23" numFmtId="0" xfId="0" applyBorder="1" applyAlignment="1">
      <alignment horizontal="left" vertical="center" wrapText="1"/>
    </xf>
    <xf fontId="22" fillId="42" borderId="21" numFmtId="0" xfId="0" applyFont="1" applyFill="1" applyBorder="1" applyAlignment="1">
      <alignment vertical="center" wrapText="1"/>
    </xf>
    <xf fontId="111" fillId="42" borderId="20" numFmtId="49" xfId="0" applyNumberFormat="1" applyFont="1" applyFill="1" applyBorder="1" applyAlignment="1">
      <alignment horizontal="center" vertical="top"/>
    </xf>
    <xf fontId="70" fillId="0" borderId="26" numFmtId="49" xfId="0" applyNumberFormat="1" applyFont="1" applyBorder="1" applyAlignment="1">
      <alignment horizontal="left" vertical="center"/>
    </xf>
    <xf fontId="70" fillId="0" borderId="26" numFmtId="49" xfId="0" applyNumberFormat="1" applyFont="1" applyBorder="1" applyAlignment="1">
      <alignment horizontal="left" indent="2" vertical="center"/>
    </xf>
    <xf fontId="111" fillId="0" borderId="26" numFmtId="49" xfId="0" applyNumberFormat="1" applyFont="1" applyBorder="1" applyAlignment="1">
      <alignment horizontal="center" vertical="top"/>
    </xf>
    <xf fontId="45" fillId="0" borderId="25" numFmtId="0" xfId="0" applyFont="1" applyBorder="1" applyAlignment="1">
      <alignment horizontal="right" indent="1" vertical="center" wrapText="1"/>
    </xf>
    <xf fontId="45" fillId="0" borderId="20" numFmtId="0" xfId="0" applyFont="1" applyBorder="1" applyAlignment="1">
      <alignment horizontal="right" indent="1" vertical="center" wrapText="1"/>
    </xf>
    <xf fontId="45" fillId="0" borderId="21" numFmtId="0" xfId="0" applyFont="1" applyBorder="1" applyAlignment="1">
      <alignment horizontal="left" vertical="top" wrapText="1"/>
    </xf>
    <xf fontId="70" fillId="42" borderId="26" numFmtId="49" xfId="0" applyNumberFormat="1" applyFont="1" applyFill="1" applyBorder="1" applyAlignment="1">
      <alignment horizontal="left" indent="2" vertical="center"/>
    </xf>
    <xf fontId="0" fillId="0" borderId="23" numFmtId="49" xfId="0" applyNumberFormat="1" applyBorder="1" applyAlignment="1">
      <alignment horizontal="left" indent="2" vertical="center" wrapText="1"/>
    </xf>
    <xf fontId="0" fillId="0" borderId="23" numFmtId="49" xfId="0" applyNumberFormat="1" applyBorder="1" applyAlignment="1">
      <alignment vertical="center" wrapText="1"/>
    </xf>
    <xf fontId="45" fillId="0" borderId="45" numFmtId="0" xfId="0" applyFont="1" applyBorder="1" applyAlignment="1">
      <alignment vertical="center" wrapText="1"/>
    </xf>
    <xf fontId="22" fillId="38" borderId="20" numFmtId="0" xfId="0" applyFont="1" applyFill="1" applyBorder="1" applyAlignment="1">
      <alignment horizontal="left" vertical="top" wrapText="1"/>
    </xf>
    <xf fontId="22" fillId="46" borderId="0" numFmtId="49" xfId="0" applyNumberFormat="1" applyFont="1" applyFill="1" applyAlignment="1">
      <alignment horizontal="center" textRotation="90" vertical="center" wrapText="1"/>
    </xf>
    <xf fontId="107" fillId="0" borderId="28" numFmtId="0" xfId="0" applyFont="1" applyBorder="1" applyAlignment="1">
      <alignment vertical="center" wrapText="1"/>
    </xf>
    <xf fontId="22" fillId="36" borderId="21" numFmtId="3" xfId="0" applyNumberFormat="1" applyFont="1" applyFill="1" applyBorder="1" applyAlignment="1">
      <alignment horizontal="right" vertical="center" wrapText="1"/>
      <protection locked="0"/>
    </xf>
    <xf fontId="22" fillId="36" borderId="21" numFmtId="4" xfId="0" applyNumberFormat="1" applyFont="1" applyFill="1" applyBorder="1" applyAlignment="1">
      <alignment horizontal="right" vertical="center" wrapText="1"/>
      <protection locked="0"/>
    </xf>
    <xf fontId="22" fillId="0" borderId="0" numFmtId="0" xfId="0" applyFont="1" applyAlignment="1">
      <alignment vertical="top"/>
    </xf>
    <xf fontId="55" fillId="0" borderId="23" numFmtId="49" xfId="0" applyNumberFormat="1" applyFont="1" applyBorder="1" applyAlignment="1">
      <alignment horizontal="left" vertical="center" wrapText="1"/>
    </xf>
    <xf fontId="22" fillId="0" borderId="50" numFmtId="49" xfId="0" applyNumberFormat="1" applyFont="1" applyBorder="1" applyAlignment="1">
      <alignment horizontal="center" vertical="center" wrapText="1"/>
    </xf>
    <xf fontId="22" fillId="0" borderId="50" numFmtId="0" xfId="0" applyFont="1" applyBorder="1" applyAlignment="1">
      <alignment horizontal="left" vertical="center" wrapText="1"/>
    </xf>
    <xf fontId="22" fillId="0" borderId="51" numFmtId="4" xfId="0" applyNumberFormat="1" applyFont="1" applyBorder="1" applyAlignment="1">
      <alignment horizontal="center" vertical="center" wrapText="1"/>
    </xf>
    <xf fontId="55" fillId="0" borderId="35" numFmtId="49" xfId="0" applyNumberFormat="1" applyFont="1" applyBorder="1" applyAlignment="1">
      <alignment horizontal="left" vertical="center" wrapText="1"/>
    </xf>
    <xf fontId="22" fillId="0" borderId="52" numFmtId="49" xfId="0" applyNumberFormat="1" applyFont="1" applyBorder="1" applyAlignment="1">
      <alignment horizontal="center" vertical="center" wrapText="1"/>
    </xf>
    <xf fontId="22" fillId="0" borderId="53" numFmtId="0" xfId="0" applyFont="1" applyBorder="1" applyAlignment="1">
      <alignment horizontal="left" indent="1" vertical="center" wrapText="1"/>
    </xf>
    <xf fontId="22" fillId="39" borderId="52" numFmtId="4" xfId="0" applyNumberFormat="1" applyFont="1" applyFill="1" applyBorder="1" applyAlignment="1">
      <alignment horizontal="right" vertical="center" wrapText="1"/>
      <protection locked="0"/>
    </xf>
    <xf fontId="55" fillId="0" borderId="21" numFmtId="49" xfId="0" applyNumberFormat="1" applyFont="1" applyBorder="1" applyAlignment="1">
      <alignment horizontal="left" vertical="center" wrapText="1"/>
    </xf>
    <xf fontId="22" fillId="0" borderId="32" numFmtId="4" xfId="0" applyNumberFormat="1" applyFont="1" applyBorder="1" applyAlignment="1">
      <alignment horizontal="center" vertical="center" wrapText="1"/>
    </xf>
    <xf fontId="22" fillId="39" borderId="54" numFmtId="4" xfId="0" applyNumberFormat="1" applyFont="1" applyFill="1" applyBorder="1" applyAlignment="1">
      <alignment horizontal="right" vertical="center" wrapText="1"/>
      <protection locked="0"/>
    </xf>
    <xf fontId="22" fillId="0" borderId="53" numFmtId="0" xfId="0" applyFont="1" applyBorder="1" applyAlignment="1">
      <alignment horizontal="left" vertical="center" wrapText="1"/>
    </xf>
    <xf fontId="55" fillId="0" borderId="25" numFmtId="49" xfId="0" applyNumberFormat="1" applyFont="1" applyBorder="1" applyAlignment="1">
      <alignment horizontal="left" vertical="center" wrapText="1"/>
    </xf>
    <xf fontId="22" fillId="0" borderId="52" numFmtId="0" xfId="0" applyFont="1" applyBorder="1" applyAlignment="1">
      <alignment horizontal="left" indent="1" vertical="center" wrapText="1"/>
    </xf>
    <xf fontId="22" fillId="0" borderId="50" numFmtId="4" xfId="0" applyNumberFormat="1" applyFont="1" applyBorder="1" applyAlignment="1">
      <alignment horizontal="center" vertical="center" wrapText="1"/>
    </xf>
    <xf fontId="22" fillId="0" borderId="52" numFmtId="0" xfId="0" applyFont="1" applyBorder="1" applyAlignment="1">
      <alignment horizontal="left" vertical="center" wrapText="1"/>
    </xf>
    <xf fontId="22" fillId="0" borderId="52" numFmtId="0" xfId="0" applyFont="1" applyBorder="1" applyAlignment="1">
      <alignment horizontal="left" indent="2" vertical="center" wrapText="1"/>
    </xf>
    <xf fontId="22" fillId="0" borderId="52" numFmtId="4" xfId="0" applyNumberFormat="1" applyFont="1" applyBorder="1" applyAlignment="1">
      <alignment horizontal="center" vertical="center" wrapText="1"/>
    </xf>
    <xf fontId="22" fillId="0" borderId="55" numFmtId="49" xfId="0" applyNumberFormat="1" applyFont="1" applyBorder="1" applyAlignment="1">
      <alignment horizontal="center" vertical="center" wrapText="1"/>
    </xf>
    <xf fontId="22" fillId="0" borderId="54" numFmtId="0" xfId="0" applyFont="1" applyBorder="1" applyAlignment="1">
      <alignment horizontal="left" vertical="center" wrapText="1"/>
    </xf>
    <xf fontId="22" fillId="0" borderId="54" numFmtId="4" xfId="0" applyNumberFormat="1" applyFont="1" applyBorder="1" applyAlignment="1">
      <alignment horizontal="center" vertical="center" wrapText="1"/>
    </xf>
    <xf fontId="55" fillId="0" borderId="33" numFmtId="49" xfId="0" applyNumberFormat="1" applyFont="1" applyBorder="1" applyAlignment="1">
      <alignment horizontal="left" vertical="center" wrapText="1"/>
    </xf>
    <xf fontId="22" fillId="0" borderId="53" numFmtId="49" xfId="0" applyNumberFormat="1" applyFont="1" applyBorder="1" applyAlignment="1">
      <alignment horizontal="center" vertical="center" wrapText="1"/>
    </xf>
    <xf fontId="22" fillId="39" borderId="53" numFmtId="4" xfId="0" applyNumberFormat="1" applyFont="1" applyFill="1" applyBorder="1" applyAlignment="1">
      <alignment horizontal="right" vertical="center" wrapText="1"/>
      <protection locked="0"/>
    </xf>
    <xf fontId="22" fillId="0" borderId="53" numFmtId="4" xfId="0" applyNumberFormat="1" applyFont="1" applyBorder="1" applyAlignment="1">
      <alignment horizontal="center" vertical="center" wrapText="1"/>
    </xf>
    <xf fontId="22" fillId="39" borderId="55" numFmtId="4" xfId="0" applyNumberFormat="1" applyFont="1" applyFill="1" applyBorder="1" applyAlignment="1">
      <alignment horizontal="right" vertical="center" wrapText="1"/>
      <protection locked="0"/>
    </xf>
    <xf fontId="67" fillId="0" borderId="29" numFmtId="0" xfId="0" applyFont="1" applyBorder="1" applyAlignment="1">
      <alignment horizontal="center" vertical="center" wrapText="1"/>
    </xf>
    <xf fontId="0" fillId="0" borderId="21" numFmtId="0" xfId="0" applyBorder="1" applyAlignment="1">
      <alignment horizontal="center" vertical="center"/>
    </xf>
    <xf fontId="0" fillId="36" borderId="23" numFmtId="168" xfId="0" applyNumberFormat="1" applyFill="1" applyBorder="1" applyAlignment="1">
      <alignment horizontal="left" indent="1" vertical="center" wrapText="1"/>
      <protection locked="0"/>
    </xf>
    <xf fontId="22" fillId="38" borderId="21" numFmtId="0" xfId="0" applyFont="1" applyFill="1" applyBorder="1" applyAlignment="1">
      <alignment horizontal="left" indent="1" vertical="top" wrapText="1"/>
    </xf>
    <xf fontId="22" fillId="38" borderId="20" numFmtId="0" xfId="0" applyFont="1" applyFill="1" applyBorder="1" applyAlignment="1">
      <alignment horizontal="left" indent="1" vertical="top" wrapText="1"/>
    </xf>
    <xf fontId="0" fillId="0" borderId="21" numFmtId="49" xfId="0" applyNumberFormat="1" applyBorder="1" applyAlignment="1">
      <alignment horizontal="center" vertical="center"/>
    </xf>
    <xf fontId="22" fillId="42" borderId="26" numFmtId="0" xfId="0" applyFont="1" applyFill="1" applyBorder="1" applyAlignment="1">
      <alignment vertical="center" wrapText="1"/>
    </xf>
    <xf fontId="22" fillId="0" borderId="20" numFmtId="0" xfId="0" applyFont="1" applyBorder="1" applyAlignment="1">
      <alignment vertical="center" wrapText="1"/>
    </xf>
    <xf fontId="22" fillId="42" borderId="45" numFmtId="0" xfId="0" applyFont="1" applyFill="1" applyBorder="1" applyAlignment="1">
      <alignment vertical="center" wrapText="1"/>
    </xf>
    <xf fontId="112" fillId="0" borderId="0" numFmtId="49" xfId="0" applyNumberFormat="1" applyFont="1" applyAlignment="1">
      <alignment horizontal="center" vertical="center" wrapText="1"/>
    </xf>
    <xf fontId="0" fillId="40" borderId="32" numFmtId="0" xfId="0" applyFill="1" applyBorder="1" applyAlignment="1">
      <alignment horizontal="center" vertical="center" wrapText="1"/>
    </xf>
    <xf fontId="0" fillId="0" borderId="23" numFmtId="0" xfId="0" applyBorder="1" applyAlignment="1">
      <alignment horizontal="left" indent="1" vertical="center" wrapText="1"/>
    </xf>
    <xf fontId="22" fillId="0" borderId="21" numFmtId="49" xfId="0" applyNumberFormat="1" applyFont="1" applyBorder="1" applyAlignment="1">
      <alignment horizontal="center" vertical="center" wrapText="1"/>
    </xf>
    <xf fontId="22" fillId="42" borderId="34" numFmtId="0" xfId="0" applyFont="1" applyFill="1" applyBorder="1" applyAlignment="1">
      <alignment vertical="center" wrapText="1"/>
    </xf>
    <xf fontId="22" fillId="40" borderId="19" numFmtId="0" xfId="0" applyFont="1" applyFill="1" applyBorder="1" applyAlignment="1">
      <alignment vertical="center" wrapText="1"/>
    </xf>
    <xf fontId="87" fillId="0" borderId="19" numFmtId="49" xfId="0" applyNumberFormat="1" applyFont="1" applyBorder="1" applyAlignment="1">
      <alignment vertical="top"/>
    </xf>
    <xf fontId="51" fillId="40" borderId="19" numFmtId="0" xfId="0" applyFont="1" applyFill="1" applyBorder="1" applyAlignment="1">
      <alignment horizontal="center" wrapText="1"/>
    </xf>
    <xf fontId="22" fillId="0" borderId="15" numFmtId="0" xfId="0" applyFont="1" applyBorder="1" applyAlignment="1">
      <alignment horizontal="center" vertical="center"/>
    </xf>
    <xf fontId="22" fillId="0" borderId="16" numFmtId="0" xfId="0" applyFont="1" applyBorder="1" applyAlignment="1">
      <alignment horizontal="center" vertical="center"/>
    </xf>
    <xf fontId="22" fillId="0" borderId="17" numFmtId="0" xfId="0" applyFont="1" applyBorder="1" applyAlignment="1">
      <alignment horizontal="center" vertical="center"/>
    </xf>
    <xf fontId="22" fillId="0" borderId="13" numFmtId="0" xfId="0" applyFont="1" applyBorder="1" applyAlignment="1">
      <alignment vertical="center" wrapText="1"/>
    </xf>
    <xf fontId="22" fillId="40" borderId="26" numFmtId="0" xfId="0" applyFont="1" applyFill="1" applyBorder="1" applyAlignment="1">
      <alignment vertical="center" wrapText="1"/>
    </xf>
    <xf fontId="45" fillId="0" borderId="19" numFmtId="0" xfId="0" applyFont="1" applyBorder="1" applyAlignment="1">
      <alignment vertical="center" wrapText="1"/>
    </xf>
    <xf fontId="22" fillId="0" borderId="56" numFmtId="0" xfId="0" applyFont="1" applyBorder="1" applyAlignment="1">
      <alignment horizontal="center" vertical="center"/>
    </xf>
    <xf fontId="22" fillId="0" borderId="44" numFmtId="0" xfId="0" applyFont="1" applyBorder="1" applyAlignment="1">
      <alignment horizontal="center" vertical="center"/>
    </xf>
    <xf fontId="22" fillId="0" borderId="13" numFmtId="0" xfId="0" applyFont="1" applyBorder="1" applyAlignment="1">
      <alignment vertical="center"/>
    </xf>
    <xf fontId="0" fillId="0" borderId="32" numFmtId="49" xfId="0" applyNumberFormat="1" applyBorder="1" applyAlignment="1">
      <alignment horizontal="center" vertical="center" wrapText="1"/>
    </xf>
    <xf fontId="22" fillId="0" borderId="28" numFmtId="49" xfId="0" applyNumberFormat="1" applyFont="1" applyBorder="1" applyAlignment="1">
      <alignment vertical="top"/>
    </xf>
    <xf fontId="0" fillId="0" borderId="42" numFmtId="49" xfId="0" applyNumberFormat="1" applyBorder="1" applyAlignment="1">
      <alignment horizontal="center" vertical="center" wrapText="1"/>
    </xf>
    <xf fontId="0" fillId="38" borderId="23" numFmtId="0" xfId="0" applyFill="1" applyBorder="1" applyAlignment="1">
      <alignment horizontal="center" vertical="center" wrapText="1"/>
    </xf>
    <xf fontId="0" fillId="0" borderId="30" numFmtId="49" xfId="0" applyNumberFormat="1" applyBorder="1" applyAlignment="1">
      <alignment horizontal="center" vertical="center" wrapText="1"/>
    </xf>
    <xf fontId="0" fillId="38" borderId="23" numFmtId="49" xfId="0" applyNumberFormat="1" applyFill="1" applyBorder="1" applyAlignment="1">
      <alignment horizontal="center" vertical="center"/>
    </xf>
    <xf fontId="22" fillId="0" borderId="28" numFmtId="0" xfId="0" applyFont="1" applyBorder="1" applyAlignment="1">
      <alignment vertical="center" wrapText="1"/>
    </xf>
    <xf fontId="0" fillId="38" borderId="23" numFmtId="4" xfId="0" applyNumberFormat="1" applyFill="1" applyBorder="1" applyAlignment="1">
      <alignment horizontal="right" vertical="center" wrapText="1"/>
    </xf>
    <xf fontId="0" fillId="36" borderId="23" numFmtId="4" xfId="0" applyNumberFormat="1" applyFill="1" applyBorder="1" applyAlignment="1">
      <alignment horizontal="right" vertical="center" wrapText="1"/>
      <protection locked="0"/>
    </xf>
    <xf fontId="0" fillId="0" borderId="23" numFmtId="49" xfId="0" applyNumberFormat="1" applyBorder="1" applyAlignment="1">
      <alignment horizontal="left" indent="3" vertical="center" wrapText="1"/>
    </xf>
    <xf fontId="71" fillId="0" borderId="0" numFmtId="49" xfId="0" applyNumberFormat="1" applyFont="1" applyAlignment="1">
      <alignment vertical="center" wrapText="1"/>
    </xf>
    <xf fontId="113" fillId="0" borderId="0" numFmtId="49" xfId="0" applyNumberFormat="1" applyFont="1" applyAlignment="1">
      <alignment vertical="center" wrapText="1"/>
    </xf>
    <xf fontId="71" fillId="0" borderId="0" numFmtId="49" xfId="0" applyNumberFormat="1" applyFont="1" applyAlignment="1">
      <alignment vertical="center"/>
    </xf>
    <xf fontId="113" fillId="0" borderId="0" numFmtId="49" xfId="0" applyNumberFormat="1" applyFont="1" applyAlignment="1">
      <alignment vertical="center"/>
    </xf>
    <xf fontId="71" fillId="0" borderId="0" numFmtId="49" xfId="0" applyNumberFormat="1" applyFont="1" applyAlignment="1">
      <alignment vertical="top"/>
    </xf>
    <xf fontId="41" fillId="0" borderId="0" numFmtId="49" xfId="0" applyNumberFormat="1" applyFont="1" applyAlignment="1">
      <alignment horizontal="center" vertical="top" wrapText="1"/>
    </xf>
    <xf fontId="22" fillId="40" borderId="0" numFmtId="49" xfId="0" applyNumberFormat="1" applyFont="1" applyFill="1" applyAlignment="1">
      <alignment horizontal="center" vertical="top" wrapText="1"/>
    </xf>
    <xf fontId="22" fillId="0" borderId="27" numFmtId="0" xfId="0" applyFont="1" applyBorder="1" applyAlignment="1">
      <alignment horizontal="left" vertical="top" wrapText="1"/>
    </xf>
    <xf fontId="71" fillId="0" borderId="0" numFmtId="49" xfId="0" applyNumberFormat="1" applyFont="1" applyAlignment="1">
      <alignment horizontal="center" vertical="center" wrapText="1"/>
    </xf>
    <xf fontId="113" fillId="0" borderId="0" numFmtId="49" xfId="0" applyNumberFormat="1" applyFont="1" applyAlignment="1">
      <alignment horizontal="center" vertical="center" wrapText="1"/>
    </xf>
    <xf fontId="71" fillId="0" borderId="0" numFmtId="0" xfId="0" applyFont="1" applyAlignment="1">
      <alignment horizontal="center" vertical="center" wrapText="1"/>
    </xf>
    <xf fontId="22" fillId="47" borderId="21" numFmtId="0" xfId="0" applyFont="1" applyFill="1" applyBorder="1" applyAlignment="1">
      <alignment horizontal="center" vertical="center" wrapText="1"/>
    </xf>
    <xf fontId="22" fillId="47" borderId="25" numFmtId="0" xfId="0" applyFont="1" applyFill="1" applyBorder="1" applyAlignment="1">
      <alignment horizontal="center" vertical="center" wrapText="1"/>
    </xf>
    <xf fontId="22" fillId="47" borderId="20" numFmtId="0" xfId="0" applyFont="1" applyFill="1" applyBorder="1" applyAlignment="1">
      <alignment horizontal="center" vertical="center" wrapText="1"/>
    </xf>
    <xf fontId="43" fillId="48" borderId="21" numFmtId="49" xfId="0" applyNumberFormat="1" applyFont="1" applyFill="1" applyBorder="1" applyAlignment="1">
      <alignment horizontal="center" vertical="center" wrapText="1"/>
    </xf>
    <xf fontId="43" fillId="48" borderId="25" numFmtId="49" xfId="0" applyNumberFormat="1" applyFont="1" applyFill="1" applyBorder="1" applyAlignment="1">
      <alignment horizontal="center" vertical="center" wrapText="1"/>
    </xf>
    <xf fontId="43" fillId="48" borderId="20" numFmtId="49" xfId="0" applyNumberFormat="1" applyFont="1" applyFill="1" applyBorder="1" applyAlignment="1">
      <alignment horizontal="center" vertical="center" wrapText="1"/>
    </xf>
    <xf fontId="43" fillId="49" borderId="21" numFmtId="49" xfId="0" applyNumberFormat="1" applyFont="1" applyFill="1" applyBorder="1" applyAlignment="1">
      <alignment horizontal="center" vertical="center" wrapText="1"/>
    </xf>
    <xf fontId="43" fillId="49" borderId="25" numFmtId="49" xfId="0" applyNumberFormat="1" applyFont="1" applyFill="1" applyBorder="1" applyAlignment="1">
      <alignment horizontal="center" vertical="center" wrapText="1"/>
    </xf>
    <xf fontId="43" fillId="49" borderId="20" numFmtId="49" xfId="0" applyNumberFormat="1" applyFont="1" applyFill="1" applyBorder="1" applyAlignment="1">
      <alignment horizontal="center" vertical="center" wrapText="1"/>
    </xf>
    <xf fontId="22" fillId="50" borderId="21" numFmtId="49" xfId="0" applyNumberFormat="1" applyFont="1" applyFill="1" applyBorder="1" applyAlignment="1">
      <alignment horizontal="center" vertical="center" wrapText="1"/>
    </xf>
    <xf fontId="22" fillId="50" borderId="25" numFmtId="49" xfId="0" applyNumberFormat="1" applyFont="1" applyFill="1" applyBorder="1" applyAlignment="1">
      <alignment horizontal="center" vertical="center" wrapText="1"/>
    </xf>
    <xf fontId="22" fillId="51" borderId="26" numFmtId="49" xfId="0" applyNumberFormat="1" applyFont="1" applyFill="1" applyBorder="1" applyAlignment="1">
      <alignment horizontal="center" vertical="center" wrapText="1"/>
    </xf>
    <xf fontId="22" fillId="51" borderId="0" numFmtId="49" xfId="0" applyNumberFormat="1" applyFont="1" applyFill="1" applyAlignment="1">
      <alignment horizontal="center" vertical="center" wrapText="1"/>
    </xf>
    <xf fontId="22" fillId="0" borderId="25" numFmtId="49" xfId="0" applyNumberFormat="1" applyFont="1" applyBorder="1" applyAlignment="1">
      <alignment horizontal="center" vertical="center" wrapText="1"/>
    </xf>
    <xf fontId="22" fillId="0" borderId="20" numFmtId="49" xfId="0" applyNumberFormat="1" applyFont="1" applyBorder="1" applyAlignment="1">
      <alignment horizontal="center" vertical="center" wrapText="1"/>
    </xf>
    <xf fontId="71" fillId="40" borderId="0" numFmtId="49" xfId="0" applyNumberFormat="1" applyFont="1" applyFill="1" applyAlignment="1">
      <alignment vertical="center" wrapText="1"/>
    </xf>
    <xf fontId="22" fillId="51" borderId="23" numFmtId="49" xfId="0" applyNumberFormat="1" applyFont="1" applyFill="1" applyBorder="1" applyAlignment="1">
      <alignment horizontal="center" vertical="center" wrapText="1"/>
    </xf>
    <xf fontId="22" fillId="51" borderId="23" numFmtId="0" xfId="0" applyFont="1" applyFill="1" applyBorder="1" applyAlignment="1">
      <alignment horizontal="center" vertical="center" wrapText="1"/>
    </xf>
    <xf fontId="22" fillId="51" borderId="21" numFmtId="0" xfId="0" applyFont="1" applyFill="1" applyBorder="1" applyAlignment="1">
      <alignment horizontal="center" vertical="center" wrapText="1"/>
    </xf>
    <xf fontId="22" fillId="40" borderId="20" numFmtId="0" xfId="0" applyFont="1" applyFill="1" applyBorder="1" applyAlignment="1">
      <alignment horizontal="center" vertical="center" wrapText="1"/>
    </xf>
    <xf fontId="22" fillId="51" borderId="20" numFmtId="0" xfId="0" applyFont="1" applyFill="1" applyBorder="1" applyAlignment="1">
      <alignment horizontal="center" vertical="center" wrapText="1"/>
    </xf>
    <xf fontId="22" fillId="51" borderId="45" numFmtId="49" xfId="0" applyNumberFormat="1" applyFont="1" applyFill="1" applyBorder="1" applyAlignment="1">
      <alignment horizontal="center" vertical="center" wrapText="1"/>
    </xf>
    <xf fontId="71" fillId="40" borderId="0" numFmtId="49" xfId="0" applyNumberFormat="1" applyFont="1" applyFill="1" applyAlignment="1">
      <alignment vertical="center"/>
    </xf>
    <xf fontId="67" fillId="0" borderId="23" numFmtId="49" xfId="0" applyNumberFormat="1" applyFont="1" applyBorder="1" applyAlignment="1">
      <alignment horizontal="center" vertical="center"/>
    </xf>
    <xf fontId="67" fillId="51" borderId="23" numFmtId="49" xfId="0" applyNumberFormat="1" applyFont="1" applyFill="1" applyBorder="1" applyAlignment="1">
      <alignment horizontal="center" vertical="center"/>
    </xf>
    <xf fontId="67" fillId="0" borderId="23" numFmtId="0" xfId="0" applyFont="1" applyBorder="1" applyAlignment="1">
      <alignment horizontal="center" vertical="center"/>
    </xf>
    <xf fontId="67" fillId="0" borderId="30" numFmtId="49" xfId="0" applyNumberFormat="1" applyFont="1" applyBorder="1" applyAlignment="1">
      <alignment horizontal="center" vertical="center"/>
    </xf>
    <xf fontId="22" fillId="0" borderId="0" numFmtId="49" xfId="0" applyNumberFormat="1" applyFont="1" applyAlignment="1">
      <alignment vertical="center"/>
    </xf>
    <xf fontId="43" fillId="0" borderId="32" numFmtId="49" xfId="0" applyNumberFormat="1" applyFont="1" applyBorder="1" applyAlignment="1">
      <alignment horizontal="center" vertical="center"/>
    </xf>
    <xf fontId="22" fillId="0" borderId="32" numFmtId="0" xfId="0" applyFont="1" applyBorder="1" applyAlignment="1">
      <alignment horizontal="right" vertical="center"/>
    </xf>
    <xf fontId="22" fillId="0" borderId="32" numFmtId="0" xfId="0" applyFont="1" applyBorder="1" applyAlignment="1">
      <alignment horizontal="center" vertical="center"/>
    </xf>
    <xf fontId="22" fillId="0" borderId="23" numFmtId="0" xfId="0" applyFont="1" applyBorder="1" applyAlignment="1">
      <alignment horizontal="right" vertical="center"/>
    </xf>
    <xf fontId="71" fillId="40" borderId="0" numFmtId="4" xfId="0" applyNumberFormat="1" applyFont="1" applyFill="1" applyAlignment="1">
      <alignment vertical="center"/>
    </xf>
    <xf fontId="72" fillId="0" borderId="0" numFmtId="49" xfId="0" applyNumberFormat="1" applyFont="1" applyAlignment="1">
      <alignment vertical="center" wrapText="1"/>
    </xf>
    <xf fontId="67" fillId="0" borderId="0" numFmtId="0" xfId="75" applyFont="1" applyAlignment="1">
      <alignment horizontal="center" vertical="center" wrapText="1"/>
    </xf>
    <xf fontId="22" fillId="39" borderId="21" numFmtId="3" xfId="0" applyNumberFormat="1" applyFont="1" applyFill="1" applyBorder="1" applyAlignment="1">
      <alignment vertical="center" wrapText="1"/>
      <protection locked="0"/>
    </xf>
    <xf fontId="22" fillId="38" borderId="21" numFmtId="4" xfId="0" applyNumberFormat="1" applyFont="1" applyFill="1" applyBorder="1" applyAlignment="1">
      <alignment horizontal="right" vertical="center" wrapText="1"/>
    </xf>
    <xf fontId="43" fillId="0" borderId="23" numFmtId="0" xfId="0" applyFont="1" applyBorder="1" applyAlignment="1">
      <alignment vertical="top" wrapText="1"/>
    </xf>
    <xf fontId="0" fillId="0" borderId="23" numFmtId="0" xfId="0" applyBorder="1" applyAlignment="1">
      <alignment vertical="center" wrapText="1"/>
    </xf>
    <xf fontId="0" fillId="39" borderId="23" numFmtId="0" xfId="0" applyFill="1" applyBorder="1" applyAlignment="1">
      <alignment horizontal="left" indent="2" vertical="center" wrapText="1"/>
      <protection locked="0"/>
    </xf>
    <xf fontId="111" fillId="42" borderId="25" numFmtId="49" xfId="0" applyNumberFormat="1" applyFont="1" applyFill="1" applyBorder="1" applyAlignment="1">
      <alignment horizontal="center" vertical="top"/>
    </xf>
    <xf fontId="82" fillId="0" borderId="23" numFmtId="49" xfId="0" applyNumberFormat="1" applyFont="1" applyBorder="1" applyAlignment="1">
      <alignment horizontal="center" vertical="center" wrapText="1"/>
    </xf>
    <xf fontId="82" fillId="0" borderId="23" numFmtId="0" xfId="0" applyFont="1" applyBorder="1" applyAlignment="1">
      <alignment horizontal="left" indent="2" vertical="center" wrapText="1"/>
    </xf>
    <xf fontId="114" fillId="0" borderId="21" numFmtId="49" xfId="0" applyNumberFormat="1" applyFont="1" applyBorder="1" applyAlignment="1">
      <alignment horizontal="left" vertical="center" wrapText="1"/>
    </xf>
    <xf fontId="22" fillId="0" borderId="32" numFmtId="0" xfId="0" applyFont="1" applyBorder="1" applyAlignment="1">
      <alignment vertical="top" wrapText="1"/>
    </xf>
    <xf fontId="0" fillId="39" borderId="23" numFmtId="0" xfId="0" applyFill="1" applyBorder="1" applyAlignment="1">
      <alignment horizontal="left" vertical="center" wrapText="1"/>
      <protection locked="0"/>
    </xf>
    <xf fontId="0" fillId="0" borderId="23" numFmtId="0" xfId="0" applyBorder="1" applyAlignment="1">
      <alignment horizontal="left" indent="2" vertical="center" wrapText="1"/>
    </xf>
    <xf fontId="0" fillId="39" borderId="23" numFmtId="168" xfId="0" applyNumberFormat="1" applyFill="1" applyBorder="1" applyAlignment="1">
      <alignment horizontal="left" vertical="center" wrapText="1"/>
      <protection locked="0"/>
    </xf>
    <xf fontId="0" fillId="39" borderId="20" numFmtId="168" xfId="0" applyNumberFormat="1" applyFill="1" applyBorder="1" applyAlignment="1">
      <alignment horizontal="left" vertical="center" wrapText="1"/>
      <protection locked="0"/>
    </xf>
    <xf fontId="0" fillId="39" borderId="21" numFmtId="168" xfId="0" applyNumberFormat="1" applyFill="1" applyBorder="1" applyAlignment="1">
      <alignment horizontal="left" vertical="center" wrapText="1"/>
      <protection locked="0"/>
    </xf>
    <xf fontId="22" fillId="0" borderId="25" numFmtId="0" xfId="0" applyFont="1" applyBorder="1" applyAlignment="1">
      <alignment horizontal="left" indent="1" vertical="top" wrapText="1"/>
    </xf>
    <xf fontId="0" fillId="40" borderId="21" numFmtId="0" xfId="0" applyFill="1" applyBorder="1" applyAlignment="1">
      <alignment horizontal="right" indent="1" vertical="center" wrapText="1"/>
    </xf>
    <xf fontId="67" fillId="40" borderId="26" numFmtId="49" xfId="0" applyNumberFormat="1" applyFont="1" applyFill="1" applyBorder="1" applyAlignment="1">
      <alignment horizontal="center" vertical="center" wrapText="1"/>
    </xf>
    <xf fontId="0" fillId="40" borderId="32" numFmtId="49" xfId="0" applyNumberFormat="1" applyFill="1" applyBorder="1" applyAlignment="1">
      <alignment horizontal="center" vertical="center" wrapText="1"/>
    </xf>
    <xf fontId="0" fillId="0" borderId="32" numFmtId="0" xfId="0" applyBorder="1" applyAlignment="1">
      <alignment horizontal="left" vertical="center" wrapText="1"/>
    </xf>
    <xf fontId="95" fillId="40" borderId="0" numFmtId="0" xfId="0" applyFont="1" applyFill="1" applyAlignment="1">
      <alignment horizontal="center" vertical="top" wrapText="1"/>
    </xf>
    <xf fontId="0" fillId="38" borderId="21" numFmtId="0" xfId="0" applyFill="1" applyBorder="1" applyAlignment="1">
      <alignment horizontal="left" indent="1" vertical="center" wrapText="1"/>
    </xf>
    <xf fontId="70" fillId="42" borderId="45" numFmtId="49" xfId="0" applyNumberFormat="1" applyFont="1" applyFill="1" applyBorder="1" applyAlignment="1">
      <alignment horizontal="left" indent="2" vertical="center"/>
    </xf>
    <xf fontId="95" fillId="40" borderId="29" numFmtId="0" xfId="0" applyFont="1" applyFill="1" applyBorder="1" applyAlignment="1">
      <alignment horizontal="center" vertical="top" wrapText="1"/>
    </xf>
    <xf fontId="0" fillId="40" borderId="30" numFmtId="49" xfId="0" applyNumberFormat="1" applyFill="1" applyBorder="1" applyAlignment="1">
      <alignment horizontal="center" vertical="center" wrapText="1"/>
    </xf>
    <xf fontId="0" fillId="38" borderId="30" numFmtId="0" xfId="0" applyFill="1" applyBorder="1" applyAlignment="1">
      <alignment horizontal="left" indent="1" vertical="center" wrapText="1"/>
    </xf>
    <xf fontId="0" fillId="40" borderId="21" numFmtId="49" xfId="0" applyNumberFormat="1" applyFill="1" applyBorder="1" applyAlignment="1">
      <alignment horizontal="center" vertical="center" wrapText="1"/>
    </xf>
    <xf fontId="22" fillId="0" borderId="26" numFmtId="49" xfId="0" applyNumberFormat="1" applyFont="1" applyBorder="1" applyAlignment="1">
      <alignment vertical="top"/>
    </xf>
    <xf fontId="36" fillId="0" borderId="0" numFmtId="0" xfId="0" applyFont="1" applyAlignment="1">
      <alignment horizontal="right" vertical="top" wrapText="1"/>
    </xf>
    <xf fontId="27" fillId="39" borderId="23" numFmtId="49" xfId="0" applyNumberFormat="1" applyFont="1" applyFill="1" applyBorder="1" applyAlignment="1">
      <alignment horizontal="left" vertical="center" wrapText="1"/>
      <protection locked="0"/>
    </xf>
    <xf fontId="22" fillId="0" borderId="26" numFmtId="0" xfId="0" applyFont="1" applyBorder="1" applyAlignment="1">
      <alignment horizontal="left" vertical="top" wrapText="1"/>
    </xf>
    <xf fontId="22" fillId="0" borderId="21" numFmtId="3" xfId="0" applyNumberFormat="1" applyFont="1" applyBorder="1" applyAlignment="1">
      <alignment vertical="center" wrapText="1"/>
    </xf>
    <xf fontId="22" fillId="0" borderId="21" numFmtId="4" xfId="0" applyNumberFormat="1" applyFont="1" applyBorder="1" applyAlignment="1">
      <alignment horizontal="right" vertical="center" wrapText="1"/>
    </xf>
    <xf fontId="55" fillId="0" borderId="0" numFmtId="0" xfId="0" applyFont="1" applyAlignment="1">
      <alignment vertical="center" wrapText="1"/>
    </xf>
    <xf fontId="0" fillId="0" borderId="0" numFmtId="49" xfId="0" applyNumberFormat="1" applyAlignment="1">
      <alignment vertical="center" wrapText="1"/>
    </xf>
    <xf fontId="22" fillId="0" borderId="0" numFmtId="49" xfId="0" applyNumberFormat="1" applyFont="1" applyAlignment="1">
      <alignment horizontal="center" vertical="top"/>
    </xf>
    <xf fontId="41" fillId="48" borderId="0" numFmtId="49" xfId="0" applyNumberFormat="1" applyFont="1" applyFill="1" applyAlignment="1">
      <alignment horizontal="center" vertical="center"/>
    </xf>
    <xf fontId="22" fillId="0" borderId="23" numFmtId="49" xfId="0" applyNumberFormat="1" applyFont="1" applyBorder="1" applyAlignment="1">
      <alignment horizontal="center" vertical="top"/>
    </xf>
    <xf fontId="43" fillId="48" borderId="0" numFmtId="49" xfId="0" applyNumberFormat="1" applyFont="1" applyFill="1" applyAlignment="1">
      <alignment horizontal="center" vertical="center" wrapText="1"/>
    </xf>
    <xf fontId="0" fillId="47" borderId="23" numFmtId="0" xfId="0" applyFill="1" applyBorder="1" applyAlignment="1">
      <alignment horizontal="center" vertical="center"/>
    </xf>
    <xf fontId="43" fillId="48" borderId="23" numFmtId="49" xfId="0" applyNumberFormat="1" applyFont="1" applyFill="1" applyBorder="1" applyAlignment="1">
      <alignment horizontal="center" vertical="center"/>
    </xf>
    <xf fontId="43" fillId="49" borderId="23" numFmtId="49" xfId="0" applyNumberFormat="1" applyFont="1" applyFill="1" applyBorder="1" applyAlignment="1">
      <alignment horizontal="center" vertical="center"/>
    </xf>
    <xf fontId="0" fillId="50" borderId="23" numFmtId="49" xfId="0" applyNumberFormat="1" applyFill="1" applyBorder="1" applyAlignment="1">
      <alignment horizontal="center" vertical="center"/>
    </xf>
    <xf fontId="22" fillId="0" borderId="23" numFmtId="0" xfId="0" applyFont="1" applyBorder="1" applyAlignment="1">
      <alignment vertical="center"/>
    </xf>
    <xf fontId="0" fillId="0" borderId="23" numFmtId="0" xfId="0" applyBorder="1" applyAlignment="1">
      <alignment vertical="center"/>
    </xf>
    <xf fontId="0" fillId="0" borderId="21" numFmtId="0" xfId="0" applyBorder="1" applyAlignment="1">
      <alignment vertical="center"/>
    </xf>
    <xf fontId="22" fillId="0" borderId="21" numFmtId="0" xfId="0" applyFont="1" applyBorder="1" applyAlignment="1">
      <alignment horizontal="left" vertical="center"/>
    </xf>
    <xf fontId="22" fillId="0" borderId="57" numFmtId="49" xfId="0" applyNumberFormat="1" applyFont="1" applyBorder="1" applyAlignment="1">
      <alignment vertical="center"/>
    </xf>
    <xf fontId="22" fillId="0" borderId="58" numFmtId="49" xfId="0" applyNumberFormat="1" applyFont="1" applyBorder="1" applyAlignment="1">
      <alignment vertical="top"/>
    </xf>
    <xf fontId="22" fillId="0" borderId="59" numFmtId="49" xfId="0" applyNumberFormat="1" applyFont="1" applyBorder="1" applyAlignment="1">
      <alignment vertical="top"/>
    </xf>
    <xf fontId="0" fillId="0" borderId="20" numFmtId="0" xfId="0" applyBorder="1" applyAlignment="1">
      <alignment vertical="center"/>
    </xf>
    <xf fontId="0" fillId="0" borderId="23" numFmtId="0" xfId="0" applyBorder="1" applyAlignment="1">
      <alignment horizontal="right" vertical="top"/>
    </xf>
    <xf fontId="0" fillId="0" borderId="23" numFmtId="0" xfId="0" applyBorder="1" applyAlignment="1">
      <alignment vertical="top"/>
    </xf>
    <xf fontId="22" fillId="0" borderId="20" numFmtId="0" xfId="0" applyFont="1" applyBorder="1" applyAlignment="1">
      <alignment vertical="center"/>
    </xf>
    <xf fontId="22" fillId="0" borderId="23" numFmtId="49" xfId="0" applyNumberFormat="1" applyFont="1" applyBorder="1" applyAlignment="1">
      <alignment vertical="center"/>
    </xf>
    <xf fontId="22" fillId="0" borderId="23" numFmtId="0" xfId="0" applyFont="1" applyBorder="1" applyAlignment="1">
      <alignment vertical="top"/>
    </xf>
    <xf fontId="0" fillId="52" borderId="0" numFmtId="0" xfId="0" applyFill="1" applyAlignment="1">
      <alignment horizontal="right" vertical="center"/>
    </xf>
    <xf fontId="41" fillId="0" borderId="0" numFmtId="49" xfId="0" applyNumberFormat="1" applyFont="1" applyAlignment="1">
      <alignment horizontal="center" vertical="center"/>
    </xf>
    <xf fontId="0" fillId="52" borderId="0" numFmtId="0" xfId="0" applyFill="1" applyAlignment="1">
      <alignment horizontal="left" vertical="center"/>
    </xf>
    <xf fontId="0" fillId="0" borderId="0" numFmtId="0" xfId="0" applyAlignment="1">
      <alignment horizontal="right" vertical="top"/>
    </xf>
    <xf fontId="22" fillId="0" borderId="21" numFmtId="49" xfId="0" applyNumberFormat="1" applyFont="1" applyBorder="1" applyAlignment="1">
      <alignment vertical="top"/>
    </xf>
    <xf fontId="0" fillId="0" borderId="0" numFmtId="0" xfId="0" applyAlignment="1">
      <alignment horizontal="left" vertical="center"/>
    </xf>
    <xf fontId="68" fillId="52" borderId="0" numFmtId="0" xfId="0" applyFont="1" applyFill="1" applyAlignment="1">
      <alignment horizontal="left" vertical="center"/>
    </xf>
    <xf fontId="68" fillId="0" borderId="0" numFmtId="0" xfId="0" applyFont="1" applyAlignment="1">
      <alignment horizontal="left" vertical="center"/>
    </xf>
    <xf fontId="0" fillId="0" borderId="21" numFmtId="49" xfId="0" applyNumberFormat="1" applyBorder="1" applyAlignment="1">
      <alignment vertical="top"/>
    </xf>
    <xf fontId="22" fillId="0" borderId="23" numFmtId="49" xfId="0" applyNumberFormat="1" applyFont="1" applyBorder="1" applyAlignment="1">
      <alignment horizontal="right" vertical="top"/>
    </xf>
    <xf fontId="0" fillId="0" borderId="21" numFmtId="0" xfId="0" applyBorder="1" applyAlignment="1">
      <alignment horizontal="left" vertical="center"/>
    </xf>
    <xf fontId="22" fillId="0" borderId="32" numFmtId="49" xfId="0" applyNumberFormat="1" applyFont="1" applyBorder="1" applyAlignment="1">
      <alignment horizontal="right" vertical="top"/>
    </xf>
    <xf fontId="0" fillId="0" borderId="32" numFmtId="0" xfId="0" applyBorder="1" applyAlignment="1">
      <alignment vertical="top"/>
    </xf>
    <xf fontId="22" fillId="0" borderId="32" numFmtId="0" xfId="0" applyFont="1" applyBorder="1" applyAlignment="1">
      <alignment vertical="center"/>
    </xf>
    <xf fontId="22" fillId="0" borderId="52" numFmtId="49" xfId="0" applyNumberFormat="1" applyFont="1" applyBorder="1" applyAlignment="1">
      <alignment horizontal="center" vertical="center"/>
    </xf>
    <xf fontId="22" fillId="0" borderId="23" numFmtId="49" xfId="0" applyNumberFormat="1" applyFont="1" applyBorder="1" applyAlignment="1">
      <alignment horizontal="right" vertical="center"/>
    </xf>
    <xf fontId="22" fillId="0" borderId="23" numFmtId="49" xfId="0" applyNumberFormat="1" applyFont="1" applyBorder="1" applyAlignment="1">
      <alignment vertical="top"/>
    </xf>
    <xf fontId="22" fillId="52" borderId="0" numFmtId="0" xfId="0" applyFont="1" applyFill="1" applyAlignment="1">
      <alignment horizontal="left" vertical="center"/>
    </xf>
    <xf fontId="0" fillId="52" borderId="60" numFmtId="0" xfId="0" applyFill="1" applyBorder="1" applyAlignment="1">
      <alignment horizontal="center"/>
    </xf>
    <xf fontId="115" fillId="0" borderId="59" numFmtId="49" xfId="0" applyNumberFormat="1" applyFont="1" applyBorder="1" applyAlignment="1">
      <alignment vertical="top"/>
    </xf>
    <xf fontId="71" fillId="45" borderId="0" numFmtId="49" xfId="0" applyNumberFormat="1" applyFont="1" applyFill="1" applyAlignment="1">
      <alignment vertical="center" wrapText="1"/>
    </xf>
    <xf fontId="0" fillId="0" borderId="60" numFmtId="0" xfId="0" applyBorder="1" applyAlignment="1">
      <alignment horizontal="center"/>
    </xf>
    <xf fontId="41" fillId="48" borderId="0" numFmtId="49" xfId="0" applyNumberFormat="1" applyFont="1" applyFill="1" applyAlignment="1">
      <alignment horizontal="center" vertical="center" wrapText="1"/>
    </xf>
    <xf fontId="22" fillId="52" borderId="0" numFmtId="49" xfId="0" applyNumberFormat="1" applyFont="1" applyFill="1" applyAlignment="1">
      <alignment horizontal="center" vertical="center"/>
    </xf>
    <xf fontId="0" fillId="36" borderId="52" numFmtId="49" xfId="0" applyNumberFormat="1" applyFill="1" applyBorder="1" applyAlignment="1">
      <alignment horizontal="left" vertical="center"/>
      <protection locked="0"/>
    </xf>
    <xf fontId="0" fillId="0" borderId="52" numFmtId="49" xfId="0" applyNumberFormat="1" applyBorder="1" applyAlignment="1">
      <alignment horizontal="right" vertical="center"/>
    </xf>
    <xf fontId="0" fillId="38" borderId="52" numFmtId="0" xfId="0" applyFill="1" applyBorder="1" applyAlignment="1">
      <alignment horizontal="center" vertical="center"/>
    </xf>
    <xf fontId="0" fillId="0" borderId="52" numFmtId="49" xfId="0" applyNumberFormat="1" applyBorder="1" applyAlignment="1">
      <alignment horizontal="center" vertical="center"/>
    </xf>
    <xf fontId="0" fillId="0" borderId="0" numFmtId="49" xfId="0" applyNumberFormat="1" applyAlignment="1">
      <alignment horizontal="left" vertical="center"/>
    </xf>
    <xf fontId="34" fillId="0" borderId="61" numFmtId="0" xfId="0" applyFont="1" applyBorder="1" applyAlignment="1">
      <alignment horizontal="center" vertical="center"/>
    </xf>
    <xf fontId="0" fillId="0" borderId="61" numFmtId="0" xfId="0" applyBorder="1" applyAlignment="1">
      <alignment horizontal="center" vertical="center"/>
    </xf>
    <xf fontId="41" fillId="48" borderId="23" numFmtId="49" xfId="0" applyNumberFormat="1" applyFont="1" applyFill="1" applyBorder="1" applyAlignment="1">
      <alignment horizontal="right" vertical="center"/>
    </xf>
    <xf fontId="22" fillId="36" borderId="33" numFmtId="49" xfId="0" applyNumberFormat="1" applyFont="1" applyFill="1" applyBorder="1" applyAlignment="1">
      <alignment vertical="top"/>
      <protection locked="0"/>
    </xf>
    <xf fontId="0" fillId="51" borderId="23" numFmtId="0" xfId="0" applyFill="1" applyBorder="1" applyAlignment="1">
      <alignment horizontal="right" vertical="center"/>
    </xf>
    <xf fontId="22" fillId="51" borderId="30" numFmtId="49" xfId="0" applyNumberFormat="1" applyFont="1" applyFill="1" applyBorder="1" applyAlignment="1">
      <alignment vertical="top"/>
    </xf>
    <xf fontId="22" fillId="51" borderId="23" numFmtId="49" xfId="0" applyNumberFormat="1" applyFont="1" applyFill="1" applyBorder="1" applyAlignment="1">
      <alignment vertical="top"/>
    </xf>
    <xf fontId="22" fillId="0" borderId="21" numFmtId="49" xfId="0" applyNumberFormat="1" applyFont="1" applyBorder="1" applyAlignment="1">
      <alignment horizontal="center" vertical="top"/>
    </xf>
    <xf fontId="22" fillId="0" borderId="20" numFmtId="49" xfId="0" applyNumberFormat="1" applyFont="1" applyBorder="1" applyAlignment="1">
      <alignment horizontal="center" vertical="top"/>
    </xf>
    <xf fontId="22" fillId="38" borderId="35" numFmtId="0" xfId="0" applyFont="1" applyFill="1" applyBorder="1" applyAlignment="1">
      <alignment horizontal="center" vertical="top"/>
    </xf>
    <xf fontId="22" fillId="38" borderId="35" numFmtId="0" xfId="0" applyFont="1" applyFill="1" applyBorder="1" applyAlignment="1">
      <alignment horizontal="left" vertical="top"/>
    </xf>
    <xf fontId="0" fillId="0" borderId="50" numFmtId="0" xfId="0" applyBorder="1" applyAlignment="1">
      <alignment horizontal="center" vertical="center"/>
    </xf>
    <xf fontId="0" fillId="0" borderId="55" numFmtId="0" xfId="0" applyBorder="1" applyAlignment="1">
      <alignment horizontal="center" vertical="center"/>
    </xf>
    <xf fontId="22" fillId="0" borderId="23" numFmtId="0" xfId="0" applyFont="1" applyBorder="1" applyAlignment="1">
      <alignment horizontal="left" vertical="top"/>
    </xf>
    <xf fontId="22" fillId="0" borderId="0" numFmtId="49" xfId="0" applyNumberFormat="1" applyFont="1" applyAlignment="1">
      <alignment horizontal="left" vertical="top"/>
    </xf>
    <xf fontId="0" fillId="0" borderId="53" numFmtId="0" xfId="0" applyBorder="1" applyAlignment="1">
      <alignment horizontal="center" vertical="center"/>
    </xf>
    <xf fontId="41" fillId="48" borderId="21" numFmtId="49" xfId="0" applyNumberFormat="1" applyFont="1" applyFill="1" applyBorder="1" applyAlignment="1">
      <alignment horizontal="right" vertical="center"/>
    </xf>
    <xf fontId="0" fillId="52" borderId="0" numFmtId="0" xfId="0" applyFill="1" applyAlignment="1">
      <alignment horizontal="right" vertical="top" wrapText="1"/>
    </xf>
    <xf fontId="22" fillId="40" borderId="23" numFmtId="49" xfId="0" applyNumberFormat="1" applyFont="1" applyFill="1" applyBorder="1" applyAlignment="1">
      <alignment horizontal="center" vertical="center"/>
    </xf>
    <xf fontId="43" fillId="40" borderId="0" numFmtId="0" xfId="0" applyFont="1" applyFill="1"/>
    <xf fontId="99" fillId="40" borderId="0" numFmtId="0" xfId="0" applyFont="1" applyFill="1"/>
    <xf fontId="45" fillId="40" borderId="0" numFmtId="0" xfId="0" applyFont="1" applyFill="1" applyAlignment="1">
      <alignment horizontal="center" vertical="center" wrapText="1"/>
    </xf>
    <xf fontId="0" fillId="40" borderId="32" numFmtId="0" xfId="0" applyFill="1" applyBorder="1" applyAlignment="1">
      <alignment horizontal="left" vertical="top" wrapText="1"/>
    </xf>
    <xf fontId="82" fillId="40" borderId="0" numFmtId="0" xfId="0" applyFont="1" applyFill="1"/>
    <xf fontId="63" fillId="40" borderId="0" numFmtId="0" xfId="0" applyFont="1" applyFill="1" applyAlignment="1">
      <alignment vertical="center" wrapText="1"/>
    </xf>
    <xf fontId="45" fillId="40" borderId="23" numFmtId="0" xfId="0" applyFont="1" applyFill="1" applyBorder="1" applyAlignment="1">
      <alignment horizontal="center" vertical="center"/>
    </xf>
    <xf fontId="0" fillId="40" borderId="42" numFmtId="0" xfId="0" applyFill="1" applyBorder="1" applyAlignment="1">
      <alignment horizontal="left" vertical="top" wrapText="1"/>
    </xf>
    <xf fontId="0" fillId="40" borderId="30" numFmtId="0" xfId="0" applyFill="1" applyBorder="1" applyAlignment="1">
      <alignment horizontal="left" vertical="top" wrapText="1"/>
    </xf>
    <xf fontId="103" fillId="40" borderId="0" numFmtId="0" xfId="0" applyFont="1" applyFill="1"/>
    <xf fontId="22" fillId="40" borderId="23" numFmtId="0" xfId="0" applyFont="1" applyFill="1" applyBorder="1" applyAlignment="1">
      <alignment horizontal="left" vertical="top" wrapText="1"/>
    </xf>
    <xf fontId="55" fillId="36" borderId="30" numFmtId="49" xfId="0" applyNumberFormat="1" applyFont="1" applyFill="1" applyBorder="1" applyAlignment="1">
      <alignment horizontal="left" vertical="center" wrapText="1"/>
      <protection locked="0"/>
    </xf>
    <xf fontId="22" fillId="40" borderId="23" numFmtId="0" xfId="0" applyFont="1" applyFill="1" applyBorder="1" applyAlignment="1">
      <alignment vertical="top" wrapText="1"/>
    </xf>
    <xf fontId="22" fillId="39" borderId="21" numFmtId="14" xfId="0" applyNumberFormat="1" applyFont="1" applyFill="1" applyBorder="1" applyAlignment="1">
      <alignment horizontal="left" indent="1" vertical="center" wrapText="1"/>
      <protection locked="0"/>
    </xf>
    <xf fontId="43" fillId="0" borderId="42" numFmtId="0" xfId="0" applyFont="1" applyBorder="1" applyAlignment="1">
      <alignment horizontal="left" indent="1" vertical="center" wrapText="1"/>
    </xf>
    <xf fontId="116" fillId="0" borderId="0" numFmtId="0" xfId="0" applyFont="1" applyAlignment="1">
      <alignment vertical="center"/>
    </xf>
    <xf fontId="22" fillId="0" borderId="33" numFmtId="169" xfId="0" applyNumberFormat="1" applyFont="1" applyBorder="1" applyAlignment="1">
      <alignment horizontal="center" vertical="center" wrapText="1"/>
    </xf>
    <xf fontId="22" fillId="0" borderId="32" numFmtId="169" xfId="0" applyNumberFormat="1" applyFont="1" applyBorder="1" applyAlignment="1">
      <alignment horizontal="center" vertical="center" wrapText="1"/>
    </xf>
    <xf fontId="22" fillId="0" borderId="30" numFmtId="4" xfId="0" applyNumberFormat="1" applyFont="1" applyBorder="1" applyAlignment="1">
      <alignment horizontal="center" vertical="center" wrapText="1"/>
    </xf>
    <xf fontId="22" fillId="41" borderId="23" numFmtId="14" xfId="0" applyNumberFormat="1" applyFont="1" applyFill="1" applyBorder="1" applyAlignment="1">
      <alignment horizontal="left" vertical="center" wrapText="1"/>
    </xf>
    <xf fontId="22" fillId="39" borderId="23" numFmtId="14" xfId="0" applyNumberFormat="1" applyFont="1" applyFill="1" applyBorder="1" applyAlignment="1">
      <alignment horizontal="left" indent="1" vertical="center" wrapText="1"/>
      <protection locked="0"/>
    </xf>
    <xf fontId="51" fillId="42" borderId="35" numFmtId="49" xfId="0" applyNumberFormat="1" applyFont="1" applyFill="1" applyBorder="1" applyAlignment="1">
      <alignment horizontal="right" vertical="center" wrapText="1"/>
    </xf>
    <xf fontId="0" fillId="42" borderId="45" numFmtId="49" xfId="0" applyNumberFormat="1" applyFill="1" applyBorder="1" applyAlignment="1">
      <alignment horizontal="right" vertical="center" wrapText="1"/>
    </xf>
    <xf fontId="0" fillId="42" borderId="34" numFmtId="49" xfId="0" applyNumberFormat="1" applyFill="1" applyBorder="1" applyAlignment="1">
      <alignment horizontal="right" vertical="center" wrapText="1"/>
    </xf>
    <xf fontId="116" fillId="0" borderId="0" numFmtId="0" xfId="0" applyFont="1" applyAlignment="1">
      <alignment vertical="center" wrapText="1"/>
    </xf>
    <xf fontId="0" fillId="39" borderId="25" numFmtId="168" xfId="0" applyNumberFormat="1" applyFill="1" applyBorder="1" applyAlignment="1">
      <alignment horizontal="left" indent="1" vertical="center" wrapText="1"/>
      <protection locked="0"/>
    </xf>
    <xf fontId="22" fillId="39" borderId="23" numFmtId="170" xfId="0" applyNumberFormat="1" applyFont="1" applyFill="1" applyBorder="1" applyAlignment="1">
      <alignment horizontal="left" indent="1" vertical="center" wrapText="1"/>
      <protection locked="0"/>
    </xf>
    <xf fontId="45" fillId="0" borderId="0" numFmtId="168" xfId="0" applyNumberFormat="1" applyFont="1" applyAlignment="1">
      <alignment horizontal="center" vertical="center" wrapText="1"/>
    </xf>
    <xf fontId="22" fillId="0" borderId="25" numFmtId="169" xfId="0" applyNumberFormat="1" applyFont="1" applyBorder="1" applyAlignment="1">
      <alignment horizontal="center" vertical="center" wrapText="1"/>
    </xf>
    <xf fontId="22" fillId="0" borderId="20" numFmtId="169" xfId="0" applyNumberFormat="1" applyFont="1" applyBorder="1" applyAlignment="1">
      <alignment horizontal="center" vertical="center" wrapText="1"/>
    </xf>
    <xf fontId="22" fillId="0" borderId="42" numFmtId="4" xfId="0" applyNumberFormat="1" applyFont="1" applyBorder="1" applyAlignment="1">
      <alignment horizontal="center" vertical="center" wrapText="1"/>
    </xf>
    <xf fontId="22" fillId="0" borderId="30" numFmtId="169" xfId="0" applyNumberFormat="1" applyFont="1" applyBorder="1" applyAlignment="1">
      <alignment horizontal="center" vertical="center" wrapText="1"/>
    </xf>
    <xf fontId="22" fillId="38" borderId="30" numFmtId="0" xfId="0" applyFont="1" applyFill="1" applyBorder="1" applyAlignment="1">
      <alignment horizontal="left" indent="1" vertical="center" wrapText="1"/>
    </xf>
    <xf fontId="22" fillId="39" borderId="30" numFmtId="14" xfId="0" applyNumberFormat="1" applyFont="1" applyFill="1" applyBorder="1" applyAlignment="1">
      <alignment horizontal="left" indent="1" vertical="center" wrapText="1"/>
      <protection locked="0"/>
    </xf>
    <xf fontId="22" fillId="0" borderId="34" numFmtId="0" xfId="0" applyFont="1" applyBorder="1" applyAlignment="1">
      <alignment horizontal="left" vertical="top" wrapText="1"/>
    </xf>
    <xf fontId="22" fillId="0" borderId="30" numFmtId="14" xfId="0" applyNumberFormat="1" applyFont="1" applyBorder="1" applyAlignment="1">
      <alignment horizontal="left" indent="1" vertical="center" wrapText="1"/>
    </xf>
    <xf fontId="55" fillId="42" borderId="45" numFmtId="49" xfId="0" applyNumberFormat="1" applyFont="1" applyFill="1" applyBorder="1" applyAlignment="1">
      <alignment horizontal="left" vertical="center" wrapText="1"/>
    </xf>
    <xf fontId="55" fillId="42" borderId="34" numFmtId="49" xfId="0" applyNumberFormat="1" applyFont="1" applyFill="1" applyBorder="1" applyAlignment="1">
      <alignment horizontal="left" vertical="center" wrapText="1"/>
    </xf>
    <xf fontId="22" fillId="40" borderId="42" numFmtId="0" xfId="0" applyFont="1" applyFill="1" applyBorder="1" applyAlignment="1">
      <alignment vertical="center" wrapText="1"/>
    </xf>
    <xf fontId="45" fillId="0" borderId="45" numFmtId="0" xfId="0" applyFont="1" applyBorder="1" applyAlignment="1">
      <alignment horizontal="center" vertical="center" wrapText="1"/>
    </xf>
    <xf fontId="22" fillId="40" borderId="28" numFmtId="0" xfId="0" applyFont="1" applyFill="1" applyBorder="1" applyAlignment="1">
      <alignment vertical="center" wrapText="1"/>
    </xf>
    <xf fontId="67" fillId="0" borderId="23" numFmtId="0" xfId="75" applyFont="1" applyBorder="1" applyAlignment="1">
      <alignment horizontal="center" vertical="center" wrapText="1"/>
    </xf>
    <xf fontId="22" fillId="0" borderId="25" numFmtId="0" xfId="0" applyFont="1" applyBorder="1" applyAlignment="1">
      <alignment horizontal="left" vertical="center" wrapText="1"/>
    </xf>
    <xf fontId="66" fillId="0" borderId="0" numFmtId="0" xfId="0" applyFont="1" applyAlignment="1">
      <alignment horizontal="center" vertical="center" wrapText="1"/>
    </xf>
    <xf fontId="71" fillId="0" borderId="26" numFmtId="169" xfId="0" applyNumberFormat="1" applyFont="1" applyBorder="1" applyAlignment="1">
      <alignment horizontal="center" vertical="center" wrapText="1"/>
    </xf>
    <xf fontId="71" fillId="0" borderId="27" numFmtId="169" xfId="0" applyNumberFormat="1" applyFont="1" applyBorder="1" applyAlignment="1">
      <alignment horizontal="center" vertical="center" wrapText="1"/>
    </xf>
    <xf fontId="22" fillId="0" borderId="42" numFmtId="169" xfId="0" applyNumberFormat="1" applyFont="1" applyBorder="1" applyAlignment="1">
      <alignment horizontal="center" vertical="center" wrapText="1"/>
    </xf>
    <xf fontId="22" fillId="38" borderId="34" numFmtId="0" xfId="0" applyFont="1" applyFill="1" applyBorder="1" applyAlignment="1">
      <alignment horizontal="left" vertical="center" wrapText="1"/>
    </xf>
    <xf fontId="22" fillId="41" borderId="35" numFmtId="49" xfId="0" applyNumberFormat="1" applyFont="1" applyFill="1" applyBorder="1" applyAlignment="1">
      <alignment horizontal="left" vertical="center" wrapText="1"/>
    </xf>
    <xf fontId="22" fillId="39" borderId="45" numFmtId="49" xfId="0" applyNumberFormat="1" applyFont="1" applyFill="1" applyBorder="1" applyAlignment="1">
      <alignment horizontal="left" vertical="center" wrapText="1"/>
      <protection locked="0"/>
    </xf>
    <xf fontId="22" fillId="39" borderId="35" numFmtId="49" xfId="0" applyNumberFormat="1" applyFont="1" applyFill="1" applyBorder="1" applyAlignment="1">
      <alignment horizontal="left" vertical="center" wrapText="1"/>
      <protection locked="0"/>
    </xf>
    <xf fontId="22" fillId="0" borderId="23" numFmtId="49" xfId="0" applyNumberFormat="1" applyFont="1" applyBorder="1" applyAlignment="1">
      <alignment horizontal="left" vertical="top" wrapText="1"/>
    </xf>
    <xf fontId="22" fillId="41" borderId="30" numFmtId="49" xfId="0" applyNumberFormat="1" applyFont="1" applyFill="1" applyBorder="1" applyAlignment="1">
      <alignment horizontal="left" vertical="center" wrapText="1"/>
    </xf>
    <xf fontId="117" fillId="0" borderId="23" numFmtId="49" xfId="0" applyNumberFormat="1" applyFont="1" applyBorder="1" applyAlignment="1">
      <alignment horizontal="left" vertical="top" wrapText="1"/>
    </xf>
    <xf fontId="61" fillId="0" borderId="0" numFmtId="49" xfId="0" applyNumberFormat="1" applyFont="1" applyAlignment="1">
      <alignment horizontal="center" vertical="center"/>
    </xf>
    <xf fontId="118" fillId="40" borderId="0" numFmtId="0" xfId="0" applyFont="1" applyFill="1" applyAlignment="1">
      <alignment horizontal="center" vertical="center" wrapText="1"/>
    </xf>
    <xf fontId="41" fillId="40" borderId="0" numFmtId="0" xfId="0" applyFont="1" applyFill="1"/>
    <xf fontId="45" fillId="0" borderId="0" numFmtId="0" xfId="0" applyFont="1" applyAlignment="1">
      <alignment vertical="top"/>
    </xf>
    <xf fontId="22" fillId="0" borderId="0" numFmtId="49" xfId="0" applyNumberFormat="1" applyFont="1" applyAlignment="1">
      <alignment horizontal="left" vertical="top" wrapText="1"/>
    </xf>
    <xf fontId="22" fillId="0" borderId="0" numFmtId="0" xfId="0" applyFont="1"/>
    <xf fontId="61" fillId="0" borderId="0" numFmtId="0" xfId="0" applyFont="1" applyAlignment="1">
      <alignment horizontal="center" vertical="center"/>
    </xf>
    <xf fontId="61" fillId="40" borderId="0" numFmtId="0" xfId="0" applyFont="1" applyFill="1" applyAlignment="1">
      <alignment horizontal="center" vertical="center"/>
    </xf>
    <xf fontId="81" fillId="0" borderId="0" numFmtId="0" xfId="0" applyFont="1"/>
    <xf fontId="22" fillId="40" borderId="32" numFmtId="0" xfId="0" applyFont="1" applyFill="1" applyBorder="1" applyAlignment="1">
      <alignment horizontal="center" vertical="center"/>
    </xf>
    <xf fontId="22" fillId="0" borderId="32" numFmtId="49" xfId="0" applyNumberFormat="1" applyFont="1" applyBorder="1" applyAlignment="1">
      <alignment horizontal="left" vertical="center" wrapText="1"/>
    </xf>
    <xf fontId="70" fillId="42" borderId="20" numFmtId="49" xfId="0" applyNumberFormat="1" applyFont="1" applyFill="1" applyBorder="1" applyAlignment="1">
      <alignment horizontal="left" vertical="center"/>
    </xf>
    <xf fontId="71" fillId="0" borderId="0" numFmtId="49" xfId="0" applyNumberFormat="1" applyFont="1" applyAlignment="1">
      <alignment horizontal="right" vertical="top"/>
    </xf>
    <xf fontId="0" fillId="0" borderId="25" numFmtId="49" xfId="0" applyNumberFormat="1" applyBorder="1" applyAlignment="1">
      <alignment horizontal="left" indent="1" vertical="center"/>
    </xf>
    <xf fontId="88" fillId="0" borderId="0" numFmtId="49" xfId="0" applyNumberFormat="1" applyFont="1" applyAlignment="1">
      <alignment vertical="top"/>
    </xf>
    <xf fontId="0" fillId="0" borderId="62" numFmtId="49" xfId="0" applyNumberFormat="1" applyBorder="1" applyAlignment="1">
      <alignment horizontal="center" vertical="center"/>
    </xf>
    <xf fontId="0" fillId="53" borderId="0" numFmtId="49" xfId="0" applyNumberFormat="1" applyFill="1" applyAlignment="1">
      <alignment vertical="top"/>
    </xf>
    <xf fontId="61" fillId="40" borderId="0" numFmtId="0" xfId="0" applyFont="1" applyFill="1" applyAlignment="1">
      <alignment horizontal="center"/>
    </xf>
    <xf fontId="22" fillId="41" borderId="23" numFmtId="14" xfId="0" applyNumberFormat="1" applyFont="1" applyFill="1" applyBorder="1" applyAlignment="1">
      <alignment horizontal="left" indent="1" vertical="center" wrapText="1"/>
    </xf>
    <xf fontId="22" fillId="38" borderId="23" numFmtId="49" xfId="0" applyNumberFormat="1" applyFont="1" applyFill="1" applyBorder="1" applyAlignment="1">
      <alignment horizontal="center" vertical="center" wrapText="1"/>
    </xf>
    <xf fontId="89" fillId="53" borderId="0" numFmtId="49" xfId="0" applyNumberFormat="1" applyFont="1" applyFill="1" applyAlignment="1">
      <alignment vertical="top"/>
    </xf>
    <xf fontId="89" fillId="0" borderId="0" numFmtId="49" xfId="0" applyNumberFormat="1" applyFont="1" applyAlignment="1">
      <alignment vertical="top"/>
    </xf>
    <xf fontId="80" fillId="0" borderId="32" numFmtId="14" xfId="0" applyNumberFormat="1" applyFont="1" applyBorder="1" applyAlignment="1">
      <alignment horizontal="center" vertical="center" wrapText="1"/>
    </xf>
    <xf fontId="78" fillId="0" borderId="23" numFmtId="0" xfId="0" applyFont="1" applyBorder="1" applyAlignment="1">
      <alignment horizontal="left" indent="1" vertical="center" wrapText="1"/>
    </xf>
    <xf fontId="80" fillId="0" borderId="32" numFmtId="0" xfId="0" applyFont="1" applyBorder="1" applyAlignment="1">
      <alignment horizontal="center" vertical="center" wrapText="1"/>
    </xf>
    <xf fontId="69" fillId="0" borderId="0" numFmtId="0" xfId="0" applyFont="1" applyAlignment="1">
      <alignment vertical="center"/>
    </xf>
    <xf fontId="80" fillId="0" borderId="42" numFmtId="14" xfId="0" applyNumberFormat="1" applyFont="1" applyBorder="1" applyAlignment="1">
      <alignment horizontal="center" vertical="center" wrapText="1"/>
    </xf>
    <xf fontId="78" fillId="0" borderId="23" numFmtId="0" xfId="0" applyFont="1" applyBorder="1" applyAlignment="1">
      <alignment horizontal="left" indent="1" vertical="top"/>
    </xf>
    <xf fontId="67" fillId="0" borderId="23" numFmtId="0" xfId="0" applyFont="1" applyBorder="1" applyAlignment="1">
      <alignment horizontal="center" vertical="center" wrapText="1"/>
    </xf>
    <xf fontId="78" fillId="39" borderId="23" numFmtId="49" xfId="0" applyNumberFormat="1" applyFont="1" applyFill="1" applyBorder="1" applyAlignment="1">
      <alignment horizontal="left" indent="1" vertical="center" wrapText="1"/>
      <protection locked="0"/>
    </xf>
    <xf fontId="22" fillId="40" borderId="0" numFmtId="0" xfId="0" applyFont="1" applyFill="1" applyAlignment="1">
      <alignment horizontal="center" vertical="top" wrapText="1"/>
    </xf>
    <xf fontId="45" fillId="40" borderId="23" numFmtId="0" xfId="0" applyFont="1" applyFill="1" applyBorder="1" applyAlignment="1">
      <alignment horizontal="center" vertical="center" wrapText="1"/>
    </xf>
    <xf fontId="22" fillId="41" borderId="34" numFmtId="14" xfId="0" applyNumberFormat="1" applyFont="1" applyFill="1" applyBorder="1" applyAlignment="1">
      <alignment horizontal="left" vertical="center" wrapText="1"/>
    </xf>
    <xf fontId="119" fillId="39" borderId="23" numFmtId="49" xfId="0" applyNumberFormat="1" applyFont="1" applyFill="1" applyBorder="1" applyAlignment="1">
      <alignment horizontal="left" vertical="center" wrapText="1"/>
    </xf>
    <xf fontId="119" fillId="39" borderId="23" numFmtId="49" xfId="0" applyNumberFormat="1" applyFont="1" applyFill="1" applyBorder="1" applyAlignment="1">
      <alignment horizontal="left" vertical="center" wrapText="1"/>
      <protection locked="0"/>
    </xf>
    <xf fontId="0" fillId="39" borderId="21" numFmtId="0" xfId="0" applyFill="1" applyBorder="1" applyAlignment="1">
      <alignment horizontal="left" indent="2" vertical="center" wrapText="1"/>
      <protection locked="0"/>
    </xf>
    <xf fontId="61" fillId="0" borderId="29" numFmtId="0" xfId="0" applyFont="1" applyBorder="1" applyAlignment="1">
      <alignment horizontal="center" vertical="center" wrapText="1"/>
    </xf>
    <xf fontId="22" fillId="0" borderId="23" numFmtId="49" xfId="0" applyNumberFormat="1" applyFont="1" applyBorder="1" applyAlignment="1">
      <alignment horizontal="center" vertical="top" wrapText="1"/>
    </xf>
    <xf fontId="0" fillId="38" borderId="23" numFmtId="0" xfId="0" applyFill="1" applyBorder="1" applyAlignment="1">
      <alignment horizontal="left" indent="1" vertical="top" wrapText="1"/>
    </xf>
    <xf fontId="22" fillId="41" borderId="32" numFmtId="49" xfId="0" applyNumberFormat="1" applyFont="1" applyFill="1" applyBorder="1" applyAlignment="1">
      <alignment horizontal="center" vertical="top" wrapText="1"/>
    </xf>
    <xf fontId="0" fillId="39" borderId="23" numFmtId="168" xfId="0" applyNumberFormat="1" applyFill="1" applyBorder="1" applyAlignment="1">
      <alignment horizontal="center" vertical="top" wrapText="1"/>
      <protection locked="0"/>
    </xf>
    <xf fontId="0" fillId="36" borderId="23" numFmtId="168" xfId="0" applyNumberFormat="1" applyFill="1" applyBorder="1" applyAlignment="1">
      <alignment horizontal="center" vertical="top" wrapText="1"/>
      <protection locked="0"/>
    </xf>
    <xf fontId="22" fillId="41" borderId="23" numFmtId="49" xfId="0" applyNumberFormat="1" applyFont="1" applyFill="1" applyBorder="1" applyAlignment="1">
      <alignment horizontal="left" vertical="top" wrapText="1"/>
    </xf>
    <xf fontId="22" fillId="39" borderId="23" numFmtId="49" xfId="0" applyNumberFormat="1" applyFont="1" applyFill="1" applyBorder="1" applyAlignment="1">
      <alignment horizontal="left" vertical="top" wrapText="1"/>
      <protection locked="0"/>
    </xf>
    <xf fontId="0" fillId="38" borderId="23" numFmtId="49" xfId="0" applyNumberFormat="1" applyFill="1" applyBorder="1" applyAlignment="1">
      <alignment horizontal="center" vertical="top" wrapText="1"/>
    </xf>
    <xf fontId="22" fillId="38" borderId="23" numFmtId="0" xfId="0" applyFont="1" applyFill="1" applyBorder="1" applyAlignment="1">
      <alignment horizontal="center" vertical="top" wrapText="1"/>
    </xf>
    <xf fontId="22" fillId="36" borderId="23" numFmtId="0" xfId="0" applyFont="1" applyFill="1" applyBorder="1" applyAlignment="1">
      <alignment horizontal="left" vertical="top" wrapText="1"/>
      <protection locked="0"/>
    </xf>
    <xf fontId="22" fillId="41" borderId="23" numFmtId="49" xfId="0" applyNumberFormat="1" applyFont="1" applyFill="1" applyBorder="1" applyAlignment="1">
      <alignment horizontal="center" vertical="top" wrapText="1"/>
    </xf>
    <xf fontId="22" fillId="39" borderId="32" numFmtId="49" xfId="0" applyNumberFormat="1" applyFont="1" applyFill="1" applyBorder="1" applyAlignment="1">
      <alignment horizontal="left" indent="1" vertical="center" wrapText="1"/>
      <protection locked="0"/>
    </xf>
    <xf fontId="22" fillId="0" borderId="29" numFmtId="0" xfId="0" applyFont="1" applyBorder="1" applyAlignment="1">
      <alignment vertical="top" wrapText="1"/>
    </xf>
    <xf fontId="22" fillId="41" borderId="30" numFmtId="49" xfId="0" applyNumberFormat="1" applyFont="1" applyFill="1" applyBorder="1" applyAlignment="1">
      <alignment horizontal="center" vertical="top" wrapText="1"/>
    </xf>
    <xf fontId="0" fillId="39" borderId="23" numFmtId="49" xfId="0" applyNumberFormat="1" applyFill="1" applyBorder="1" applyAlignment="1">
      <alignment horizontal="center" vertical="top" wrapText="1"/>
      <protection locked="0"/>
    </xf>
    <xf fontId="0" fillId="36" borderId="23" numFmtId="49" xfId="0" applyNumberFormat="1" applyFill="1" applyBorder="1" applyAlignment="1">
      <alignment horizontal="center" vertical="top" wrapText="1"/>
      <protection locked="0"/>
    </xf>
    <xf fontId="22" fillId="41" borderId="21" numFmtId="49" xfId="0" applyNumberFormat="1" applyFont="1" applyFill="1" applyBorder="1" applyAlignment="1">
      <alignment horizontal="center" vertical="top" wrapText="1"/>
    </xf>
    <xf fontId="22" fillId="0" borderId="42" numFmtId="49" xfId="0" applyNumberFormat="1" applyFont="1" applyBorder="1" applyAlignment="1">
      <alignment horizontal="center" vertical="top" wrapText="1"/>
    </xf>
    <xf fontId="0" fillId="38" borderId="42" numFmtId="0" xfId="0" applyFill="1" applyBorder="1" applyAlignment="1">
      <alignment horizontal="left" indent="1" vertical="top" wrapText="1"/>
    </xf>
    <xf fontId="22" fillId="41" borderId="42" numFmtId="49" xfId="0" applyNumberFormat="1" applyFont="1" applyFill="1" applyBorder="1" applyAlignment="1">
      <alignment horizontal="center" vertical="top" wrapText="1"/>
    </xf>
    <xf fontId="0" fillId="39" borderId="42" numFmtId="49" xfId="0" applyNumberFormat="1" applyFill="1" applyBorder="1" applyAlignment="1">
      <alignment horizontal="center" vertical="top" wrapText="1"/>
      <protection locked="0"/>
    </xf>
    <xf fontId="0" fillId="36" borderId="42" numFmtId="49" xfId="0" applyNumberFormat="1" applyFill="1" applyBorder="1" applyAlignment="1">
      <alignment horizontal="center" vertical="top" wrapText="1"/>
      <protection locked="0"/>
    </xf>
    <xf fontId="22" fillId="41" borderId="42" numFmtId="49" xfId="0" applyNumberFormat="1" applyFont="1" applyFill="1" applyBorder="1" applyAlignment="1">
      <alignment horizontal="left" vertical="top" wrapText="1"/>
    </xf>
    <xf fontId="22" fillId="39" borderId="42" numFmtId="49" xfId="0" applyNumberFormat="1" applyFont="1" applyFill="1" applyBorder="1" applyAlignment="1">
      <alignment horizontal="left" vertical="top" wrapText="1"/>
      <protection locked="0"/>
    </xf>
    <xf fontId="0" fillId="38" borderId="42" numFmtId="49" xfId="0" applyNumberFormat="1" applyFill="1" applyBorder="1" applyAlignment="1">
      <alignment horizontal="center" vertical="top" wrapText="1"/>
    </xf>
    <xf fontId="22" fillId="38" borderId="42" numFmtId="0" xfId="0" applyFont="1" applyFill="1" applyBorder="1" applyAlignment="1">
      <alignment horizontal="center" vertical="top" wrapText="1"/>
    </xf>
    <xf fontId="22" fillId="36" borderId="42" numFmtId="0" xfId="0" applyFont="1" applyFill="1" applyBorder="1" applyAlignment="1">
      <alignment horizontal="left" vertical="top" wrapText="1"/>
      <protection locked="0"/>
    </xf>
    <xf fontId="120" fillId="0" borderId="63" numFmtId="0" xfId="0" applyFont="1" applyBorder="1" applyAlignment="1">
      <alignment horizontal="left" indent="1" vertical="center"/>
    </xf>
    <xf fontId="120" fillId="0" borderId="64" numFmtId="0" xfId="0" applyFont="1" applyBorder="1" applyAlignment="1">
      <alignment horizontal="left" indent="1" vertical="center"/>
    </xf>
    <xf fontId="0" fillId="0" borderId="64" numFmtId="0" xfId="0" applyBorder="1" applyAlignment="1">
      <alignment horizontal="left" vertical="center" wrapText="1"/>
    </xf>
    <xf fontId="22" fillId="0" borderId="64" numFmtId="0" xfId="0" applyFont="1" applyBorder="1" applyAlignment="1">
      <alignment vertical="center" wrapText="1"/>
    </xf>
    <xf fontId="22" fillId="0" borderId="65" numFmtId="0" xfId="0" applyFont="1" applyBorder="1" applyAlignment="1">
      <alignment vertical="center" wrapText="1"/>
    </xf>
    <xf fontId="22" fillId="0" borderId="66" numFmtId="0" xfId="0" applyFont="1" applyBorder="1" applyAlignment="1">
      <alignment vertical="center" wrapText="1"/>
    </xf>
    <xf fontId="43" fillId="0" borderId="20" numFmtId="49" xfId="0" applyNumberFormat="1" applyFont="1" applyBorder="1" applyAlignment="1">
      <alignment horizontal="center" vertical="center" wrapText="1"/>
    </xf>
    <xf fontId="43" fillId="0" borderId="20" numFmtId="49" xfId="0" applyNumberFormat="1" applyFont="1" applyBorder="1" applyAlignment="1">
      <alignment horizontal="left" vertical="center" wrapText="1"/>
    </xf>
    <xf fontId="43" fillId="0" borderId="21" numFmtId="49" xfId="0" applyNumberFormat="1" applyFont="1" applyBorder="1" applyAlignment="1">
      <alignment horizontal="center" vertical="center" wrapText="1"/>
    </xf>
    <xf fontId="72" fillId="0" borderId="44" numFmtId="49" xfId="0" applyNumberFormat="1" applyFont="1" applyBorder="1" applyAlignment="1">
      <alignment horizontal="left" indent="1" vertical="center"/>
    </xf>
    <xf fontId="72" fillId="0" borderId="44" numFmtId="49" xfId="0" applyNumberFormat="1" applyFont="1" applyBorder="1" applyAlignment="1">
      <alignment horizontal="center" vertical="center"/>
    </xf>
    <xf fontId="43" fillId="0" borderId="23" numFmtId="3" xfId="0" applyNumberFormat="1" applyFont="1" applyBorder="1" applyAlignment="1">
      <alignment horizontal="center" vertical="center" wrapText="1"/>
    </xf>
    <xf fontId="121" fillId="0" borderId="20" numFmtId="49" xfId="0" applyNumberFormat="1" applyFont="1" applyBorder="1" applyAlignment="1">
      <alignment horizontal="center" vertical="center" wrapText="1"/>
    </xf>
    <xf fontId="72" fillId="0" borderId="23" numFmtId="0" xfId="0" applyFont="1" applyBorder="1" applyAlignment="1">
      <alignment horizontal="center" vertical="center"/>
    </xf>
    <xf fontId="43" fillId="0" borderId="32" numFmtId="49" xfId="0" applyNumberFormat="1" applyFont="1" applyBorder="1" applyAlignment="1">
      <alignment horizontal="left" indent="1" vertical="center" wrapText="1"/>
    </xf>
    <xf fontId="72" fillId="0" borderId="21" numFmtId="49" xfId="0" applyNumberFormat="1" applyFont="1" applyBorder="1" applyAlignment="1">
      <alignment horizontal="left" indent="1" vertical="center"/>
    </xf>
    <xf fontId="72" fillId="0" borderId="25" numFmtId="49" xfId="0" applyNumberFormat="1" applyFont="1" applyBorder="1" applyAlignment="1">
      <alignment horizontal="left" indent="1" vertical="center"/>
    </xf>
    <xf fontId="72" fillId="0" borderId="25" numFmtId="49" xfId="0" applyNumberFormat="1" applyFont="1" applyBorder="1" applyAlignment="1">
      <alignment vertical="top" wrapText="1"/>
    </xf>
    <xf fontId="72" fillId="0" borderId="20" numFmtId="49" xfId="0" applyNumberFormat="1" applyFont="1" applyBorder="1" applyAlignment="1">
      <alignment vertical="top" wrapText="1"/>
    </xf>
    <xf fontId="43" fillId="0" borderId="42" numFmtId="49" xfId="0" applyNumberFormat="1" applyFont="1" applyBorder="1" applyAlignment="1">
      <alignment horizontal="left" indent="1" vertical="center" wrapText="1"/>
    </xf>
    <xf fontId="121" fillId="0" borderId="0" numFmtId="49" xfId="0" applyNumberFormat="1" applyFont="1" applyAlignment="1">
      <alignment horizontal="center" vertical="top" wrapText="1"/>
    </xf>
    <xf fontId="72" fillId="0" borderId="23" numFmtId="0" xfId="0" applyFont="1" applyBorder="1" applyAlignment="1">
      <alignment horizontal="left" indent="1" vertical="center" wrapText="1"/>
    </xf>
    <xf fontId="43" fillId="0" borderId="52" numFmtId="4" xfId="0" applyNumberFormat="1" applyFont="1" applyBorder="1" applyAlignment="1">
      <alignment horizontal="right" vertical="center" wrapText="1"/>
    </xf>
    <xf fontId="43" fillId="0" borderId="30" numFmtId="49" xfId="0" applyNumberFormat="1" applyFont="1" applyBorder="1" applyAlignment="1">
      <alignment horizontal="left" indent="1" vertical="center" wrapText="1"/>
    </xf>
    <xf fontId="43" fillId="0" borderId="25" numFmtId="49" xfId="0" applyNumberFormat="1" applyFont="1" applyBorder="1" applyAlignment="1">
      <alignment horizontal="left" indent="1" vertical="center"/>
    </xf>
    <xf fontId="72" fillId="0" borderId="67" numFmtId="49" xfId="0" applyNumberFormat="1" applyFont="1" applyBorder="1" applyAlignment="1">
      <alignment vertical="top" wrapText="1"/>
    </xf>
    <xf fontId="72" fillId="0" borderId="67" numFmtId="49" xfId="0" applyNumberFormat="1" applyFont="1" applyBorder="1" applyAlignment="1">
      <alignment horizontal="left" indent="1" vertical="center"/>
    </xf>
    <xf fontId="22" fillId="38" borderId="68" numFmtId="49" xfId="0" applyNumberFormat="1" applyFont="1" applyFill="1" applyBorder="1" applyAlignment="1">
      <alignment horizontal="center" vertical="center" wrapText="1"/>
    </xf>
    <xf fontId="0" fillId="42" borderId="69" numFmtId="0" xfId="0" applyFill="1" applyBorder="1" applyAlignment="1">
      <alignment horizontal="left" vertical="center"/>
    </xf>
    <xf fontId="70" fillId="42" borderId="70" numFmtId="49" xfId="0" applyNumberFormat="1" applyFont="1" applyFill="1" applyBorder="1" applyAlignment="1">
      <alignment horizontal="left" indent="1" vertical="center"/>
    </xf>
    <xf fontId="22" fillId="42" borderId="69" numFmtId="0" xfId="0" applyFont="1" applyFill="1" applyBorder="1" applyAlignment="1">
      <alignment vertical="center" wrapText="1"/>
    </xf>
    <xf fontId="22" fillId="42" borderId="70" numFmtId="0" xfId="0" applyFont="1" applyFill="1" applyBorder="1" applyAlignment="1">
      <alignment vertical="center" wrapText="1"/>
    </xf>
    <xf fontId="0" fillId="38" borderId="42" numFmtId="49" xfId="0" applyNumberFormat="1" applyFill="1" applyBorder="1" applyAlignment="1">
      <alignment vertical="top"/>
    </xf>
    <xf fontId="0" fillId="0" borderId="42" numFmtId="49" xfId="0" applyNumberFormat="1" applyBorder="1" applyAlignment="1">
      <alignment vertical="top"/>
    </xf>
    <xf fontId="22" fillId="41" borderId="32" numFmtId="49" xfId="0" applyNumberFormat="1" applyFont="1" applyFill="1" applyBorder="1" applyAlignment="1">
      <alignment vertical="center" wrapText="1"/>
    </xf>
    <xf fontId="0" fillId="39" borderId="42" numFmtId="49" xfId="0" applyNumberFormat="1" applyFill="1" applyBorder="1" applyAlignment="1">
      <alignment vertical="top"/>
      <protection locked="0"/>
    </xf>
    <xf fontId="122" fillId="0" borderId="23" numFmtId="49" xfId="0" applyNumberFormat="1" applyFont="1" applyBorder="1" applyAlignment="1">
      <alignment horizontal="center" vertical="center" wrapText="1"/>
    </xf>
    <xf fontId="71" fillId="0" borderId="23" numFmtId="0" xfId="0" applyFont="1" applyBorder="1" applyAlignment="1">
      <alignment horizontal="center" vertical="center"/>
    </xf>
    <xf fontId="22" fillId="41" borderId="32" numFmtId="49" xfId="0" applyNumberFormat="1" applyFont="1" applyFill="1" applyBorder="1" applyAlignment="1">
      <alignment horizontal="left" indent="1" vertical="center" wrapText="1"/>
    </xf>
    <xf fontId="123" fillId="42" borderId="21" numFmtId="49" xfId="0" applyNumberFormat="1" applyFont="1" applyFill="1" applyBorder="1" applyAlignment="1">
      <alignment horizontal="left" indent="1" vertical="center"/>
    </xf>
    <xf fontId="123" fillId="42" borderId="25" numFmtId="49" xfId="0" applyNumberFormat="1" applyFont="1" applyFill="1" applyBorder="1" applyAlignment="1">
      <alignment horizontal="left" indent="1" vertical="center"/>
    </xf>
    <xf fontId="71" fillId="42" borderId="25" numFmtId="49" xfId="0" applyNumberFormat="1" applyFont="1" applyFill="1" applyBorder="1" applyAlignment="1">
      <alignment vertical="top" wrapText="1"/>
    </xf>
    <xf fontId="0" fillId="39" borderId="32" numFmtId="49" xfId="0" applyNumberFormat="1" applyFill="1" applyBorder="1" applyAlignment="1">
      <alignment vertical="top"/>
      <protection locked="0"/>
    </xf>
    <xf fontId="22" fillId="41" borderId="42" numFmtId="14" xfId="0" applyNumberFormat="1" applyFont="1" applyFill="1" applyBorder="1" applyAlignment="1">
      <alignment horizontal="left" indent="1" vertical="center" wrapText="1"/>
    </xf>
    <xf fontId="22" fillId="41" borderId="28" numFmtId="14" xfId="0" applyNumberFormat="1" applyFont="1" applyFill="1" applyBorder="1" applyAlignment="1">
      <alignment horizontal="left" indent="1" vertical="center" wrapText="1"/>
    </xf>
    <xf fontId="22" fillId="41" borderId="42" numFmtId="49" xfId="0" applyNumberFormat="1" applyFont="1" applyFill="1" applyBorder="1" applyAlignment="1">
      <alignment vertical="center" wrapText="1"/>
    </xf>
    <xf fontId="22" fillId="41" borderId="42" numFmtId="49" xfId="0" applyNumberFormat="1" applyFont="1" applyFill="1" applyBorder="1" applyAlignment="1">
      <alignment horizontal="left" indent="1" vertical="center" wrapText="1"/>
    </xf>
    <xf fontId="22" fillId="38" borderId="23" numFmtId="49" xfId="0" applyNumberFormat="1" applyFont="1" applyFill="1" applyBorder="1" applyAlignment="1">
      <alignment horizontal="left" vertical="center" wrapText="1"/>
    </xf>
    <xf fontId="122" fillId="0" borderId="0" numFmtId="49" xfId="0" applyNumberFormat="1" applyFont="1" applyAlignment="1">
      <alignment horizontal="center" vertical="top" wrapText="1"/>
    </xf>
    <xf fontId="71" fillId="41" borderId="23" numFmtId="0" xfId="0" applyFont="1" applyFill="1" applyBorder="1" applyAlignment="1">
      <alignment horizontal="left" indent="1" vertical="center" wrapText="1"/>
    </xf>
    <xf fontId="22" fillId="41" borderId="30" numFmtId="49" xfId="0" applyNumberFormat="1" applyFont="1" applyFill="1" applyBorder="1" applyAlignment="1">
      <alignment vertical="center" wrapText="1"/>
    </xf>
    <xf fontId="22" fillId="41" borderId="30" numFmtId="49" xfId="0" applyNumberFormat="1" applyFont="1" applyFill="1" applyBorder="1" applyAlignment="1">
      <alignment horizontal="left" indent="1" vertical="center" wrapText="1"/>
    </xf>
    <xf fontId="0" fillId="39" borderId="30" numFmtId="49" xfId="0" applyNumberFormat="1" applyFill="1" applyBorder="1" applyAlignment="1">
      <alignment vertical="top"/>
      <protection locked="0"/>
    </xf>
    <xf fontId="122" fillId="0" borderId="42" numFmtId="49" xfId="0" applyNumberFormat="1" applyFont="1" applyBorder="1" applyAlignment="1">
      <alignment horizontal="center" vertical="top" wrapText="1"/>
    </xf>
    <xf fontId="71" fillId="0" borderId="20" numFmtId="0" xfId="0" applyFont="1" applyBorder="1" applyAlignment="1">
      <alignment horizontal="center" vertical="center"/>
    </xf>
    <xf fontId="22" fillId="41" borderId="20" numFmtId="49" xfId="0" applyNumberFormat="1" applyFont="1" applyFill="1" applyBorder="1" applyAlignment="1">
      <alignment horizontal="left" vertical="center" wrapText="1"/>
    </xf>
    <xf fontId="123" fillId="42" borderId="43" numFmtId="49" xfId="0" applyNumberFormat="1" applyFont="1" applyFill="1" applyBorder="1" applyAlignment="1">
      <alignment horizontal="left" indent="1" vertical="center"/>
    </xf>
    <xf fontId="72" fillId="42" borderId="44" numFmtId="49" xfId="0" applyNumberFormat="1" applyFont="1" applyFill="1" applyBorder="1" applyAlignment="1">
      <alignment horizontal="center" vertical="center"/>
    </xf>
    <xf fontId="123" fillId="42" borderId="44" numFmtId="49" xfId="0" applyNumberFormat="1" applyFont="1" applyFill="1" applyBorder="1" applyAlignment="1">
      <alignment horizontal="left" indent="1" vertical="center"/>
    </xf>
    <xf fontId="22" fillId="39" borderId="23" numFmtId="3" xfId="0" applyNumberFormat="1" applyFont="1" applyFill="1" applyBorder="1" applyAlignment="1">
      <alignment horizontal="center" vertical="center" wrapText="1"/>
      <protection locked="0"/>
    </xf>
    <xf fontId="22" fillId="41" borderId="21" numFmtId="49" xfId="0" applyNumberFormat="1" applyFont="1" applyFill="1" applyBorder="1" applyAlignment="1">
      <alignment horizontal="center" vertical="center" wrapText="1"/>
    </xf>
    <xf fontId="71" fillId="42" borderId="20" numFmtId="49" xfId="0" applyNumberFormat="1" applyFont="1" applyFill="1" applyBorder="1" applyAlignment="1">
      <alignment vertical="top" wrapText="1"/>
    </xf>
    <xf fontId="71" fillId="42" borderId="67" numFmtId="49" xfId="0" applyNumberFormat="1" applyFont="1" applyFill="1" applyBorder="1" applyAlignment="1">
      <alignment vertical="top" wrapText="1"/>
    </xf>
    <xf fontId="123" fillId="42" borderId="67" numFmtId="49" xfId="0" applyNumberFormat="1" applyFont="1" applyFill="1" applyBorder="1" applyAlignment="1">
      <alignment horizontal="left" indent="1" vertical="center"/>
    </xf>
    <xf fontId="120" fillId="0" borderId="71" numFmtId="0" xfId="0" applyFont="1" applyBorder="1" applyAlignment="1">
      <alignment horizontal="left" indent="1" vertical="center"/>
    </xf>
    <xf fontId="22" fillId="0" borderId="72" numFmtId="49" xfId="0" applyNumberFormat="1" applyFont="1" applyBorder="1" applyAlignment="1">
      <alignment horizontal="center" vertical="center"/>
    </xf>
    <xf fontId="22" fillId="0" borderId="72" numFmtId="0" xfId="0" applyFont="1" applyBorder="1" applyAlignment="1">
      <alignment horizontal="right" vertical="center"/>
    </xf>
    <xf fontId="22" fillId="0" borderId="72" numFmtId="0" xfId="0" applyFont="1" applyBorder="1" applyAlignment="1">
      <alignment horizontal="center" vertical="center"/>
    </xf>
    <xf fontId="22" fillId="0" borderId="25" numFmtId="0" xfId="0" applyFont="1" applyBorder="1" applyAlignment="1">
      <alignment horizontal="right" vertical="center"/>
    </xf>
    <xf fontId="22" fillId="0" borderId="20" numFmtId="0" xfId="0" applyFont="1" applyBorder="1" applyAlignment="1">
      <alignment horizontal="right" vertical="center"/>
    </xf>
    <xf fontId="22" fillId="36" borderId="23" numFmtId="49" xfId="0" applyNumberFormat="1" applyFont="1" applyFill="1" applyBorder="1" applyAlignment="1">
      <alignment horizontal="left" indent="1" vertical="center"/>
      <protection locked="0"/>
    </xf>
    <xf fontId="22" fillId="51" borderId="23" numFmtId="0" xfId="0" applyFont="1" applyFill="1" applyBorder="1" applyAlignment="1">
      <alignment horizontal="right" vertical="center"/>
    </xf>
    <xf fontId="22" fillId="36" borderId="23" numFmtId="4" xfId="0" applyNumberFormat="1" applyFont="1" applyFill="1" applyBorder="1" applyAlignment="1">
      <alignment horizontal="right" vertical="center"/>
      <protection locked="0"/>
    </xf>
    <xf fontId="70" fillId="42" borderId="73" numFmtId="49" xfId="0" applyNumberFormat="1" applyFont="1" applyFill="1" applyBorder="1" applyAlignment="1">
      <alignment horizontal="left" indent="1" vertical="center"/>
    </xf>
    <xf fontId="70" fillId="54" borderId="20" numFmtId="49" xfId="0" applyNumberFormat="1" applyFont="1" applyFill="1" applyBorder="1" applyAlignment="1">
      <alignment horizontal="left" indent="1" vertical="center"/>
    </xf>
    <xf fontId="22" fillId="0" borderId="42" numFmtId="49" xfId="0" applyNumberFormat="1" applyFont="1" applyBorder="1" applyAlignment="1">
      <alignment horizontal="center" vertical="center" wrapText="1"/>
    </xf>
    <xf fontId="70" fillId="0" borderId="23" numFmtId="0" xfId="0" applyFont="1" applyBorder="1" applyAlignment="1">
      <alignment horizontal="left" indent="1" vertical="center"/>
    </xf>
    <xf fontId="22" fillId="0" borderId="30" numFmtId="49" xfId="0" applyNumberFormat="1" applyFont="1" applyBorder="1" applyAlignment="1">
      <alignment horizontal="center" vertical="center" wrapText="1"/>
    </xf>
    <xf fontId="45" fillId="0" borderId="30" numFmtId="0" xfId="0" applyFont="1" applyBorder="1" applyAlignment="1">
      <alignment vertical="center" wrapText="1"/>
    </xf>
    <xf fontId="45" fillId="0" borderId="30" numFmtId="2" xfId="0" applyNumberFormat="1" applyFont="1" applyBorder="1" applyAlignment="1">
      <alignment horizontal="center" vertical="center" wrapText="1"/>
    </xf>
    <xf fontId="45" fillId="0" borderId="0" numFmtId="0" xfId="0" applyFont="1" applyAlignment="1">
      <alignment horizontal="center" vertical="top"/>
    </xf>
    <xf fontId="45" fillId="0" borderId="21" numFmtId="49" xfId="0" applyNumberFormat="1" applyFont="1" applyBorder="1" applyAlignment="1">
      <alignment horizontal="left" vertical="center"/>
    </xf>
    <xf fontId="45" fillId="0" borderId="25" numFmtId="49" xfId="0" applyNumberFormat="1" applyFont="1" applyBorder="1" applyAlignment="1">
      <alignment horizontal="left" indent="1" vertical="center"/>
    </xf>
    <xf fontId="45" fillId="0" borderId="25" numFmtId="49" xfId="0" applyNumberFormat="1" applyFont="1" applyBorder="1" applyAlignment="1">
      <alignment horizontal="left" vertical="center"/>
    </xf>
    <xf fontId="45" fillId="0" borderId="20" numFmtId="49" xfId="0" applyNumberFormat="1" applyFont="1" applyBorder="1" applyAlignment="1">
      <alignment horizontal="left" indent="1" vertical="center"/>
    </xf>
    <xf fontId="45" fillId="0" borderId="23" numFmtId="0" xfId="0" applyFont="1" applyBorder="1" applyAlignment="1">
      <alignment horizontal="left" indent="1" vertical="center"/>
    </xf>
    <xf fontId="0" fillId="0" borderId="26" numFmtId="49" xfId="0" applyNumberFormat="1" applyBorder="1" applyAlignment="1">
      <alignment vertical="top"/>
    </xf>
    <xf fontId="61" fillId="0" borderId="32" numFmtId="49" xfId="0" applyNumberFormat="1" applyFont="1" applyBorder="1" applyAlignment="1">
      <alignment horizontal="center" vertical="top" wrapText="1"/>
    </xf>
    <xf fontId="22" fillId="39" borderId="21" numFmtId="49" xfId="0" applyNumberFormat="1" applyFont="1" applyFill="1" applyBorder="1" applyAlignment="1">
      <alignment horizontal="left" indent="1" vertical="center" wrapText="1"/>
      <protection locked="0"/>
    </xf>
    <xf fontId="0" fillId="0" borderId="20" numFmtId="49" xfId="0" applyNumberFormat="1" applyBorder="1" applyAlignment="1">
      <alignment horizontal="center" vertical="center" wrapText="1"/>
    </xf>
    <xf fontId="0" fillId="39" borderId="21" numFmtId="49" xfId="0" applyNumberFormat="1" applyFill="1" applyBorder="1" applyAlignment="1">
      <alignment horizontal="left" vertical="center" wrapText="1"/>
      <protection locked="0"/>
    </xf>
    <xf fontId="0" fillId="0" borderId="34" numFmtId="49" xfId="0" applyNumberFormat="1" applyBorder="1" applyAlignment="1">
      <alignment horizontal="center" vertical="center" wrapText="1"/>
    </xf>
    <xf fontId="0" fillId="42" borderId="35" numFmtId="49" xfId="0" applyNumberFormat="1" applyFill="1" applyBorder="1" applyAlignment="1">
      <alignment horizontal="center" vertical="center"/>
    </xf>
    <xf fontId="0" fillId="42" borderId="25" numFmtId="49" xfId="0" applyNumberFormat="1" applyFill="1" applyBorder="1" applyAlignment="1">
      <alignment horizontal="center" vertical="center"/>
    </xf>
    <xf fontId="22" fillId="0" borderId="30" numFmtId="49" xfId="0" applyNumberFormat="1" applyFont="1" applyBorder="1" applyAlignment="1">
      <alignment horizontal="center" vertical="top" wrapText="1"/>
    </xf>
    <xf fontId="0" fillId="0" borderId="28" numFmtId="49" xfId="0" applyNumberFormat="1" applyBorder="1" applyAlignment="1">
      <alignment vertical="top"/>
    </xf>
    <xf fontId="0" fillId="0" borderId="29" numFmtId="49" xfId="0" applyNumberFormat="1" applyBorder="1" applyAlignment="1">
      <alignment vertical="top"/>
    </xf>
    <xf fontId="0" fillId="41" borderId="23" numFmtId="0" xfId="0" applyFill="1" applyBorder="1" applyAlignment="1">
      <alignment horizontal="left" vertical="center" wrapText="1"/>
    </xf>
    <xf fontId="0" fillId="41" borderId="23" numFmtId="49" xfId="0" applyNumberFormat="1" applyFill="1" applyBorder="1" applyAlignment="1">
      <alignment horizontal="left" vertical="center" wrapText="1"/>
    </xf>
    <xf fontId="0" fillId="0" borderId="42" numFmtId="49" xfId="0" applyNumberFormat="1" applyBorder="1" applyAlignment="1">
      <alignment horizontal="left" vertical="top"/>
    </xf>
    <xf fontId="0" fillId="41" borderId="42" numFmtId="49" xfId="0" applyNumberFormat="1" applyFill="1" applyBorder="1" applyAlignment="1">
      <alignment horizontal="left" vertical="top"/>
    </xf>
    <xf fontId="0" fillId="36" borderId="42" numFmtId="49" xfId="0" applyNumberFormat="1" applyFill="1" applyBorder="1" applyAlignment="1">
      <alignment horizontal="left" vertical="top"/>
      <protection locked="0"/>
    </xf>
    <xf fontId="22" fillId="41" borderId="0" numFmtId="49" xfId="0" applyNumberFormat="1" applyFont="1" applyFill="1" applyAlignment="1">
      <alignment horizontal="center" vertical="center" wrapText="1"/>
    </xf>
    <xf fontId="70" fillId="0" borderId="42" numFmtId="0" xfId="0" applyFont="1" applyBorder="1" applyAlignment="1">
      <alignment horizontal="left" vertical="center"/>
    </xf>
    <xf fontId="0" fillId="41" borderId="42" numFmtId="49" xfId="0" applyNumberFormat="1" applyFill="1" applyBorder="1" applyAlignment="1">
      <alignment horizontal="left" vertical="center" wrapText="1"/>
    </xf>
    <xf fontId="70" fillId="36" borderId="42" numFmtId="0" xfId="0" applyFont="1" applyFill="1" applyBorder="1" applyAlignment="1">
      <alignment horizontal="left" vertical="center"/>
      <protection locked="0"/>
    </xf>
    <xf fontId="70" fillId="39" borderId="42" numFmtId="0" xfId="0" applyFont="1" applyFill="1" applyBorder="1" applyAlignment="1">
      <alignment horizontal="left" vertical="center"/>
      <protection locked="0"/>
    </xf>
    <xf fontId="45" fillId="0" borderId="21" numFmtId="49" xfId="0" applyNumberFormat="1" applyFont="1" applyBorder="1" applyAlignment="1">
      <alignment horizontal="left" vertical="center" wrapText="1"/>
    </xf>
    <xf fontId="45" fillId="0" borderId="21" numFmtId="0" xfId="0" applyFont="1" applyBorder="1" applyAlignment="1">
      <alignment horizontal="left" vertical="center"/>
    </xf>
    <xf fontId="45" fillId="0" borderId="25" numFmtId="0" xfId="0" applyFont="1" applyBorder="1" applyAlignment="1">
      <alignment horizontal="left" vertical="center"/>
    </xf>
    <xf fontId="70" fillId="42" borderId="34" numFmtId="0" xfId="0" applyFont="1" applyFill="1" applyBorder="1" applyAlignment="1">
      <alignment horizontal="left" vertical="center"/>
    </xf>
    <xf fontId="0" fillId="36" borderId="42" numFmtId="49" xfId="0" applyNumberFormat="1" applyFill="1" applyBorder="1" applyAlignment="1">
      <alignment vertical="top"/>
      <protection locked="0"/>
    </xf>
    <xf fontId="22" fillId="0" borderId="42" numFmtId="49" xfId="0" applyNumberFormat="1" applyFont="1" applyBorder="1" applyAlignment="1">
      <alignment horizontal="center" vertical="center"/>
    </xf>
    <xf fontId="22" fillId="0" borderId="42" numFmtId="49" xfId="0" applyNumberFormat="1" applyFont="1" applyBorder="1" applyAlignment="1">
      <alignment vertical="center" wrapText="1"/>
    </xf>
    <xf fontId="22" fillId="0" borderId="29" numFmtId="0" xfId="0" applyFont="1" applyBorder="1" applyAlignment="1">
      <alignment horizontal="center" vertical="center"/>
    </xf>
    <xf fontId="61" fillId="0" borderId="42" numFmtId="49" xfId="0" applyNumberFormat="1" applyFont="1" applyBorder="1" applyAlignment="1">
      <alignment vertical="center" wrapText="1"/>
    </xf>
    <xf fontId="22" fillId="41" borderId="32" numFmtId="0" xfId="0" applyFont="1" applyFill="1" applyBorder="1" applyAlignment="1">
      <alignment horizontal="left" vertical="center" wrapText="1"/>
    </xf>
    <xf fontId="22" fillId="41" borderId="32" numFmtId="49" xfId="0" applyNumberFormat="1" applyFont="1" applyFill="1" applyBorder="1" applyAlignment="1">
      <alignment horizontal="left" vertical="center" wrapText="1"/>
    </xf>
    <xf fontId="22" fillId="0" borderId="42" numFmtId="0" xfId="0" applyFont="1" applyBorder="1" applyAlignment="1">
      <alignment horizontal="left" vertical="center" wrapText="1"/>
    </xf>
    <xf fontId="22" fillId="0" borderId="42" numFmtId="49" xfId="0" applyNumberFormat="1" applyFont="1" applyBorder="1" applyAlignment="1">
      <alignment horizontal="left" vertical="center" wrapText="1"/>
    </xf>
    <xf fontId="22" fillId="41" borderId="42" numFmtId="0" xfId="0" applyFont="1" applyFill="1" applyBorder="1" applyAlignment="1">
      <alignment horizontal="left" vertical="center" wrapText="1"/>
    </xf>
    <xf fontId="70" fillId="0" borderId="30" numFmtId="0" xfId="0" applyFont="1" applyBorder="1" applyAlignment="1">
      <alignment horizontal="left" vertical="center"/>
    </xf>
    <xf fontId="70" fillId="42" borderId="33" numFmtId="0" xfId="0" applyFont="1" applyFill="1" applyBorder="1" applyAlignment="1">
      <alignment horizontal="left" vertical="center"/>
    </xf>
    <xf fontId="70" fillId="42" borderId="26" numFmtId="0" xfId="0" applyFont="1" applyFill="1" applyBorder="1" applyAlignment="1">
      <alignment horizontal="left" vertical="center"/>
    </xf>
    <xf fontId="70" fillId="42" borderId="27" numFmtId="0" xfId="0" applyFont="1" applyFill="1" applyBorder="1" applyAlignment="1">
      <alignment horizontal="left" vertical="center"/>
    </xf>
    <xf fontId="22" fillId="39" borderId="32" numFmtId="49" xfId="0" applyNumberFormat="1" applyFont="1" applyFill="1" applyBorder="1" applyAlignment="1">
      <alignment horizontal="left" vertical="center" wrapText="1"/>
      <protection locked="0"/>
    </xf>
    <xf fontId="61" fillId="0" borderId="42" numFmtId="49" xfId="0" applyNumberFormat="1" applyFont="1" applyBorder="1" applyAlignment="1">
      <alignment horizontal="center" vertical="center" wrapText="1"/>
    </xf>
    <xf fontId="70" fillId="42" borderId="33" numFmtId="0" xfId="0" applyFont="1" applyFill="1" applyBorder="1" applyAlignment="1">
      <alignment vertical="center"/>
    </xf>
    <xf fontId="22" fillId="36" borderId="32" numFmtId="49" xfId="0" applyNumberFormat="1" applyFont="1" applyFill="1" applyBorder="1" applyAlignment="1">
      <alignment horizontal="left" vertical="center" wrapText="1"/>
      <protection locked="0"/>
    </xf>
    <xf fontId="82" fillId="42" borderId="21" numFmtId="49" xfId="0" applyNumberFormat="1" applyFont="1" applyFill="1" applyBorder="1" applyAlignment="1">
      <alignment vertical="top"/>
    </xf>
    <xf fontId="82" fillId="42" borderId="25" numFmtId="49" xfId="0" applyNumberFormat="1" applyFont="1" applyFill="1" applyBorder="1" applyAlignment="1">
      <alignment vertical="top"/>
    </xf>
    <xf fontId="124" fillId="0" borderId="0" numFmtId="49" xfId="0" applyNumberFormat="1" applyFont="1" applyAlignment="1">
      <alignment vertical="top" wrapText="1"/>
    </xf>
    <xf fontId="124" fillId="0" borderId="0" numFmtId="49" xfId="0" applyNumberFormat="1" applyFont="1" applyAlignment="1">
      <alignment vertical="top"/>
    </xf>
    <xf fontId="124" fillId="0" borderId="23" numFmtId="49" xfId="0" applyNumberFormat="1" applyFont="1" applyBorder="1" applyAlignment="1">
      <alignment vertical="top" wrapText="1"/>
    </xf>
    <xf fontId="40" fillId="0" borderId="23" numFmtId="49" xfId="0" applyNumberFormat="1" applyFont="1" applyBorder="1" applyAlignment="1">
      <alignment horizontal="center" vertical="top" wrapText="1"/>
    </xf>
    <xf fontId="40" fillId="51" borderId="23" numFmtId="49" xfId="0" applyNumberFormat="1" applyFont="1" applyFill="1" applyBorder="1" applyAlignment="1">
      <alignment horizontal="center" vertical="top"/>
    </xf>
    <xf fontId="40" fillId="0" borderId="23" numFmtId="49" xfId="0" applyNumberFormat="1" applyFont="1" applyBorder="1" applyAlignment="1">
      <alignment vertical="top" wrapText="1"/>
    </xf>
    <xf fontId="40" fillId="0" borderId="23" numFmtId="0" xfId="0" applyFont="1" applyBorder="1" applyAlignment="1">
      <alignment vertical="top" wrapText="1"/>
    </xf>
    <xf fontId="40" fillId="0" borderId="23" numFmtId="49" xfId="0" applyNumberFormat="1" applyFont="1" applyBorder="1" applyAlignment="1">
      <alignment vertical="top"/>
    </xf>
    <xf fontId="124" fillId="0" borderId="23" numFmtId="49" xfId="0" applyNumberFormat="1" applyFont="1" applyBorder="1" applyAlignment="1">
      <alignment vertical="top"/>
    </xf>
    <xf fontId="124" fillId="0" borderId="23" numFmtId="0" xfId="0" applyFont="1" applyBorder="1" applyAlignment="1">
      <alignment vertical="top" wrapText="1"/>
    </xf>
    <xf fontId="124" fillId="0" borderId="0" numFmtId="49" xfId="0" applyNumberFormat="1" applyFont="1" applyAlignment="1">
      <alignment horizontal="left" vertical="top" wrapText="1"/>
    </xf>
    <xf fontId="124" fillId="51" borderId="0" numFmtId="49" xfId="0" applyNumberFormat="1" applyFont="1" applyFill="1" applyAlignment="1">
      <alignment horizontal="left" vertical="top" wrapText="1"/>
    </xf>
    <xf fontId="124" fillId="0" borderId="0" numFmtId="0" xfId="0" applyFont="1" applyAlignment="1">
      <alignment vertical="top" wrapText="1"/>
    </xf>
    <xf fontId="124" fillId="0" borderId="0" numFmtId="49" xfId="0" applyNumberFormat="1" applyFont="1" applyAlignment="1">
      <alignment horizontal="center" vertical="top" wrapText="1"/>
    </xf>
    <xf fontId="124" fillId="0" borderId="23" numFmtId="49" xfId="0" applyNumberFormat="1" applyFont="1" applyBorder="1" applyAlignment="1">
      <alignment horizontal="center" vertical="top" wrapText="1"/>
    </xf>
    <xf fontId="124" fillId="51" borderId="23" numFmtId="49" xfId="0" applyNumberFormat="1" applyFont="1" applyFill="1" applyBorder="1" applyAlignment="1">
      <alignment horizontal="center" vertical="top" wrapText="1"/>
    </xf>
    <xf fontId="40" fillId="51" borderId="23" numFmtId="49" xfId="0" applyNumberFormat="1" applyFont="1" applyFill="1" applyBorder="1" applyAlignment="1">
      <alignment horizontal="center" vertical="top" wrapText="1"/>
    </xf>
    <xf fontId="124" fillId="0" borderId="23" numFmtId="49" xfId="0" applyNumberFormat="1" applyFont="1" applyBorder="1" applyAlignment="1">
      <alignment horizontal="left" vertical="top" wrapText="1"/>
    </xf>
    <xf fontId="40" fillId="51" borderId="23" numFmtId="0" xfId="0" applyFont="1" applyFill="1" applyBorder="1" applyAlignment="1">
      <alignment horizontal="center" vertical="top" wrapText="1"/>
    </xf>
    <xf fontId="124" fillId="51" borderId="23" numFmtId="0" xfId="0" applyFont="1" applyFill="1" applyBorder="1" applyAlignment="1">
      <alignment horizontal="right" vertical="center" wrapText="1"/>
    </xf>
    <xf fontId="124" fillId="0" borderId="21" numFmtId="49" xfId="0" applyNumberFormat="1" applyFont="1" applyBorder="1" applyAlignment="1">
      <alignment horizontal="center" vertical="top" wrapText="1"/>
    </xf>
    <xf fontId="124" fillId="0" borderId="25" numFmtId="49" xfId="0" applyNumberFormat="1" applyFont="1" applyBorder="1" applyAlignment="1">
      <alignment horizontal="center" vertical="top" wrapText="1"/>
    </xf>
    <xf fontId="124" fillId="0" borderId="20" numFmtId="49" xfId="0" applyNumberFormat="1" applyFont="1" applyBorder="1" applyAlignment="1">
      <alignment horizontal="center" vertical="top" wrapText="1"/>
    </xf>
    <xf fontId="124" fillId="0" borderId="23" numFmtId="0" xfId="0" applyFont="1" applyBorder="1" applyAlignment="1">
      <alignment horizontal="left" vertical="top" wrapText="1"/>
    </xf>
    <xf fontId="124" fillId="51" borderId="23" numFmtId="49" xfId="0" applyNumberFormat="1" applyFont="1" applyFill="1" applyBorder="1" applyAlignment="1">
      <alignment horizontal="left" vertical="top" wrapText="1"/>
    </xf>
    <xf fontId="124" fillId="51" borderId="23" numFmtId="0" xfId="0" applyFont="1" applyFill="1" applyBorder="1" applyAlignment="1">
      <alignment horizontal="center" vertical="center" wrapText="1"/>
    </xf>
    <xf fontId="124" fillId="0" borderId="32" numFmtId="49" xfId="0" applyNumberFormat="1" applyFont="1" applyBorder="1" applyAlignment="1">
      <alignment horizontal="center" vertical="top" wrapText="1"/>
    </xf>
    <xf fontId="124" fillId="0" borderId="42" numFmtId="49" xfId="0" applyNumberFormat="1" applyFont="1" applyBorder="1" applyAlignment="1">
      <alignment horizontal="center" vertical="top" wrapText="1"/>
    </xf>
    <xf fontId="124" fillId="0" borderId="32" numFmtId="0" xfId="0" applyFont="1" applyBorder="1" applyAlignment="1">
      <alignment horizontal="left" vertical="top" wrapText="1"/>
    </xf>
    <xf fontId="124" fillId="0" borderId="33" numFmtId="49" xfId="0" applyNumberFormat="1" applyFont="1" applyBorder="1" applyAlignment="1">
      <alignment horizontal="center" vertical="top" wrapText="1"/>
    </xf>
    <xf fontId="124" fillId="0" borderId="20" numFmtId="0" xfId="0" applyFont="1" applyBorder="1" applyAlignment="1">
      <alignment horizontal="left" vertical="top" wrapText="1"/>
    </xf>
    <xf fontId="124" fillId="0" borderId="30" numFmtId="49" xfId="0" applyNumberFormat="1" applyFont="1" applyBorder="1" applyAlignment="1">
      <alignment horizontal="center" vertical="top" wrapText="1"/>
    </xf>
    <xf fontId="124" fillId="0" borderId="35" numFmtId="49" xfId="0" applyNumberFormat="1" applyFont="1" applyBorder="1" applyAlignment="1">
      <alignment horizontal="center" vertical="top" wrapText="1"/>
    </xf>
    <xf fontId="124" fillId="0" borderId="28" numFmtId="49" xfId="0" applyNumberFormat="1" applyFont="1" applyBorder="1" applyAlignment="1">
      <alignment horizontal="center" vertical="top" wrapText="1"/>
    </xf>
    <xf fontId="124" fillId="0" borderId="32" numFmtId="0" xfId="0" applyFont="1" applyBorder="1" applyAlignment="1">
      <alignment vertical="top" wrapText="1"/>
    </xf>
    <xf fontId="40" fillId="0" borderId="23" numFmtId="49" xfId="0" applyNumberFormat="1" applyFont="1" applyBorder="1" applyAlignment="1">
      <alignment horizontal="left" vertical="top" wrapText="1"/>
    </xf>
    <xf fontId="40" fillId="0" borderId="21" numFmtId="0" xfId="0" applyFont="1" applyBorder="1" applyAlignment="1">
      <alignment horizontal="center" vertical="center" wrapText="1"/>
    </xf>
    <xf fontId="40" fillId="0" borderId="21" numFmtId="0" xfId="0" applyFont="1" applyBorder="1" applyAlignment="1">
      <alignment horizontal="center" vertical="center"/>
    </xf>
    <xf fontId="40" fillId="0" borderId="23" numFmtId="49" xfId="0" applyNumberFormat="1" applyFont="1" applyBorder="1" applyAlignment="1">
      <alignment horizontal="center" vertical="center" wrapText="1"/>
    </xf>
    <xf fontId="40" fillId="0" borderId="23" numFmtId="0" xfId="0" applyFont="1" applyBorder="1" applyAlignment="1">
      <alignment vertical="center" wrapText="1"/>
    </xf>
    <xf fontId="124" fillId="0" borderId="21" numFmtId="49" xfId="0" applyNumberFormat="1" applyFont="1" applyBorder="1" applyAlignment="1">
      <alignment horizontal="left" vertical="top" wrapText="1"/>
    </xf>
    <xf fontId="40" fillId="0" borderId="23" numFmtId="0" xfId="0" applyFont="1" applyBorder="1" applyAlignment="1">
      <alignment horizontal="center" vertical="center" wrapText="1"/>
    </xf>
    <xf fontId="40" fillId="0" borderId="32" numFmtId="0" xfId="0" applyFont="1" applyBorder="1" applyAlignment="1">
      <alignment vertical="center" wrapText="1"/>
    </xf>
    <xf fontId="40" fillId="0" borderId="30" numFmtId="0" xfId="0" applyFont="1" applyBorder="1" applyAlignment="1">
      <alignment vertical="center" wrapText="1"/>
    </xf>
    <xf fontId="124" fillId="0" borderId="35" numFmtId="49" xfId="0" applyNumberFormat="1" applyFont="1" applyBorder="1" applyAlignment="1">
      <alignment horizontal="left" vertical="top" wrapText="1"/>
    </xf>
    <xf fontId="124" fillId="0" borderId="20" numFmtId="49" xfId="0" applyNumberFormat="1" applyFont="1" applyBorder="1" applyAlignment="1">
      <alignment horizontal="left" vertical="top" wrapText="1"/>
    </xf>
    <xf fontId="40" fillId="0" borderId="32" numFmtId="49" xfId="0" applyNumberFormat="1" applyFont="1" applyBorder="1" applyAlignment="1">
      <alignment horizontal="center" vertical="center" wrapText="1"/>
    </xf>
    <xf fontId="40" fillId="0" borderId="30" numFmtId="49" xfId="0" applyNumberFormat="1" applyFont="1" applyBorder="1" applyAlignment="1">
      <alignment horizontal="center" vertical="center" wrapText="1"/>
    </xf>
    <xf fontId="40" fillId="0" borderId="32" numFmtId="0" xfId="0" applyFont="1" applyBorder="1" applyAlignment="1">
      <alignment horizontal="center" vertical="center" wrapText="1"/>
    </xf>
    <xf fontId="124" fillId="0" borderId="42" numFmtId="49" xfId="0" applyNumberFormat="1" applyFont="1" applyBorder="1" applyAlignment="1">
      <alignment horizontal="left" vertical="top" wrapText="1"/>
    </xf>
    <xf fontId="124" fillId="0" borderId="42" numFmtId="0" xfId="0" applyFont="1" applyBorder="1" applyAlignment="1">
      <alignment horizontal="left" vertical="top" wrapText="1"/>
    </xf>
    <xf fontId="36" fillId="0" borderId="26" numFmtId="0" xfId="0" applyFont="1" applyBorder="1" applyAlignment="1">
      <alignment horizontal="left" indent="1" vertical="center" wrapText="1"/>
    </xf>
    <xf fontId="36" fillId="0" borderId="45" numFmtId="0" xfId="0" applyFont="1" applyBorder="1" applyAlignment="1">
      <alignment horizontal="left" indent="1" vertical="center" wrapText="1"/>
    </xf>
    <xf fontId="22" fillId="38" borderId="23" numFmtId="4" xfId="0" applyNumberFormat="1" applyFont="1" applyFill="1" applyBorder="1" applyAlignment="1">
      <alignment horizontal="left" vertical="center" wrapText="1"/>
    </xf>
    <xf fontId="106" fillId="42" borderId="21" numFmtId="49" xfId="0" applyNumberFormat="1" applyFont="1" applyFill="1" applyBorder="1" applyAlignment="1">
      <alignment horizontal="left" vertical="center"/>
    </xf>
    <xf fontId="125" fillId="42" borderId="25" numFmtId="49" xfId="0" applyNumberFormat="1" applyFont="1" applyFill="1" applyBorder="1" applyAlignment="1">
      <alignment horizontal="left" indent="3" vertical="center"/>
    </xf>
    <xf fontId="63" fillId="42" borderId="25" numFmtId="49" xfId="0" applyNumberFormat="1" applyFont="1" applyFill="1" applyBorder="1" applyAlignment="1">
      <alignment horizontal="center" vertical="center" wrapText="1"/>
    </xf>
    <xf fontId="82" fillId="42" borderId="25" numFmtId="49" xfId="0" applyNumberFormat="1" applyFont="1" applyFill="1" applyBorder="1" applyAlignment="1">
      <alignment horizontal="center" vertical="center" wrapText="1"/>
    </xf>
    <xf fontId="82" fillId="42" borderId="20" numFmtId="49" xfId="0" applyNumberFormat="1" applyFont="1" applyFill="1" applyBorder="1" applyAlignment="1">
      <alignment horizontal="center" vertical="center" wrapText="1"/>
    </xf>
    <xf fontId="125" fillId="42" borderId="25" numFmtId="49" xfId="0" applyNumberFormat="1" applyFont="1" applyFill="1" applyBorder="1" applyAlignment="1">
      <alignment horizontal="left" indent="2" vertical="center"/>
    </xf>
    <xf fontId="125" fillId="42" borderId="25" numFmtId="49" xfId="0" applyNumberFormat="1" applyFont="1" applyFill="1" applyBorder="1" applyAlignment="1">
      <alignment horizontal="left" indent="1" vertical="center"/>
    </xf>
    <xf fontId="43" fillId="0" borderId="0" numFmtId="49" xfId="0" applyNumberFormat="1" applyFont="1" applyAlignment="1">
      <alignment horizontal="left" vertical="top"/>
    </xf>
    <xf fontId="82" fillId="42" borderId="21" numFmtId="49" xfId="0" applyNumberFormat="1" applyFont="1" applyFill="1" applyBorder="1" applyAlignment="1">
      <alignment horizontal="left" vertical="top"/>
    </xf>
    <xf fontId="125" fillId="42" borderId="25" numFmtId="49" xfId="0" applyNumberFormat="1" applyFont="1" applyFill="1" applyBorder="1" applyAlignment="1">
      <alignment horizontal="left" vertical="center"/>
    </xf>
    <xf fontId="0" fillId="0" borderId="23" numFmtId="49" xfId="75" applyNumberFormat="1" applyBorder="1" applyAlignment="1">
      <alignment vertical="top"/>
    </xf>
    <xf fontId="0" fillId="0" borderId="21" numFmtId="49" xfId="75" applyNumberFormat="1" applyBorder="1" applyAlignment="1">
      <alignment vertical="top"/>
    </xf>
    <xf fontId="0" fillId="0" borderId="23" numFmtId="49" xfId="75" applyNumberFormat="1" applyBorder="1" applyAlignment="1">
      <alignment horizontal="center" vertical="top"/>
    </xf>
    <xf fontId="0" fillId="0" borderId="21" numFmtId="49" xfId="75" applyNumberFormat="1" applyBorder="1" applyAlignment="1">
      <alignment horizontal="center" vertical="top"/>
    </xf>
    <xf fontId="0" fillId="55" borderId="32" numFmtId="49" xfId="75" applyNumberFormat="1" applyFill="1" applyBorder="1" applyAlignment="1">
      <alignment vertical="top"/>
    </xf>
    <xf fontId="0" fillId="0" borderId="21" numFmtId="49" xfId="0" applyNumberFormat="1" applyBorder="1" applyAlignment="1">
      <alignment horizontal="center" vertical="top"/>
    </xf>
    <xf fontId="0" fillId="56" borderId="23" numFmtId="49" xfId="75" applyNumberFormat="1" applyFill="1" applyBorder="1" applyAlignment="1">
      <alignment vertical="top"/>
    </xf>
    <xf fontId="0" fillId="0" borderId="25" numFmtId="49" xfId="75" applyNumberFormat="1" applyBorder="1" applyAlignment="1">
      <alignment horizontal="center" vertical="top"/>
    </xf>
    <xf fontId="0" fillId="3" borderId="23" numFmtId="49" xfId="75" applyNumberFormat="1" applyFill="1" applyBorder="1" applyAlignment="1">
      <alignment vertical="top"/>
    </xf>
    <xf fontId="0" fillId="0" borderId="25" numFmtId="49" xfId="0" applyNumberFormat="1" applyBorder="1" applyAlignment="1">
      <alignment horizontal="center" vertical="top"/>
    </xf>
    <xf fontId="0" fillId="57" borderId="23" numFmtId="49" xfId="75" applyNumberFormat="1" applyFill="1" applyBorder="1" applyAlignment="1">
      <alignment vertical="top"/>
    </xf>
    <xf fontId="0" fillId="16" borderId="32" numFmtId="49" xfId="75" applyNumberFormat="1" applyFill="1" applyBorder="1" applyAlignment="1">
      <alignment vertical="top"/>
    </xf>
    <xf fontId="0" fillId="5" borderId="21" numFmtId="49" xfId="75" applyNumberFormat="1" applyFill="1" applyBorder="1" applyAlignment="1">
      <alignment vertical="top"/>
    </xf>
    <xf fontId="0" fillId="5" borderId="23" numFmtId="49" xfId="75" applyNumberFormat="1" applyFill="1" applyBorder="1" applyAlignment="1">
      <alignment vertical="top"/>
    </xf>
    <xf fontId="0" fillId="16" borderId="23" numFmtId="49" xfId="75" applyNumberFormat="1" applyFill="1" applyBorder="1" applyAlignment="1">
      <alignment vertical="top"/>
    </xf>
    <xf fontId="0" fillId="16" borderId="32" numFmtId="49" xfId="0" applyNumberFormat="1" applyFill="1" applyBorder="1" applyAlignment="1">
      <alignment vertical="top"/>
    </xf>
    <xf fontId="0" fillId="40" borderId="0" numFmtId="49" xfId="0" applyNumberFormat="1" applyFill="1" applyAlignment="1">
      <alignment vertical="top"/>
    </xf>
    <xf fontId="1" fillId="0" borderId="0" numFmtId="0" xfId="0" applyFont="1"/>
    <xf fontId="0" fillId="0" borderId="0" numFmtId="0" xfId="0"/>
    <xf fontId="29" fillId="0" borderId="0" numFmtId="0" xfId="77" applyFont="1"/>
    <xf fontId="22" fillId="38" borderId="60" numFmtId="49" xfId="0" applyNumberFormat="1" applyFont="1" applyFill="1" applyBorder="1" applyAlignment="1">
      <alignment horizontal="center" vertical="top"/>
    </xf>
    <xf fontId="126" fillId="0" borderId="24" numFmtId="49" xfId="0" applyNumberFormat="1" applyFont="1" applyBorder="1" applyAlignment="1">
      <alignment vertical="top" wrapText="1"/>
    </xf>
    <xf fontId="0" fillId="0" borderId="24" numFmtId="0" xfId="0" applyBorder="1" applyAlignment="1">
      <alignment vertical="top" wrapText="1"/>
    </xf>
    <xf fontId="36" fillId="0" borderId="74" numFmtId="0" xfId="0" applyFont="1" applyBorder="1" applyAlignment="1">
      <alignment vertical="top" wrapText="1"/>
    </xf>
    <xf fontId="0" fillId="0" borderId="23" numFmtId="0" xfId="0" applyBorder="1" applyAlignment="1">
      <alignment vertical="top" wrapText="1"/>
    </xf>
    <xf fontId="0" fillId="0" borderId="32" numFmtId="49" xfId="0" applyNumberFormat="1" applyBorder="1" applyAlignment="1">
      <alignment vertical="top"/>
    </xf>
    <xf fontId="51" fillId="0" borderId="24" numFmtId="0" xfId="0" applyFont="1" applyBorder="1" applyAlignment="1">
      <alignment vertical="center" wrapText="1"/>
    </xf>
    <xf fontId="36" fillId="0" borderId="0" numFmtId="0" xfId="0" applyFont="1" applyAlignment="1">
      <alignment vertical="top" wrapText="1"/>
    </xf>
    <xf fontId="22" fillId="0" borderId="24" numFmtId="0" xfId="0" applyFont="1" applyBorder="1" applyAlignment="1">
      <alignment vertical="center" wrapText="1"/>
    </xf>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50"/>
    <cellStyle name="_Model_RAB Мой_PR.PROG.WARM.NOTCOMBI.2012.2.16_v1.4(04.04.11) " xfId="51"/>
    <cellStyle name="_Model_RAB Мой_Книга2_PR.PROG.WARM.NOTCOMBI.2012.2.16_v1.4(04.04.11) " xfId="52"/>
    <cellStyle name="_Model_RAB_MRSK_svod_PR.PROG.WARM.NOTCOMBI.2012.2.16_v1.4(04.04.11) " xfId="53"/>
    <cellStyle name="_Model_RAB_MRSK_svod_Книга2_PR.PROG.WARM.NOTCOMBI.2012.2.16_v1.4(04.04.11) " xfId="54"/>
    <cellStyle name="_МОДЕЛЬ_1 (2)_PR.PROG.WARM.NOTCOMBI.2012.2.16_v1.4(04.04.11) " xfId="55"/>
    <cellStyle name="_МОДЕЛЬ_1 (2)_Книга2_PR.PROG.WARM.NOTCOMBI.2012.2.16_v1.4(04.04.11) " xfId="56"/>
    <cellStyle name="_пр 5 тариф RAB_PR.PROG.WARM.NOTCOMBI.2012.2.16_v1.4(04.04.11) " xfId="57"/>
    <cellStyle name="_пр 5 тариф RAB_Книга2_PR.PROG.WARM.NOTCOMBI.2012.2.16_v1.4(04.04.11) " xfId="58"/>
    <cellStyle name="_Расчет RAB_22072008_PR.PROG.WARM.NOTCOMBI.2012.2.16_v1.4(04.04.11) " xfId="59"/>
    <cellStyle name="_Расчет RAB_22072008_Книга2_PR.PROG.WARM.NOTCOMBI.2012.2.16_v1.4(04.04.11) " xfId="60"/>
    <cellStyle name="_Расчет RAB_Лен и МОЭСК_с 2010 года_14.04.2009_со сглаж_version 3.0_без ФСК_PR.PROG.WARM.NOTCOMBI.2012.2.16_v1.4(04.04.11) " xfId="61"/>
    <cellStyle name="_Расчет RAB_Лен и МОЭСК_с 2010 года_14.04.2009_со сглаж_version 3.0_без ФСК_Книга2_PR.PROG.WARM.NOTCOMBI.2012.2.16_v1.4(04.04.11) " xfId="62"/>
    <cellStyle name="currency1" xfId="63"/>
    <cellStyle name="Currency2" xfId="64"/>
    <cellStyle name="currency3" xfId="65"/>
    <cellStyle name="currency4" xfId="66"/>
    <cellStyle name="Followed Hyperlink" xfId="67"/>
    <cellStyle name="Hyperlink" xfId="68" builtinId="8"/>
    <cellStyle name="Normal1" xfId="69"/>
    <cellStyle name="Normal2" xfId="70"/>
    <cellStyle name="Percent1" xfId="71"/>
    <cellStyle name="Гиперссылка" xfId="72"/>
    <cellStyle name="Обычный 10" xfId="73"/>
    <cellStyle name="Обычный 16" xfId="74"/>
    <cellStyle name="Обычный 2" xfId="75"/>
    <cellStyle name="Обычный_BALANCE.WARM.2007YEAR(FACT)" xfId="76"/>
    <cellStyle name="Обычный_PRIL1.ELECTR" xfId="77"/>
    <cellStyle name="Открывавшаяся гиперссылка" xfId="7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93" Type="http://schemas.openxmlformats.org/officeDocument/2006/relationships/styles" Target="styles.xml"/><Relationship  Id="rId89" Type="http://schemas.openxmlformats.org/officeDocument/2006/relationships/worksheet" Target="worksheets/sheet88.xml"/><Relationship  Id="rId88" Type="http://schemas.openxmlformats.org/officeDocument/2006/relationships/worksheet" Target="worksheets/sheet87.xml"/><Relationship  Id="rId87" Type="http://schemas.openxmlformats.org/officeDocument/2006/relationships/worksheet" Target="worksheets/sheet86.xml"/><Relationship  Id="rId84" Type="http://schemas.openxmlformats.org/officeDocument/2006/relationships/worksheet" Target="worksheets/sheet83.xml"/><Relationship  Id="rId82" Type="http://schemas.openxmlformats.org/officeDocument/2006/relationships/worksheet" Target="worksheets/sheet81.xml"/><Relationship  Id="rId81" Type="http://schemas.openxmlformats.org/officeDocument/2006/relationships/worksheet" Target="worksheets/sheet80.xml"/><Relationship  Id="rId75" Type="http://schemas.openxmlformats.org/officeDocument/2006/relationships/worksheet" Target="worksheets/sheet74.xml"/><Relationship  Id="rId71" Type="http://schemas.openxmlformats.org/officeDocument/2006/relationships/worksheet" Target="worksheets/sheet70.xml"/><Relationship  Id="rId69" Type="http://schemas.openxmlformats.org/officeDocument/2006/relationships/worksheet" Target="worksheets/sheet68.xml"/><Relationship  Id="rId68" Type="http://schemas.openxmlformats.org/officeDocument/2006/relationships/worksheet" Target="worksheets/sheet67.xml"/><Relationship  Id="rId67" Type="http://schemas.openxmlformats.org/officeDocument/2006/relationships/worksheet" Target="worksheets/sheet66.xml"/><Relationship  Id="rId85" Type="http://schemas.openxmlformats.org/officeDocument/2006/relationships/worksheet" Target="worksheets/sheet84.xml"/><Relationship  Id="rId66" Type="http://schemas.openxmlformats.org/officeDocument/2006/relationships/worksheet" Target="worksheets/sheet65.xml"/><Relationship  Id="rId65" Type="http://schemas.openxmlformats.org/officeDocument/2006/relationships/worksheet" Target="worksheets/sheet64.xml"/><Relationship  Id="rId60" Type="http://schemas.openxmlformats.org/officeDocument/2006/relationships/worksheet" Target="worksheets/sheet59.xml"/><Relationship  Id="rId83" Type="http://schemas.openxmlformats.org/officeDocument/2006/relationships/worksheet" Target="worksheets/sheet82.xml"/><Relationship  Id="rId59" Type="http://schemas.openxmlformats.org/officeDocument/2006/relationships/worksheet" Target="worksheets/sheet58.xml"/><Relationship  Id="rId63" Type="http://schemas.openxmlformats.org/officeDocument/2006/relationships/worksheet" Target="worksheets/sheet62.xml"/><Relationship  Id="rId57" Type="http://schemas.openxmlformats.org/officeDocument/2006/relationships/worksheet" Target="worksheets/sheet56.xml"/><Relationship  Id="rId56" Type="http://schemas.openxmlformats.org/officeDocument/2006/relationships/worksheet" Target="worksheets/sheet55.xml"/><Relationship  Id="rId91" Type="http://schemas.openxmlformats.org/officeDocument/2006/relationships/theme" Target="theme/theme1.xml"/><Relationship  Id="rId51" Type="http://schemas.openxmlformats.org/officeDocument/2006/relationships/worksheet" Target="worksheets/sheet50.xml"/><Relationship  Id="rId48" Type="http://schemas.openxmlformats.org/officeDocument/2006/relationships/worksheet" Target="worksheets/sheet47.xml"/><Relationship  Id="rId55" Type="http://schemas.openxmlformats.org/officeDocument/2006/relationships/worksheet" Target="worksheets/sheet54.xml"/><Relationship  Id="rId78" Type="http://schemas.openxmlformats.org/officeDocument/2006/relationships/worksheet" Target="worksheets/sheet77.xml"/><Relationship  Id="rId47" Type="http://schemas.openxmlformats.org/officeDocument/2006/relationships/worksheet" Target="worksheets/sheet46.xml"/><Relationship  Id="rId45" Type="http://schemas.openxmlformats.org/officeDocument/2006/relationships/worksheet" Target="worksheets/sheet44.xml"/><Relationship  Id="rId64" Type="http://schemas.openxmlformats.org/officeDocument/2006/relationships/worksheet" Target="worksheets/sheet63.xml"/><Relationship  Id="rId44" Type="http://schemas.openxmlformats.org/officeDocument/2006/relationships/worksheet" Target="worksheets/sheet43.xml"/><Relationship  Id="rId74" Type="http://schemas.openxmlformats.org/officeDocument/2006/relationships/worksheet" Target="worksheets/sheet73.xml"/><Relationship  Id="rId70" Type="http://schemas.openxmlformats.org/officeDocument/2006/relationships/worksheet" Target="worksheets/sheet69.xml"/><Relationship  Id="rId62" Type="http://schemas.openxmlformats.org/officeDocument/2006/relationships/worksheet" Target="worksheets/sheet61.xml"/><Relationship  Id="rId43" Type="http://schemas.openxmlformats.org/officeDocument/2006/relationships/worksheet" Target="worksheets/sheet42.xml"/><Relationship  Id="rId49" Type="http://schemas.openxmlformats.org/officeDocument/2006/relationships/worksheet" Target="worksheets/sheet48.xml"/><Relationship  Id="rId42" Type="http://schemas.openxmlformats.org/officeDocument/2006/relationships/worksheet" Target="worksheets/sheet41.xml"/><Relationship  Id="rId90" Type="http://schemas.openxmlformats.org/officeDocument/2006/relationships/worksheet" Target="worksheets/sheet89.xml"/><Relationship  Id="rId40" Type="http://schemas.openxmlformats.org/officeDocument/2006/relationships/worksheet" Target="worksheets/sheet39.xml"/><Relationship  Id="rId79" Type="http://schemas.openxmlformats.org/officeDocument/2006/relationships/worksheet" Target="worksheets/sheet78.xml"/><Relationship  Id="rId39" Type="http://schemas.openxmlformats.org/officeDocument/2006/relationships/worksheet" Target="worksheets/sheet38.xml"/><Relationship  Id="rId38" Type="http://schemas.openxmlformats.org/officeDocument/2006/relationships/worksheet" Target="worksheets/sheet37.xml"/><Relationship  Id="rId54" Type="http://schemas.openxmlformats.org/officeDocument/2006/relationships/worksheet" Target="worksheets/sheet53.xml"/><Relationship  Id="rId41" Type="http://schemas.openxmlformats.org/officeDocument/2006/relationships/worksheet" Target="worksheets/sheet40.xml"/><Relationship  Id="rId36" Type="http://schemas.openxmlformats.org/officeDocument/2006/relationships/worksheet" Target="worksheets/sheet35.xml"/><Relationship  Id="rId80" Type="http://schemas.openxmlformats.org/officeDocument/2006/relationships/worksheet" Target="worksheets/sheet79.xml"/><Relationship  Id="rId35" Type="http://schemas.openxmlformats.org/officeDocument/2006/relationships/worksheet" Target="worksheets/sheet34.xml"/><Relationship  Id="rId34" Type="http://schemas.openxmlformats.org/officeDocument/2006/relationships/worksheet" Target="worksheets/sheet33.xml"/><Relationship  Id="rId33" Type="http://schemas.openxmlformats.org/officeDocument/2006/relationships/worksheet" Target="worksheets/sheet32.xml"/><Relationship  Id="rId58" Type="http://schemas.openxmlformats.org/officeDocument/2006/relationships/worksheet" Target="worksheets/sheet57.xml"/><Relationship  Id="rId29" Type="http://schemas.openxmlformats.org/officeDocument/2006/relationships/worksheet" Target="worksheets/sheet28.xml"/><Relationship  Id="rId28" Type="http://schemas.openxmlformats.org/officeDocument/2006/relationships/worksheet" Target="worksheets/sheet27.xml"/><Relationship  Id="rId27" Type="http://schemas.openxmlformats.org/officeDocument/2006/relationships/worksheet" Target="worksheets/sheet26.xml"/><Relationship  Id="rId23" Type="http://schemas.openxmlformats.org/officeDocument/2006/relationships/worksheet" Target="worksheets/sheet22.xml"/><Relationship  Id="rId52" Type="http://schemas.openxmlformats.org/officeDocument/2006/relationships/worksheet" Target="worksheets/sheet51.xml"/><Relationship  Id="rId61" Type="http://schemas.openxmlformats.org/officeDocument/2006/relationships/worksheet" Target="worksheets/sheet60.xml"/><Relationship  Id="rId76" Type="http://schemas.openxmlformats.org/officeDocument/2006/relationships/worksheet" Target="worksheets/sheet75.xml"/><Relationship  Id="rId22" Type="http://schemas.openxmlformats.org/officeDocument/2006/relationships/worksheet" Target="worksheets/sheet21.xml"/><Relationship  Id="rId21" Type="http://schemas.openxmlformats.org/officeDocument/2006/relationships/worksheet" Target="worksheets/sheet20.xml"/><Relationship  Id="rId25" Type="http://schemas.openxmlformats.org/officeDocument/2006/relationships/worksheet" Target="worksheets/sheet24.xml"/><Relationship  Id="rId13" Type="http://schemas.openxmlformats.org/officeDocument/2006/relationships/worksheet" Target="worksheets/sheet12.xml"/><Relationship  Id="rId50" Type="http://schemas.openxmlformats.org/officeDocument/2006/relationships/worksheet" Target="worksheets/sheet49.xml"/><Relationship  Id="rId24" Type="http://schemas.openxmlformats.org/officeDocument/2006/relationships/worksheet" Target="worksheets/sheet23.xml"/><Relationship  Id="rId11" Type="http://schemas.openxmlformats.org/officeDocument/2006/relationships/worksheet" Target="worksheets/sheet10.xml"/><Relationship  Id="rId17" Type="http://schemas.openxmlformats.org/officeDocument/2006/relationships/worksheet" Target="worksheets/sheet16.xml"/><Relationship  Id="rId10" Type="http://schemas.openxmlformats.org/officeDocument/2006/relationships/worksheet" Target="worksheets/sheet9.xml"/><Relationship  Id="rId18" Type="http://schemas.openxmlformats.org/officeDocument/2006/relationships/worksheet" Target="worksheets/sheet17.xml"/><Relationship  Id="rId26" Type="http://schemas.openxmlformats.org/officeDocument/2006/relationships/worksheet" Target="worksheets/sheet25.xml"/><Relationship  Id="rId86" Type="http://schemas.openxmlformats.org/officeDocument/2006/relationships/worksheet" Target="worksheets/sheet85.xml"/><Relationship  Id="rId53" Type="http://schemas.openxmlformats.org/officeDocument/2006/relationships/worksheet" Target="worksheets/sheet52.xml"/><Relationship  Id="rId15" Type="http://schemas.openxmlformats.org/officeDocument/2006/relationships/worksheet" Target="worksheets/sheet14.xml"/><Relationship  Id="rId9" Type="http://schemas.openxmlformats.org/officeDocument/2006/relationships/worksheet" Target="worksheets/sheet8.xml"/><Relationship  Id="rId20" Type="http://schemas.openxmlformats.org/officeDocument/2006/relationships/worksheet" Target="worksheets/sheet19.xml"/><Relationship  Id="rId8" Type="http://schemas.openxmlformats.org/officeDocument/2006/relationships/worksheet" Target="worksheets/sheet7.xml"/><Relationship  Id="rId31" Type="http://schemas.openxmlformats.org/officeDocument/2006/relationships/worksheet" Target="worksheets/sheet30.xml"/><Relationship  Id="rId19" Type="http://schemas.openxmlformats.org/officeDocument/2006/relationships/worksheet" Target="worksheets/sheet18.xml"/><Relationship  Id="rId37" Type="http://schemas.openxmlformats.org/officeDocument/2006/relationships/worksheet" Target="worksheets/sheet36.xml"/><Relationship  Id="rId46" Type="http://schemas.openxmlformats.org/officeDocument/2006/relationships/worksheet" Target="worksheets/sheet45.xml"/><Relationship  Id="rId7" Type="http://schemas.openxmlformats.org/officeDocument/2006/relationships/worksheet" Target="worksheets/sheet6.xml"/><Relationship  Id="rId73" Type="http://schemas.openxmlformats.org/officeDocument/2006/relationships/worksheet" Target="worksheets/sheet72.xml"/><Relationship  Id="rId14" Type="http://schemas.openxmlformats.org/officeDocument/2006/relationships/worksheet" Target="worksheets/sheet13.xml"/><Relationship  Id="rId77" Type="http://schemas.openxmlformats.org/officeDocument/2006/relationships/worksheet" Target="worksheets/sheet76.xml"/><Relationship  Id="rId6" Type="http://schemas.openxmlformats.org/officeDocument/2006/relationships/worksheet" Target="worksheets/sheet5.xml"/><Relationship  Id="rId5" Type="http://schemas.openxmlformats.org/officeDocument/2006/relationships/worksheet" Target="worksheets/sheet4.xml"/><Relationship  Id="rId16" Type="http://schemas.openxmlformats.org/officeDocument/2006/relationships/worksheet" Target="worksheets/sheet15.xml"/><Relationship  Id="rId4" Type="http://schemas.openxmlformats.org/officeDocument/2006/relationships/worksheet" Target="worksheets/sheet3.xml"/><Relationship  Id="rId12" Type="http://schemas.openxmlformats.org/officeDocument/2006/relationships/worksheet" Target="worksheets/sheet11.xml"/><Relationship  Id="rId72" Type="http://schemas.openxmlformats.org/officeDocument/2006/relationships/worksheet" Target="worksheets/sheet71.xml"/><Relationship  Id="rId32" Type="http://schemas.openxmlformats.org/officeDocument/2006/relationships/worksheet" Target="worksheets/sheet31.xml"/><Relationship  Id="rId30" Type="http://schemas.openxmlformats.org/officeDocument/2006/relationships/worksheet" Target="worksheets/sheet29.xml"/><Relationship  Id="rId3" Type="http://schemas.openxmlformats.org/officeDocument/2006/relationships/worksheet" Target="worksheets/sheet2.xml"/><Relationship  Id="rId2" Type="http://schemas.openxmlformats.org/officeDocument/2006/relationships/worksheet" Target="worksheets/sheet1.xml"/><Relationship  Id="rId92" Type="http://schemas.openxmlformats.org/officeDocument/2006/relationships/sharedStrings" Target="sharedStrings.xml"/><Relationship  Id="rId1"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Author" id="{33A796D6-319D-FAA6-F890-E85F658A410B}"/>
</personList>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Arial"/>
        <a:cs typeface="Arial"/>
      </a:majorFont>
      <a:minorFont>
        <a:latin typeface="Calibri"/>
        <a:ea typeface="Arial"/>
        <a:cs typeface="Arial"/>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threadedComments/threadedComment1.xml><?xml version="1.0" encoding="utf-8"?>
<ThreadedComments xmlns="http://schemas.microsoft.com/office/spreadsheetml/2018/threadedcomments" xmlns:x="http://schemas.openxmlformats.org/spreadsheetml/2006/main">
  <threadedComment ref="E37" personId="{33A796D6-319D-FAA6-F890-E85F658A410B}" id="{00F800E8-0078-4F92-AE81-00D5004200C4}" done="0">
    <text xml:space="preserve">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
</text>
  </threadedComment>
</ThreadedComments>
</file>

<file path=xl/threadedComments/threadedComment2.xml><?xml version="1.0" encoding="utf-8"?>
<ThreadedComments xmlns="http://schemas.microsoft.com/office/spreadsheetml/2018/threadedcomments" xmlns:x="http://schemas.openxmlformats.org/spreadsheetml/2006/main">
  <threadedComment ref="AZ1" personId="{33A796D6-319D-FAA6-F890-E85F658A410B}" id="{0047004F-00BF-40C7-93FA-0079009C008E}" done="0">
    <text xml:space="preserve">Тип организации
</text>
  </threadedComment>
  <threadedComment ref="L6" personId="{33A796D6-319D-FAA6-F890-E85F658A410B}" id="{00CA001B-00CC-4DBA-BA5A-001000CD0044}" done="0">
    <text xml:space="preserve">тут будет больше 0, если выбран хотя бы один метод, отличный от экономически обоснованных
</text>
  </threadedComment>
</ThreadedComments>
</file>

<file path=xl/threadedComments/threadedComment3.xml><?xml version="1.0" encoding="utf-8"?>
<ThreadedComments xmlns="http://schemas.microsoft.com/office/spreadsheetml/2018/threadedcomments" xmlns:x="http://schemas.openxmlformats.org/spreadsheetml/2006/main">
  <threadedComment ref="P2" personId="{33A796D6-319D-FAA6-F890-E85F658A410B}" id="{0023005C-006B-435F-8C4E-009200A70052}" done="0">
    <text xml:space="preserve">сюда же для некоторых формул может входить:
- VOTV
- HOTVSNA
</text>
  </threadedComment>
  <threadedComment ref="U2" personId="{33A796D6-319D-FAA6-F890-E85F658A410B}" id="{00390039-006B-4CAA-9D68-0083003200AE}" done="0">
    <text xml:space="preserve">сюда же для некоторых формул может входить:
- VOTV
- HOTVSNA
</text>
  </threadedComment>
</ThreadedComments>
</file>

<file path=xl/worksheets/_rels/sheet2.xml.rels><?xml version="1.0" encoding="UTF-8" standalone="yes"?><Relationships xmlns="http://schemas.openxmlformats.org/package/2006/relationships"><Relationship  Id="rId4" Type="http://schemas.openxmlformats.org/officeDocument/2006/relationships/vmlDrawing" Target="../drawings/vmlDrawing1.vml"/><Relationship  Id="rId3" Type="http://schemas.openxmlformats.org/officeDocument/2006/relationships/comments" Target="../comments1.xml"/><Relationship  Id="rId2" Type="http://schemas.microsoft.com/office/2017/10/relationships/threadedComment" Target="../threadedComments/threadedComment1.xml"/><Relationship  Id="rId1" Type="http://schemas.openxmlformats.org/officeDocument/2006/relationships/hyperlink" Target="mailto:Katrichenko-TS@dgk.ru" TargetMode="External"/></Relationships>
</file>

<file path=xl/worksheets/_rels/sheet49.xml.rels><?xml version="1.0" encoding="UTF-8" standalone="yes"?><Relationships xmlns="http://schemas.openxmlformats.org/package/2006/relationships"><Relationship  Id="rId1" Type="http://schemas.openxmlformats.org/officeDocument/2006/relationships/hyperlink" Target="https://portal.eias.ru/Portal/DownloadPage.aspx?type=12&amp;guid=026c6f1b-2ad6-4985-a197-b2a3496ef3d1" TargetMode="External"/></Relationships>
</file>

<file path=xl/worksheets/_rels/sheet51.xml.rels><?xml version="1.0" encoding="UTF-8" standalone="yes"?><Relationships xmlns="http://schemas.openxmlformats.org/package/2006/relationships"><Relationship  Id="rId3" Type="http://schemas.openxmlformats.org/officeDocument/2006/relationships/vmlDrawing" Target="../drawings/vmlDrawing2.vml"/><Relationship  Id="rId2" Type="http://schemas.openxmlformats.org/officeDocument/2006/relationships/comments" Target="../comments2.xml"/><Relationship  Id="rId1" Type="http://schemas.microsoft.com/office/2017/10/relationships/threadedComment" Target="../threadedComments/threadedComment2.xml"/></Relationships>
</file>

<file path=xl/worksheets/_rels/sheet63.xml.rels><?xml version="1.0" encoding="UTF-8" standalone="yes"?><Relationships xmlns="http://schemas.openxmlformats.org/package/2006/relationships"><Relationship  Id="rId3" Type="http://schemas.openxmlformats.org/officeDocument/2006/relationships/vmlDrawing" Target="../drawings/vmlDrawing3.vml"/><Relationship  Id="rId2" Type="http://schemas.openxmlformats.org/officeDocument/2006/relationships/comments" Target="../comments3.xml"/><Relationship  Id="rId1" Type="http://schemas.microsoft.com/office/2017/10/relationships/threadedComment" Target="../threadedComments/threadedComment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showRowColHeaders="0" topLeftCell="A1" zoomScale="100" workbookViewId="0">
      <selection activeCell="A1" activeCellId="0" sqref="A1"/>
    </sheetView>
  </sheetViews>
  <sheetFormatPr defaultColWidth="11.00390625" defaultRowHeight="12.75" customHeight="1"/>
  <cols>
    <col customWidth="1" min="1" max="1" style="1" width="5.421875"/>
    <col customWidth="1" min="2" max="2" style="1" width="9.140625"/>
    <col customWidth="1" min="3" max="3" style="1" width="16.421875"/>
    <col customWidth="1" min="4" max="25" style="1" width="6.28125"/>
    <col min="26" max="28" style="1" width="11.00390625"/>
  </cols>
  <sheetData>
    <row r="1" ht="15.75" customHeight="1">
      <c r="A1" s="2"/>
      <c r="B1" s="3"/>
      <c r="C1" s="3"/>
      <c r="D1" s="3"/>
      <c r="E1" s="3"/>
      <c r="F1" s="3"/>
      <c r="G1" s="3"/>
      <c r="H1" s="3"/>
      <c r="I1" s="3"/>
      <c r="J1" s="3"/>
      <c r="K1" s="3"/>
      <c r="L1" s="3"/>
      <c r="M1" s="3"/>
      <c r="N1" s="3"/>
      <c r="O1" s="3"/>
      <c r="P1" s="3"/>
      <c r="Q1" s="3"/>
      <c r="R1" s="3"/>
      <c r="S1" s="3"/>
      <c r="T1" s="3"/>
      <c r="U1" s="3"/>
      <c r="V1" s="3"/>
      <c r="W1" s="3"/>
      <c r="X1" s="3"/>
      <c r="Y1" s="4"/>
      <c r="Z1" s="3"/>
      <c r="AA1" s="5" t="s">
        <v>0</v>
      </c>
      <c r="AB1" s="3"/>
    </row>
    <row r="2" ht="17.25" customHeight="1">
      <c r="A2" s="3"/>
      <c r="B2" s="6" t="s">
        <v>1</v>
      </c>
      <c r="C2" s="6"/>
      <c r="D2" s="6"/>
      <c r="E2" s="6"/>
      <c r="F2" s="6"/>
      <c r="G2" s="6"/>
      <c r="H2" s="6"/>
      <c r="I2" s="6"/>
      <c r="J2" s="6"/>
      <c r="K2" s="6"/>
      <c r="L2" s="6"/>
      <c r="M2" s="6"/>
      <c r="N2" s="6"/>
      <c r="O2" s="6"/>
      <c r="P2" s="6"/>
      <c r="Q2" s="7"/>
      <c r="R2" s="7"/>
      <c r="S2" s="7"/>
      <c r="T2" s="7"/>
      <c r="U2" s="7"/>
      <c r="V2" s="8"/>
      <c r="W2" s="7"/>
      <c r="X2" s="7"/>
      <c r="Y2" s="4"/>
      <c r="Z2" s="3"/>
      <c r="AA2" s="5"/>
      <c r="AB2" s="3"/>
    </row>
    <row r="3" ht="15.75" customHeight="1">
      <c r="A3" s="3"/>
      <c r="B3" s="9" t="s">
        <v>2</v>
      </c>
      <c r="C3" s="9"/>
      <c r="D3" s="9"/>
      <c r="E3" s="9"/>
      <c r="F3" s="9"/>
      <c r="G3" s="9"/>
      <c r="H3" s="9"/>
      <c r="I3" s="9"/>
      <c r="J3" s="9"/>
      <c r="K3" s="9"/>
      <c r="L3" s="9"/>
      <c r="M3" s="9"/>
      <c r="N3" s="9"/>
      <c r="O3" s="9"/>
      <c r="P3" s="9"/>
      <c r="Q3" s="8"/>
      <c r="R3" s="8"/>
      <c r="S3" s="7"/>
      <c r="T3" s="7"/>
      <c r="U3" s="7"/>
      <c r="V3" s="8"/>
      <c r="W3" s="8"/>
      <c r="X3" s="8"/>
      <c r="Y3" s="8"/>
      <c r="Z3" s="3"/>
      <c r="AA3" s="5"/>
      <c r="AB3" s="3"/>
    </row>
    <row r="4" ht="17.25" customHeight="1">
      <c r="A4" s="3"/>
      <c r="B4" s="10"/>
      <c r="C4" s="3"/>
      <c r="D4" s="8"/>
      <c r="E4" s="8"/>
      <c r="F4" s="8"/>
      <c r="G4" s="8"/>
      <c r="H4" s="8"/>
      <c r="I4" s="8"/>
      <c r="J4" s="8"/>
      <c r="K4" s="8"/>
      <c r="L4" s="8"/>
      <c r="M4" s="8"/>
      <c r="N4" s="8"/>
      <c r="O4" s="8"/>
      <c r="P4" s="8"/>
      <c r="Q4" s="8"/>
      <c r="R4" s="8"/>
      <c r="S4" s="8"/>
      <c r="T4" s="8"/>
      <c r="U4" s="8"/>
      <c r="V4" s="8"/>
      <c r="W4" s="8"/>
      <c r="X4" s="8"/>
      <c r="Y4" s="8"/>
      <c r="Z4" s="3"/>
      <c r="AA4" s="5"/>
      <c r="AB4" s="3"/>
    </row>
    <row r="5" ht="22.5" customHeight="1">
      <c r="A5" s="11"/>
      <c r="B5" s="12" t="str">
        <f>IF(TEMPLATE_SPHERE="","Информация, подлежащая раскрытию регулируемыми организациями",Титульный!E5)</f>
        <v xml:space="preserve">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13"/>
      <c r="D5" s="13"/>
      <c r="E5" s="13"/>
      <c r="F5" s="13"/>
      <c r="G5" s="13"/>
      <c r="H5" s="13"/>
      <c r="I5" s="13"/>
      <c r="J5" s="13"/>
      <c r="K5" s="13"/>
      <c r="L5" s="13"/>
      <c r="M5" s="13"/>
      <c r="N5" s="13"/>
      <c r="O5" s="13"/>
      <c r="P5" s="13"/>
      <c r="Q5" s="13"/>
      <c r="R5" s="13"/>
      <c r="S5" s="13"/>
      <c r="T5" s="13"/>
      <c r="U5" s="13"/>
      <c r="V5" s="13"/>
      <c r="W5" s="13"/>
      <c r="X5" s="13"/>
      <c r="Y5" s="14"/>
      <c r="Z5" s="11"/>
      <c r="AA5" s="5"/>
      <c r="AB5" s="11"/>
    </row>
    <row r="6" ht="15" customHeight="1">
      <c r="A6" s="15"/>
      <c r="B6" s="16" t="s">
        <v>3</v>
      </c>
      <c r="C6" s="17"/>
      <c r="D6" s="18"/>
      <c r="E6" s="18"/>
      <c r="F6" s="18"/>
      <c r="G6" s="18"/>
      <c r="H6" s="18"/>
      <c r="I6" s="18"/>
      <c r="J6" s="18"/>
      <c r="K6" s="18"/>
      <c r="L6" s="18"/>
      <c r="M6" s="18"/>
      <c r="N6" s="18"/>
      <c r="O6" s="18"/>
      <c r="P6" s="18"/>
      <c r="Q6" s="18"/>
      <c r="R6" s="18"/>
      <c r="S6" s="18"/>
      <c r="T6" s="18"/>
      <c r="U6" s="18"/>
      <c r="V6" s="18"/>
      <c r="W6" s="18"/>
      <c r="X6" s="18"/>
      <c r="Y6" s="19"/>
      <c r="Z6" s="20"/>
      <c r="AA6" s="21"/>
      <c r="AB6" s="21"/>
    </row>
    <row r="7" ht="15" customHeight="1">
      <c r="A7" s="15"/>
      <c r="B7" s="16"/>
      <c r="C7" s="17"/>
      <c r="D7" s="18"/>
      <c r="E7" s="18"/>
      <c r="F7" s="22"/>
      <c r="G7" s="22"/>
      <c r="H7" s="22"/>
      <c r="I7" s="22"/>
      <c r="J7" s="22"/>
      <c r="K7" s="22"/>
      <c r="L7" s="22"/>
      <c r="M7" s="22"/>
      <c r="N7" s="22"/>
      <c r="O7" s="18"/>
      <c r="P7" s="22"/>
      <c r="Q7" s="22"/>
      <c r="R7" s="22"/>
      <c r="S7" s="22"/>
      <c r="T7" s="22"/>
      <c r="U7" s="22"/>
      <c r="V7" s="22"/>
      <c r="W7" s="22"/>
      <c r="X7" s="22"/>
      <c r="Y7" s="19"/>
      <c r="Z7" s="20"/>
      <c r="AA7" s="21"/>
      <c r="AB7" s="21"/>
    </row>
    <row r="8" ht="15" customHeight="1">
      <c r="A8" s="15"/>
      <c r="B8" s="16"/>
      <c r="C8" s="17"/>
      <c r="D8" s="23"/>
      <c r="E8" s="24" t="s">
        <v>4</v>
      </c>
      <c r="F8" s="25" t="s">
        <v>5</v>
      </c>
      <c r="G8" s="26"/>
      <c r="H8" s="26"/>
      <c r="I8" s="26"/>
      <c r="J8" s="26"/>
      <c r="K8" s="26"/>
      <c r="L8" s="26"/>
      <c r="M8" s="26"/>
      <c r="N8" s="23"/>
      <c r="O8" s="27" t="s">
        <v>4</v>
      </c>
      <c r="P8" s="28" t="s">
        <v>6</v>
      </c>
      <c r="Q8" s="29"/>
      <c r="R8" s="29"/>
      <c r="S8" s="29"/>
      <c r="T8" s="29"/>
      <c r="U8" s="29"/>
      <c r="V8" s="29"/>
      <c r="W8" s="29"/>
      <c r="X8" s="29"/>
      <c r="Y8" s="19"/>
      <c r="Z8" s="20"/>
      <c r="AA8" s="21"/>
      <c r="AB8" s="21"/>
    </row>
    <row r="9" ht="15" customHeight="1">
      <c r="A9" s="15"/>
      <c r="B9" s="16"/>
      <c r="C9" s="17"/>
      <c r="D9" s="23"/>
      <c r="E9" s="30" t="s">
        <v>4</v>
      </c>
      <c r="F9" s="25" t="s">
        <v>7</v>
      </c>
      <c r="G9" s="26"/>
      <c r="H9" s="26"/>
      <c r="I9" s="26"/>
      <c r="J9" s="26"/>
      <c r="K9" s="26"/>
      <c r="L9" s="26"/>
      <c r="M9" s="26"/>
      <c r="N9" s="23"/>
      <c r="O9" s="31" t="s">
        <v>4</v>
      </c>
      <c r="P9" s="28" t="s">
        <v>8</v>
      </c>
      <c r="Q9" s="29"/>
      <c r="R9" s="29"/>
      <c r="S9" s="29"/>
      <c r="T9" s="29"/>
      <c r="U9" s="29"/>
      <c r="V9" s="29"/>
      <c r="W9" s="29"/>
      <c r="X9" s="29"/>
      <c r="Y9" s="19"/>
      <c r="Z9" s="20"/>
      <c r="AA9" s="21"/>
      <c r="AB9" s="21"/>
    </row>
    <row r="10" ht="30" customHeight="1">
      <c r="A10" s="15"/>
      <c r="B10" s="16"/>
      <c r="C10" s="32"/>
      <c r="D10" s="33"/>
      <c r="E10" s="34"/>
      <c r="F10" s="22"/>
      <c r="G10" s="22"/>
      <c r="H10" s="22"/>
      <c r="I10" s="22"/>
      <c r="J10" s="22"/>
      <c r="K10" s="22"/>
      <c r="L10" s="22"/>
      <c r="M10" s="22"/>
      <c r="N10" s="22"/>
      <c r="O10" s="34"/>
      <c r="P10" s="22"/>
      <c r="Q10" s="22"/>
      <c r="R10" s="22"/>
      <c r="S10" s="22"/>
      <c r="T10" s="22"/>
      <c r="U10" s="22"/>
      <c r="V10" s="22"/>
      <c r="W10" s="22"/>
      <c r="X10" s="22"/>
      <c r="Y10" s="19"/>
      <c r="Z10" s="20"/>
      <c r="AA10" s="21"/>
      <c r="AB10" s="21"/>
    </row>
    <row r="11" ht="19.5" customHeight="1">
      <c r="A11" s="15"/>
      <c r="B11" s="35" t="s">
        <v>9</v>
      </c>
      <c r="C11" s="36"/>
      <c r="D11" s="23"/>
      <c r="E11" s="37"/>
      <c r="F11" s="37"/>
      <c r="G11" s="37"/>
      <c r="H11" s="37"/>
      <c r="I11" s="37"/>
      <c r="J11" s="37"/>
      <c r="K11" s="37"/>
      <c r="L11" s="37"/>
      <c r="M11" s="37"/>
      <c r="N11" s="37"/>
      <c r="O11" s="37"/>
      <c r="P11" s="37"/>
      <c r="Q11" s="37"/>
      <c r="R11" s="37"/>
      <c r="S11" s="37"/>
      <c r="T11" s="37"/>
      <c r="U11" s="37"/>
      <c r="V11" s="37"/>
      <c r="W11" s="37"/>
      <c r="X11" s="37"/>
      <c r="Y11" s="19"/>
      <c r="Z11" s="20"/>
      <c r="AA11" s="21"/>
      <c r="AB11" s="21"/>
    </row>
    <row r="12" ht="69" customHeight="1">
      <c r="A12" s="15"/>
      <c r="B12" s="16"/>
      <c r="C12" s="32"/>
      <c r="D12" s="38"/>
      <c r="E12" s="26" t="s">
        <v>10</v>
      </c>
      <c r="F12" s="26"/>
      <c r="G12" s="26"/>
      <c r="H12" s="26"/>
      <c r="I12" s="26"/>
      <c r="J12" s="26"/>
      <c r="K12" s="26"/>
      <c r="L12" s="26"/>
      <c r="M12" s="26"/>
      <c r="N12" s="26"/>
      <c r="O12" s="26"/>
      <c r="P12" s="26"/>
      <c r="Q12" s="26"/>
      <c r="R12" s="26"/>
      <c r="S12" s="26"/>
      <c r="T12" s="26"/>
      <c r="U12" s="26"/>
      <c r="V12" s="26"/>
      <c r="W12" s="26"/>
      <c r="X12" s="26"/>
      <c r="Y12" s="19"/>
      <c r="Z12" s="20"/>
      <c r="AA12" s="21"/>
      <c r="AB12" s="21"/>
    </row>
    <row r="13" ht="15" customHeight="1">
      <c r="A13" s="15"/>
      <c r="B13" s="35" t="s">
        <v>11</v>
      </c>
      <c r="C13" s="36"/>
      <c r="D13" s="18"/>
      <c r="E13" s="37"/>
      <c r="F13" s="37"/>
      <c r="G13" s="37"/>
      <c r="H13" s="37"/>
      <c r="I13" s="37"/>
      <c r="J13" s="37"/>
      <c r="K13" s="37"/>
      <c r="L13" s="37"/>
      <c r="M13" s="37"/>
      <c r="N13" s="37"/>
      <c r="O13" s="37"/>
      <c r="P13" s="37"/>
      <c r="Q13" s="37"/>
      <c r="R13" s="37"/>
      <c r="S13" s="37"/>
      <c r="T13" s="37"/>
      <c r="U13" s="37"/>
      <c r="V13" s="37"/>
      <c r="W13" s="37"/>
      <c r="X13" s="37"/>
      <c r="Y13" s="19"/>
      <c r="Z13" s="20"/>
      <c r="AA13" s="21"/>
      <c r="AB13" s="21"/>
    </row>
    <row r="14" ht="57" customHeight="1">
      <c r="A14" s="15"/>
      <c r="B14" s="16"/>
      <c r="C14" s="17"/>
      <c r="D14" s="23"/>
      <c r="E14" s="39" t="s">
        <v>12</v>
      </c>
      <c r="F14" s="39"/>
      <c r="G14" s="39"/>
      <c r="H14" s="39"/>
      <c r="I14" s="39"/>
      <c r="J14" s="39"/>
      <c r="K14" s="39"/>
      <c r="L14" s="39"/>
      <c r="M14" s="39"/>
      <c r="N14" s="39"/>
      <c r="O14" s="39"/>
      <c r="P14" s="39"/>
      <c r="Q14" s="39"/>
      <c r="R14" s="39"/>
      <c r="S14" s="39"/>
      <c r="T14" s="39"/>
      <c r="U14" s="39"/>
      <c r="V14" s="39"/>
      <c r="W14" s="39"/>
      <c r="X14" s="39"/>
      <c r="Y14" s="19"/>
      <c r="Z14" s="20"/>
      <c r="AA14" s="21"/>
      <c r="AB14" s="21"/>
    </row>
    <row r="15" ht="16.5" customHeight="1">
      <c r="A15" s="15"/>
      <c r="B15" s="40"/>
      <c r="C15" s="41"/>
      <c r="D15" s="42"/>
      <c r="E15" s="43"/>
      <c r="F15" s="43"/>
      <c r="G15" s="43"/>
      <c r="H15" s="43"/>
      <c r="I15" s="43"/>
      <c r="J15" s="43"/>
      <c r="K15" s="43"/>
      <c r="L15" s="43"/>
      <c r="M15" s="43"/>
      <c r="N15" s="43"/>
      <c r="O15" s="43"/>
      <c r="P15" s="43"/>
      <c r="Q15" s="43"/>
      <c r="R15" s="43"/>
      <c r="S15" s="43"/>
      <c r="T15" s="43"/>
      <c r="U15" s="43"/>
      <c r="V15" s="43"/>
      <c r="W15" s="43"/>
      <c r="X15" s="43"/>
      <c r="Y15" s="44"/>
      <c r="Z15" s="20"/>
      <c r="AA15" s="45"/>
      <c r="AB15" s="21"/>
    </row>
    <row r="16" ht="95.25" customHeight="1">
      <c r="A16" s="3"/>
      <c r="B16" s="39"/>
      <c r="C16" s="46"/>
      <c r="D16" s="46"/>
      <c r="E16" s="46"/>
      <c r="F16" s="46"/>
      <c r="G16" s="46"/>
      <c r="H16" s="46"/>
      <c r="I16" s="46"/>
      <c r="J16" s="46"/>
      <c r="K16" s="46"/>
      <c r="L16" s="46"/>
      <c r="M16" s="46"/>
      <c r="N16" s="46"/>
      <c r="O16" s="46"/>
      <c r="P16" s="46"/>
      <c r="Q16" s="46"/>
      <c r="R16" s="46"/>
      <c r="S16" s="46"/>
      <c r="T16" s="46"/>
      <c r="U16" s="46"/>
      <c r="V16" s="46"/>
      <c r="W16" s="46"/>
      <c r="X16" s="46"/>
      <c r="Y16" s="46"/>
      <c r="Z16" s="3"/>
      <c r="AA16" s="5"/>
      <c r="AB16" s="3"/>
    </row>
    <row r="17" ht="14.25" customHeight="1">
      <c r="A17" s="3"/>
      <c r="B17" s="3"/>
      <c r="C17" s="3"/>
      <c r="D17" s="3"/>
      <c r="E17" s="3"/>
      <c r="F17" s="3"/>
      <c r="G17" s="3"/>
      <c r="H17" s="3"/>
      <c r="I17" s="3"/>
      <c r="J17" s="3"/>
      <c r="K17" s="3"/>
      <c r="L17" s="3"/>
      <c r="M17" s="3"/>
      <c r="N17" s="3"/>
      <c r="O17" s="3"/>
      <c r="P17" s="3"/>
      <c r="Q17" s="3"/>
      <c r="R17" s="3"/>
      <c r="S17" s="3"/>
      <c r="T17" s="3"/>
      <c r="U17" s="3"/>
      <c r="V17" s="3"/>
      <c r="W17" s="3"/>
      <c r="X17" s="3"/>
      <c r="Y17" s="4"/>
      <c r="Z17" s="3"/>
      <c r="AA17" s="5"/>
      <c r="AB17" s="3"/>
    </row>
    <row r="18" ht="14.25" customHeight="1">
      <c r="A18" s="3"/>
      <c r="B18" s="3"/>
      <c r="C18" s="3"/>
      <c r="D18" s="3"/>
      <c r="E18" s="3"/>
      <c r="F18" s="3"/>
      <c r="G18" s="3"/>
      <c r="H18" s="3"/>
      <c r="I18" s="3"/>
      <c r="J18" s="3"/>
      <c r="K18" s="3"/>
      <c r="L18" s="3"/>
      <c r="M18" s="3"/>
      <c r="N18" s="3"/>
      <c r="O18" s="3"/>
      <c r="P18" s="3"/>
      <c r="Q18" s="3"/>
      <c r="R18" s="3"/>
      <c r="S18" s="3"/>
      <c r="T18" s="3"/>
      <c r="U18" s="3"/>
      <c r="V18" s="3"/>
      <c r="W18" s="3"/>
      <c r="X18" s="3"/>
      <c r="Y18" s="4"/>
      <c r="Z18" s="3"/>
      <c r="AA18" s="5"/>
      <c r="AB18" s="3"/>
    </row>
    <row r="19" ht="14.25" customHeight="1">
      <c r="A19" s="3"/>
      <c r="B19" s="3"/>
      <c r="C19" s="3"/>
      <c r="D19" s="3"/>
      <c r="E19" s="3"/>
      <c r="F19" s="3"/>
      <c r="G19" s="3"/>
      <c r="H19" s="3"/>
      <c r="I19" s="3"/>
      <c r="J19" s="3"/>
      <c r="K19" s="3"/>
      <c r="L19" s="3"/>
      <c r="M19" s="3"/>
      <c r="N19" s="3"/>
      <c r="O19" s="3"/>
      <c r="P19" s="3"/>
      <c r="Q19" s="3"/>
      <c r="R19" s="3"/>
      <c r="S19" s="3"/>
      <c r="T19" s="3"/>
      <c r="U19" s="3"/>
      <c r="V19" s="3"/>
      <c r="W19" s="3"/>
      <c r="X19" s="3"/>
      <c r="Y19" s="4"/>
      <c r="Z19" s="3"/>
      <c r="AA19" s="5"/>
      <c r="AB19" s="3"/>
    </row>
    <row r="20" ht="14.25" customHeight="1">
      <c r="A20" s="3"/>
      <c r="B20" s="3"/>
      <c r="C20" s="3"/>
      <c r="D20" s="3"/>
      <c r="E20" s="3"/>
      <c r="F20" s="3"/>
      <c r="G20" s="3"/>
      <c r="H20" s="3"/>
      <c r="I20" s="3"/>
      <c r="J20" s="3"/>
      <c r="K20" s="3"/>
      <c r="L20" s="3"/>
      <c r="M20" s="3"/>
      <c r="N20" s="3"/>
      <c r="O20" s="3"/>
      <c r="P20" s="3"/>
      <c r="Q20" s="3"/>
      <c r="R20" s="3"/>
      <c r="S20" s="3"/>
      <c r="T20" s="3"/>
      <c r="U20" s="3"/>
      <c r="V20" s="3"/>
      <c r="W20" s="3"/>
      <c r="X20" s="3"/>
      <c r="Y20" s="4"/>
      <c r="Z20" s="3"/>
      <c r="AA20" s="5"/>
      <c r="AB20" s="3"/>
    </row>
    <row r="21" ht="14.25" customHeight="1">
      <c r="A21" s="3"/>
      <c r="B21" s="3"/>
      <c r="C21" s="3"/>
      <c r="D21" s="3"/>
      <c r="E21" s="3"/>
      <c r="F21" s="3"/>
      <c r="G21" s="3"/>
      <c r="H21" s="3"/>
      <c r="I21" s="3"/>
      <c r="J21" s="3"/>
      <c r="K21" s="3"/>
      <c r="L21" s="3"/>
      <c r="M21" s="3"/>
      <c r="N21" s="3"/>
      <c r="O21" s="3"/>
      <c r="P21" s="3"/>
      <c r="Q21" s="3"/>
      <c r="R21" s="3"/>
      <c r="S21" s="3"/>
      <c r="T21" s="3"/>
      <c r="U21" s="3"/>
      <c r="V21" s="3"/>
      <c r="W21" s="3"/>
      <c r="X21" s="3"/>
      <c r="Y21" s="4"/>
      <c r="Z21" s="3"/>
      <c r="AA21" s="5"/>
      <c r="AB21" s="3"/>
    </row>
  </sheetData>
  <sheetProtection autoFilter="0" deleteColumns="1" deleteRows="1" formatCells="1" formatColumns="0" formatRows="0" insertColumns="1" insertHyperlinks="1" insertRows="1" objects="0" pivotTables="1" scenarios="0" selectLockedCells="0" selectUnlockedCells="0" sheet="1" sort="1"/>
  <mergeCells count="13">
    <mergeCell ref="B2:P2"/>
    <mergeCell ref="B3:P3"/>
    <mergeCell ref="B5:Y5"/>
    <mergeCell ref="B6:C10"/>
    <mergeCell ref="F8:M8"/>
    <mergeCell ref="P8:X8"/>
    <mergeCell ref="F9:M9"/>
    <mergeCell ref="P9:X9"/>
    <mergeCell ref="B11:C12"/>
    <mergeCell ref="E12:X12"/>
    <mergeCell ref="B13:C15"/>
    <mergeCell ref="E14:X14"/>
    <mergeCell ref="B16:Y16"/>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3" tint="0.59999999999999998"/>
    <outlinePr applyStyles="0" summaryBelow="1" summaryRight="1" showOutlineSymbols="1"/>
    <pageSetUpPr autoPageBreaks="1" fitToPage="0"/>
  </sheetPr>
  <sheetViews>
    <sheetView showGridLines="0" zoomScale="90" workbookViewId="0">
      <pane xSplit="6" ySplit="11" topLeftCell="G12" activePane="bottomRight" state="frozen"/>
      <selection activeCell="A1" activeCellId="0" sqref="A1"/>
    </sheetView>
  </sheetViews>
  <sheetFormatPr defaultColWidth="10.57421875" defaultRowHeight="14.25" customHeight="1"/>
  <cols>
    <col customWidth="1" hidden="1" min="1" max="1" style="56" width="9.140625"/>
    <col customWidth="1" hidden="1" min="2" max="3" style="50" width="9.140625"/>
    <col customWidth="1" min="4" max="4" style="128" width="3.00390625"/>
    <col customWidth="1" min="5" max="5" style="50" width="6.00390625"/>
    <col customWidth="1" hidden="1" min="6" max="6" style="50" width="1.7109375"/>
    <col customWidth="1" min="7" max="8" style="50" width="30.00390625"/>
    <col customWidth="1" min="9" max="9" style="50" width="8.00390625"/>
    <col customWidth="1" min="10" max="10" style="50" width="12.140625"/>
    <col customWidth="1" min="11" max="11" style="50" width="46.00390625"/>
    <col customWidth="1" min="12" max="12" style="50" width="100.00390625"/>
    <col customWidth="1" min="13" max="13" style="139" width="7.00390625"/>
    <col customWidth="1" min="14" max="22" style="50" width="10.00390625"/>
    <col hidden="1" min="23" max="23" style="50" width="10.57421875"/>
  </cols>
  <sheetData>
    <row r="1" s="57" customFormat="1" ht="5.25" hidden="1" customHeight="1">
      <c r="C1" s="57"/>
      <c r="D1" s="132"/>
      <c r="F1" s="57"/>
      <c r="G1" s="57" t="s">
        <v>84</v>
      </c>
      <c r="H1" s="57" t="s">
        <v>85</v>
      </c>
      <c r="I1" s="57" t="s">
        <v>86</v>
      </c>
      <c r="P1" s="57" t="s">
        <v>84</v>
      </c>
      <c r="Q1" s="57" t="s">
        <v>85</v>
      </c>
      <c r="R1" s="57" t="s">
        <v>86</v>
      </c>
      <c r="W1" s="57" t="s">
        <v>14</v>
      </c>
    </row>
    <row r="2" s="57" customFormat="1" ht="5.25" hidden="1" customHeight="1">
      <c r="C2" s="57"/>
      <c r="D2" s="132"/>
      <c r="F2" s="57"/>
      <c r="W2" s="57">
        <v>0</v>
      </c>
    </row>
    <row r="3" s="65" customFormat="1" ht="5.25" customHeight="1">
      <c r="A3" s="420"/>
      <c r="D3" s="421"/>
      <c r="E3" s="68"/>
      <c r="F3" s="68"/>
      <c r="G3" s="68"/>
      <c r="H3" s="68"/>
      <c r="I3" s="462"/>
      <c r="J3" s="463"/>
      <c r="K3" s="463"/>
      <c r="L3" s="463"/>
      <c r="W3" s="65">
        <v>5</v>
      </c>
    </row>
    <row r="4" ht="23.25" customHeight="1">
      <c r="D4" s="391"/>
      <c r="E4" s="185" t="s">
        <v>393</v>
      </c>
      <c r="F4" s="185"/>
      <c r="G4" s="186"/>
      <c r="H4" s="186"/>
      <c r="I4" s="187"/>
      <c r="J4" s="416"/>
      <c r="K4" s="464"/>
      <c r="L4" s="464"/>
      <c r="W4" s="50">
        <v>22</v>
      </c>
    </row>
    <row r="5" s="50" customFormat="1" ht="18" customHeight="1">
      <c r="A5" s="56"/>
      <c r="D5" s="391"/>
      <c r="E5" s="417" t="str">
        <f>IF(org=0,"Не определено",org)</f>
        <v xml:space="preserve">АО "ДГК"</v>
      </c>
      <c r="F5" s="417"/>
      <c r="G5" s="418"/>
      <c r="H5" s="418"/>
      <c r="I5" s="419"/>
      <c r="J5" s="416"/>
      <c r="K5" s="464"/>
      <c r="L5" s="464"/>
      <c r="M5" s="139"/>
      <c r="W5" s="50">
        <v>17</v>
      </c>
    </row>
    <row r="6" s="65" customFormat="1" ht="11.5" customHeight="1">
      <c r="A6" s="420"/>
      <c r="D6" s="421"/>
      <c r="E6" s="68"/>
      <c r="F6" s="68"/>
      <c r="G6" s="465"/>
      <c r="H6" s="465"/>
      <c r="I6" s="422"/>
      <c r="J6" s="422"/>
      <c r="K6" s="352"/>
      <c r="L6" s="422"/>
      <c r="W6" s="65">
        <v>11</v>
      </c>
    </row>
    <row r="7" ht="14.65" customHeight="1">
      <c r="D7" s="391"/>
      <c r="E7" s="357" t="s">
        <v>305</v>
      </c>
      <c r="F7" s="357"/>
      <c r="G7" s="358"/>
      <c r="H7" s="358"/>
      <c r="I7" s="358"/>
      <c r="J7" s="358"/>
      <c r="K7" s="358"/>
      <c r="L7" s="246" t="s">
        <v>306</v>
      </c>
      <c r="W7" s="50">
        <v>14</v>
      </c>
    </row>
    <row r="8" ht="48.25" customHeight="1">
      <c r="D8" s="391"/>
      <c r="E8" s="358" t="s">
        <v>89</v>
      </c>
      <c r="F8" s="358"/>
      <c r="G8" s="157" t="s">
        <v>87</v>
      </c>
      <c r="H8" s="157" t="s">
        <v>88</v>
      </c>
      <c r="I8" s="246" t="s">
        <v>86</v>
      </c>
      <c r="J8" s="246" t="s">
        <v>394</v>
      </c>
      <c r="K8" s="246" t="s">
        <v>395</v>
      </c>
      <c r="L8" s="246"/>
      <c r="W8" s="50">
        <v>46</v>
      </c>
    </row>
    <row r="9" ht="12" hidden="1" customHeight="1">
      <c r="D9" s="433"/>
      <c r="E9" s="466"/>
      <c r="F9" s="466"/>
      <c r="G9" s="466"/>
      <c r="H9" s="466"/>
      <c r="I9" s="466"/>
      <c r="J9" s="466"/>
      <c r="K9" s="466"/>
      <c r="L9" s="466"/>
      <c r="M9" s="50"/>
      <c r="W9" s="50">
        <v>0</v>
      </c>
    </row>
    <row r="10" ht="14.25" hidden="1" customHeight="1">
      <c r="A10" s="50"/>
      <c r="B10" s="50"/>
      <c r="D10" s="391"/>
      <c r="E10" s="157">
        <v>0</v>
      </c>
      <c r="F10" s="157"/>
      <c r="G10" s="467"/>
      <c r="H10" s="467"/>
      <c r="I10" s="467"/>
      <c r="J10" s="467"/>
      <c r="K10" s="467"/>
      <c r="L10" s="447" t="s">
        <v>396</v>
      </c>
      <c r="M10" s="139"/>
      <c r="N10" s="50"/>
      <c r="O10" s="50"/>
      <c r="P10" s="50"/>
      <c r="Q10" s="50"/>
      <c r="R10" s="50"/>
      <c r="S10" s="50"/>
      <c r="T10" s="50"/>
      <c r="U10" s="50"/>
      <c r="V10" s="50"/>
      <c r="W10" s="50">
        <v>0</v>
      </c>
    </row>
    <row r="11" ht="15" hidden="1" customHeight="1">
      <c r="A11" s="51"/>
      <c r="B11" s="143"/>
      <c r="C11" s="143"/>
      <c r="D11" s="468"/>
      <c r="E11" s="469"/>
      <c r="F11" s="469"/>
      <c r="G11" s="469"/>
      <c r="H11" s="469"/>
      <c r="I11" s="214"/>
      <c r="J11" s="470"/>
      <c r="K11" s="471"/>
      <c r="L11" s="472"/>
      <c r="M11" s="57"/>
      <c r="N11" s="57"/>
      <c r="O11" s="57"/>
      <c r="P11" s="473"/>
      <c r="Q11" s="473"/>
      <c r="R11" s="474"/>
      <c r="S11" s="57"/>
      <c r="T11" s="57"/>
      <c r="U11" s="57"/>
      <c r="V11" s="57"/>
      <c r="W11" s="50">
        <v>0</v>
      </c>
    </row>
    <row r="12" s="65" customFormat="1" ht="15" customHeight="1">
      <c r="A12" s="51"/>
      <c r="B12" s="143"/>
      <c r="C12" s="143"/>
      <c r="D12" s="475"/>
      <c r="E12" s="358">
        <v>1</v>
      </c>
      <c r="F12" s="476">
        <v>23</v>
      </c>
      <c r="G12" s="477"/>
      <c r="H12" s="164"/>
      <c r="I12" s="165"/>
      <c r="J12" s="478" t="s">
        <v>67</v>
      </c>
      <c r="K12" s="479" t="s">
        <v>28</v>
      </c>
      <c r="L12" s="472"/>
      <c r="M12" s="57"/>
      <c r="N12" s="57"/>
      <c r="O12" s="57"/>
      <c r="P12" s="473" t="s">
        <v>397</v>
      </c>
      <c r="Q12" s="473" t="s">
        <v>398</v>
      </c>
      <c r="R12" s="474" t="s">
        <v>399</v>
      </c>
      <c r="S12" s="57" t="s">
        <v>400</v>
      </c>
      <c r="T12" s="57"/>
      <c r="U12" s="57"/>
      <c r="V12" s="57"/>
      <c r="W12" s="65">
        <v>14</v>
      </c>
    </row>
    <row r="13" ht="15.75" customHeight="1">
      <c r="A13" s="51"/>
      <c r="B13" s="50"/>
      <c r="D13" s="391"/>
      <c r="E13" s="448"/>
      <c r="F13" s="480"/>
      <c r="G13" s="177" t="s">
        <v>102</v>
      </c>
      <c r="H13" s="481"/>
      <c r="I13" s="481"/>
      <c r="J13" s="481"/>
      <c r="K13" s="482"/>
      <c r="L13" s="453"/>
      <c r="M13" s="50"/>
      <c r="N13" s="50"/>
      <c r="O13" s="50"/>
      <c r="P13" s="50"/>
      <c r="Q13" s="50"/>
      <c r="R13" s="50"/>
      <c r="S13" s="50"/>
      <c r="T13" s="50"/>
      <c r="U13" s="50"/>
      <c r="V13" s="50"/>
      <c r="W13" s="50">
        <v>15</v>
      </c>
    </row>
    <row r="14" ht="11.5" customHeight="1">
      <c r="A14" s="420"/>
      <c r="B14" s="65"/>
      <c r="C14" s="65"/>
      <c r="D14" s="483"/>
      <c r="E14" s="65"/>
      <c r="F14" s="65"/>
      <c r="G14" s="65"/>
      <c r="H14" s="65"/>
      <c r="I14" s="65"/>
      <c r="J14" s="65"/>
      <c r="K14" s="65"/>
      <c r="L14" s="65"/>
      <c r="M14" s="65"/>
      <c r="N14" s="65"/>
      <c r="O14" s="65"/>
      <c r="P14" s="65"/>
      <c r="Q14" s="65"/>
      <c r="R14" s="65"/>
      <c r="S14" s="65"/>
      <c r="T14" s="65"/>
      <c r="U14" s="65"/>
      <c r="V14" s="65"/>
      <c r="W14" s="50">
        <v>11</v>
      </c>
    </row>
    <row r="15" ht="14.65" customHeight="1">
      <c r="D15" s="484"/>
      <c r="E15" s="485"/>
      <c r="F15" s="485"/>
      <c r="G15" s="486"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 xml:space="preserve">&lt;1&gt;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84"/>
      <c r="I15" s="484"/>
      <c r="J15" s="484"/>
      <c r="K15" s="484"/>
      <c r="L15" s="484"/>
      <c r="W15" s="50">
        <v>14</v>
      </c>
    </row>
    <row r="16" ht="14.65" customHeight="1">
      <c r="W16" s="50">
        <v>14</v>
      </c>
    </row>
    <row r="17" ht="14.65" customHeight="1">
      <c r="W17" s="50">
        <v>14</v>
      </c>
    </row>
    <row r="18" ht="14.65" customHeight="1">
      <c r="G18" s="50"/>
      <c r="W18" s="50">
        <v>14</v>
      </c>
    </row>
    <row r="19" ht="22.5" hidden="1" customHeight="1">
      <c r="A19" s="56" t="s">
        <v>83</v>
      </c>
      <c r="B19" s="50">
        <v>0</v>
      </c>
      <c r="C19" s="50">
        <v>0</v>
      </c>
      <c r="D19" s="128">
        <v>3</v>
      </c>
      <c r="E19" s="50">
        <v>6</v>
      </c>
      <c r="F19" s="50">
        <v>0</v>
      </c>
      <c r="G19" s="50">
        <v>30</v>
      </c>
      <c r="H19" s="50">
        <v>30</v>
      </c>
      <c r="I19" s="50">
        <v>8</v>
      </c>
      <c r="J19" s="50">
        <v>12</v>
      </c>
      <c r="K19" s="50">
        <v>46</v>
      </c>
      <c r="L19" s="50">
        <v>100</v>
      </c>
      <c r="M19" s="139">
        <v>7</v>
      </c>
      <c r="N19" s="50">
        <v>10</v>
      </c>
      <c r="O19" s="50">
        <v>10</v>
      </c>
      <c r="P19" s="50">
        <v>10</v>
      </c>
      <c r="Q19" s="50">
        <v>10</v>
      </c>
      <c r="R19" s="50">
        <v>10</v>
      </c>
      <c r="S19" s="50">
        <v>10</v>
      </c>
      <c r="T19" s="50">
        <v>10</v>
      </c>
      <c r="U19" s="50">
        <v>10</v>
      </c>
      <c r="V19" s="50">
        <v>10</v>
      </c>
      <c r="W19" s="50">
        <v>23</v>
      </c>
    </row>
  </sheetData>
  <sheetProtection autoFilter="0" deleteColumns="1" deleteRows="1" formatCells="1" formatColumns="0" formatRows="0" insertColumns="1" insertHyperlinks="1" insertRows="1" objects="0" pivotTables="1" scenarios="0" selectLockedCells="0" selectUnlockedCells="0" sheet="1" sort="1"/>
  <mergeCells count="6">
    <mergeCell ref="E4:I4"/>
    <mergeCell ref="E5:I5"/>
    <mergeCell ref="E7:K7"/>
    <mergeCell ref="L7:L8"/>
    <mergeCell ref="L10:L13"/>
    <mergeCell ref="A11:A13"/>
  </mergeCells>
  <dataValidations count="1" disablePrompts="0">
    <dataValidation sqref="J12" type="none" allowBlank="1" errorStyle="stop" imeMode="noControl" operator="between" prompt="Изменение значения по двойному щелчоку левой кнопки мыши"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disablePrompts="0">
        <x14:dataValidation xr:uid="{00F30050-0003-4B20-AE04-00F700DC0085}"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K12</xm:sqref>
        </x14:dataValidation>
        <x14:dataValidation xr:uid="{007C00FE-00F0-4E79-B753-0078005C0066}" type="decimal" allowBlank="1" error="Допускается ввод только неотрицательных чисел!" errorStyle="stop" errorTitle="Ошибка" imeMode="noControl" operator="between" showDropDown="0" showErrorMessage="1" showInputMessage="0">
          <x14:formula1>
            <xm:f>0</xm:f>
          </x14:formula1>
          <x14:formula2>
            <xm:f>9.99999999999999E+23</xm:f>
          </x14:formula2>
          <xm:sqref>G10:K10</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zoomScale="90" workbookViewId="0">
      <pane xSplit="29" ySplit="42" topLeftCell="AD43" activePane="bottomRight" state="frozen"/>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2.00390625"/>
    <col customWidth="1" hidden="1" min="10" max="10" style="53" width="9.8515625"/>
    <col customWidth="1" hidden="1" min="11" max="11" style="53" width="11.421875"/>
    <col customWidth="1" hidden="1" min="12" max="12" style="113" width="19.140625"/>
    <col customWidth="1" hidden="1" min="13" max="14" style="61" width="12.28125"/>
    <col customWidth="1" hidden="1" min="15" max="15" style="61" width="23.421875"/>
    <col customWidth="1" min="16" max="16" style="60" width="3.00390625"/>
    <col customWidth="1" min="17" max="18" style="487" width="3.00390625"/>
    <col customWidth="1" min="19" max="19" style="86" width="12.00390625"/>
    <col customWidth="1" min="20" max="20" style="50" width="35.00390625"/>
    <col customWidth="1" min="21" max="21" style="50" width="0.140625"/>
    <col customWidth="1" hidden="1" min="22" max="22" style="50" width="24.7109375"/>
    <col customWidth="1" hidden="1" min="23" max="23" style="50" width="0.140625"/>
    <col customWidth="1" hidden="1" min="24" max="25" style="50" width="24.7109375"/>
    <col customWidth="1" hidden="1" min="26" max="26" style="50" width="11.7109375"/>
    <col customWidth="1" hidden="1" min="27" max="27" style="50" width="3.7109375"/>
    <col customWidth="1" hidden="1" min="28" max="28" style="50" width="11.7109375"/>
    <col customWidth="1" hidden="1" min="29" max="29" style="50" width="8.57421875"/>
    <col customWidth="1" min="30" max="30" style="50" width="24.7109375"/>
    <col customWidth="1" min="31" max="31" style="50" width="0.140625"/>
    <col customWidth="1" min="32" max="33" style="50" width="24.00390625"/>
    <col customWidth="1" min="34" max="34" style="50" width="11.00390625"/>
    <col customWidth="1" min="35" max="35" style="50" width="3.7109375"/>
    <col customWidth="1" min="36" max="36" style="50" width="11.00390625"/>
    <col customWidth="1" hidden="1" min="37" max="37" style="50" width="8.57421875"/>
    <col customWidth="1" min="38" max="38" style="50" width="4.00390625"/>
    <col customWidth="1" min="39" max="39" style="50" width="115.00390625"/>
    <col customWidth="1" min="40" max="44" style="57" width="10.00390625"/>
    <col hidden="1" min="45" max="45" style="50" width="10.57421875"/>
  </cols>
  <sheetData>
    <row r="1" ht="22.5" hidden="1" customHeight="1">
      <c r="Y1" s="50"/>
      <c r="Z1" s="50"/>
      <c r="AG1" s="50"/>
      <c r="AH1" s="50"/>
      <c r="AS1" s="50" t="s">
        <v>14</v>
      </c>
    </row>
    <row r="2" ht="21" hidden="1" customHeight="1">
      <c r="A2" s="488"/>
      <c r="B2" s="488"/>
      <c r="C2" s="488"/>
      <c r="D2" s="488"/>
      <c r="E2" s="489">
        <v>1</v>
      </c>
      <c r="F2" s="488"/>
      <c r="G2" s="488"/>
      <c r="H2" s="488"/>
      <c r="I2" s="488"/>
      <c r="J2" s="488"/>
      <c r="K2" s="488"/>
      <c r="L2" s="490"/>
      <c r="M2" s="491"/>
      <c r="N2" s="491"/>
      <c r="O2" s="491"/>
      <c r="P2" s="60"/>
      <c r="Q2" s="143"/>
      <c r="R2" s="492"/>
      <c r="S2" s="493" t="e">
        <f>INDEX(PT_DIFFERENTIATION_NUM_NTAR,MATCH(A2,PT_DIFFERENTIATION_NTAR_ID,0))</f>
        <v>#VALUE!</v>
      </c>
      <c r="T2" s="494" t="s">
        <v>123</v>
      </c>
      <c r="U2" s="495"/>
      <c r="V2" s="496"/>
      <c r="W2" s="497"/>
      <c r="X2" s="497"/>
      <c r="Y2" s="497"/>
      <c r="Z2" s="497"/>
      <c r="AA2" s="497"/>
      <c r="AB2" s="497"/>
      <c r="AC2" s="498"/>
      <c r="AD2" s="496" t="e">
        <f>INDEX(PT_DIFFERENTIATION_NTAR,MATCH(A2,PT_DIFFERENTIATION_NTAR_ID,0))</f>
        <v>#VALUE!</v>
      </c>
      <c r="AE2" s="497"/>
      <c r="AF2" s="497"/>
      <c r="AG2" s="497"/>
      <c r="AH2" s="497"/>
      <c r="AI2" s="497"/>
      <c r="AJ2" s="497"/>
      <c r="AK2" s="497"/>
      <c r="AL2" s="498"/>
      <c r="AM2" s="499" t="s">
        <v>401</v>
      </c>
      <c r="AO2" s="129"/>
      <c r="AP2" s="129" t="str">
        <f t="shared" ref="AP2:AP9" si="2">IF(T2="","",T2)</f>
        <v xml:space="preserve">Наименование тарифа</v>
      </c>
      <c r="AQ2" s="129"/>
      <c r="AR2" s="129"/>
      <c r="AS2" s="50">
        <v>0</v>
      </c>
    </row>
    <row r="3" ht="21" hidden="1" customHeight="1">
      <c r="A3" s="488"/>
      <c r="B3" s="488"/>
      <c r="C3" s="488"/>
      <c r="D3" s="488"/>
      <c r="E3" s="500"/>
      <c r="F3" s="489">
        <v>1</v>
      </c>
      <c r="G3" s="488"/>
      <c r="H3" s="488"/>
      <c r="I3" s="488"/>
      <c r="J3" s="488"/>
      <c r="K3" s="488"/>
      <c r="L3" s="490"/>
      <c r="M3" s="491"/>
      <c r="N3" s="491"/>
      <c r="O3" s="491"/>
      <c r="P3" s="51"/>
      <c r="Q3" s="501"/>
      <c r="R3" s="502"/>
      <c r="S3" s="493" t="e">
        <f>INDEX(PT_DIFFERENTIATION_NUM_TER,MATCH(B3,PT_DIFFERENTIATION_TER_ID,0))</f>
        <v>#VALUE!</v>
      </c>
      <c r="T3" s="503" t="s">
        <v>402</v>
      </c>
      <c r="U3" s="495"/>
      <c r="V3" s="496"/>
      <c r="W3" s="497"/>
      <c r="X3" s="497"/>
      <c r="Y3" s="497"/>
      <c r="Z3" s="497"/>
      <c r="AA3" s="497"/>
      <c r="AB3" s="497"/>
      <c r="AC3" s="498"/>
      <c r="AD3" s="496" t="e">
        <f>INDEX(PT_DIFFERENTIATION_TER,MATCH(B3,PT_DIFFERENTIATION_TER_ID,0))</f>
        <v>#VALUE!</v>
      </c>
      <c r="AE3" s="497"/>
      <c r="AF3" s="497"/>
      <c r="AG3" s="497"/>
      <c r="AH3" s="497"/>
      <c r="AI3" s="497"/>
      <c r="AJ3" s="497"/>
      <c r="AK3" s="497"/>
      <c r="AL3" s="498"/>
      <c r="AM3" s="499" t="s">
        <v>403</v>
      </c>
      <c r="AO3" s="129"/>
      <c r="AP3" s="129" t="str">
        <f t="shared" si="2"/>
        <v xml:space="preserve">Территория действия тарифа</v>
      </c>
      <c r="AQ3" s="129"/>
      <c r="AR3" s="129"/>
      <c r="AS3" s="50">
        <v>0</v>
      </c>
    </row>
    <row r="4" ht="23.25" hidden="1" customHeight="1">
      <c r="A4" s="488"/>
      <c r="B4" s="488"/>
      <c r="C4" s="488"/>
      <c r="D4" s="488"/>
      <c r="E4" s="500"/>
      <c r="F4" s="500"/>
      <c r="G4" s="489">
        <v>1</v>
      </c>
      <c r="H4" s="488"/>
      <c r="I4" s="488"/>
      <c r="J4" s="488"/>
      <c r="K4" s="488"/>
      <c r="L4" s="490"/>
      <c r="M4" s="491"/>
      <c r="N4" s="491"/>
      <c r="O4" s="491"/>
      <c r="P4" s="504"/>
      <c r="Q4" s="501"/>
      <c r="R4" s="502"/>
      <c r="S4" s="493" t="e">
        <f>INDEX(PT_DIFFERENTIATION_NUM_CS,MATCH(C4,PT_DIFFERENTIATION_CS_ID,0))</f>
        <v>#VALUE!</v>
      </c>
      <c r="T4" s="505" t="s">
        <v>404</v>
      </c>
      <c r="U4" s="495"/>
      <c r="V4" s="496"/>
      <c r="W4" s="497"/>
      <c r="X4" s="497"/>
      <c r="Y4" s="497"/>
      <c r="Z4" s="497"/>
      <c r="AA4" s="497"/>
      <c r="AB4" s="497"/>
      <c r="AC4" s="498"/>
      <c r="AD4" s="496" t="e">
        <f>INDEX(PT_DIFFERENTIATION_CS,MATCH(C4,PT_DIFFERENTIATION_CS_ID,0))</f>
        <v>#VALUE!</v>
      </c>
      <c r="AE4" s="497"/>
      <c r="AF4" s="497"/>
      <c r="AG4" s="497"/>
      <c r="AH4" s="497"/>
      <c r="AI4" s="497"/>
      <c r="AJ4" s="497"/>
      <c r="AK4" s="497"/>
      <c r="AL4" s="498"/>
      <c r="AM4" s="499" t="s">
        <v>405</v>
      </c>
      <c r="AO4" s="129"/>
      <c r="AP4" s="129" t="str">
        <f t="shared" si="2"/>
        <v xml:space="preserve">Наименование системы теплоснабжения </v>
      </c>
      <c r="AQ4" s="129"/>
      <c r="AR4" s="129"/>
      <c r="AS4" s="50">
        <v>0</v>
      </c>
    </row>
    <row r="5" ht="21" hidden="1" customHeight="1">
      <c r="A5" s="488"/>
      <c r="B5" s="488"/>
      <c r="C5" s="488"/>
      <c r="D5" s="488"/>
      <c r="E5" s="500"/>
      <c r="F5" s="500"/>
      <c r="G5" s="500"/>
      <c r="H5" s="489">
        <v>1</v>
      </c>
      <c r="I5" s="488"/>
      <c r="J5" s="488"/>
      <c r="K5" s="488"/>
      <c r="L5" s="490"/>
      <c r="M5" s="491"/>
      <c r="N5" s="491"/>
      <c r="O5" s="491"/>
      <c r="P5" s="504"/>
      <c r="Q5" s="501"/>
      <c r="R5" s="502"/>
      <c r="S5" s="493" t="e">
        <f>INDEX(PT_DIFFERENTIATION_NUM_IST_TE,MATCH(D5,PT_DIFFERENTIATION_IST_TE_ID,0))</f>
        <v>#VALUE!</v>
      </c>
      <c r="T5" s="506" t="s">
        <v>406</v>
      </c>
      <c r="U5" s="495"/>
      <c r="V5" s="496"/>
      <c r="W5" s="497"/>
      <c r="X5" s="497"/>
      <c r="Y5" s="497"/>
      <c r="Z5" s="497"/>
      <c r="AA5" s="497"/>
      <c r="AB5" s="497"/>
      <c r="AC5" s="498"/>
      <c r="AD5" s="496" t="e">
        <f>INDEX(PT_DIFFERENTIATION_IST_TE,MATCH(D5,PT_DIFFERENTIATION_IST_TE_ID,0))</f>
        <v>#VALUE!</v>
      </c>
      <c r="AE5" s="497"/>
      <c r="AF5" s="497"/>
      <c r="AG5" s="497"/>
      <c r="AH5" s="497"/>
      <c r="AI5" s="497"/>
      <c r="AJ5" s="497"/>
      <c r="AK5" s="497"/>
      <c r="AL5" s="498"/>
      <c r="AM5" s="499" t="s">
        <v>407</v>
      </c>
      <c r="AO5" s="129"/>
      <c r="AP5" s="129" t="str">
        <f t="shared" si="2"/>
        <v xml:space="preserve">Источник тепловой энергии  </v>
      </c>
      <c r="AQ5" s="129"/>
      <c r="AR5" s="129"/>
      <c r="AS5" s="50">
        <v>0</v>
      </c>
    </row>
    <row r="6" ht="47.25" hidden="1" customHeight="1">
      <c r="A6" s="488"/>
      <c r="B6" s="488"/>
      <c r="C6" s="488"/>
      <c r="D6" s="488"/>
      <c r="E6" s="500"/>
      <c r="F6" s="500"/>
      <c r="G6" s="500"/>
      <c r="H6" s="500"/>
      <c r="I6" s="507" t="e">
        <f>S5&amp;".1"</f>
        <v>#VALUE!</v>
      </c>
      <c r="J6" s="488"/>
      <c r="K6" s="488"/>
      <c r="L6" s="490" t="s">
        <v>408</v>
      </c>
      <c r="M6" s="53"/>
      <c r="P6" s="132">
        <v>1</v>
      </c>
      <c r="Q6" s="132"/>
      <c r="R6" s="508"/>
      <c r="S6" s="493" t="e">
        <f>$I6</f>
        <v>#VALUE!</v>
      </c>
      <c r="T6" s="509" t="s">
        <v>409</v>
      </c>
      <c r="U6" s="495"/>
      <c r="V6" s="440"/>
      <c r="W6" s="510"/>
      <c r="X6" s="510"/>
      <c r="Y6" s="510"/>
      <c r="Z6" s="510"/>
      <c r="AA6" s="510"/>
      <c r="AB6" s="510"/>
      <c r="AC6" s="511"/>
      <c r="AD6" s="440"/>
      <c r="AE6" s="510"/>
      <c r="AF6" s="510"/>
      <c r="AG6" s="510"/>
      <c r="AH6" s="510"/>
      <c r="AI6" s="510"/>
      <c r="AJ6" s="510"/>
      <c r="AK6" s="510"/>
      <c r="AL6" s="511"/>
      <c r="AM6" s="499" t="s">
        <v>410</v>
      </c>
      <c r="AO6" s="129"/>
      <c r="AP6" s="129" t="str">
        <f t="shared" si="2"/>
        <v xml:space="preserve">Схема подключения теплопотребляющей установки к коллектору источника тепловой энергии</v>
      </c>
      <c r="AQ6" s="129"/>
      <c r="AR6" s="129"/>
      <c r="AS6" s="50">
        <v>0</v>
      </c>
    </row>
    <row r="7" ht="21" hidden="1" customHeight="1">
      <c r="A7" s="488"/>
      <c r="B7" s="488"/>
      <c r="C7" s="488"/>
      <c r="D7" s="488"/>
      <c r="E7" s="500"/>
      <c r="F7" s="500"/>
      <c r="G7" s="500"/>
      <c r="H7" s="500"/>
      <c r="I7" s="512"/>
      <c r="J7" s="507" t="e">
        <f>I6&amp;".1"</f>
        <v>#VALUE!</v>
      </c>
      <c r="K7" s="488"/>
      <c r="L7" s="490" t="s">
        <v>411</v>
      </c>
      <c r="M7" s="53"/>
      <c r="N7" s="53"/>
      <c r="P7" s="132"/>
      <c r="Q7" s="132">
        <v>1</v>
      </c>
      <c r="R7" s="513"/>
      <c r="S7" s="493" t="e">
        <f>$J7</f>
        <v>#VALUE!</v>
      </c>
      <c r="T7" s="514" t="s">
        <v>412</v>
      </c>
      <c r="U7" s="495"/>
      <c r="V7" s="440"/>
      <c r="W7" s="510"/>
      <c r="X7" s="510"/>
      <c r="Y7" s="510"/>
      <c r="Z7" s="510"/>
      <c r="AA7" s="510"/>
      <c r="AB7" s="510"/>
      <c r="AC7" s="511"/>
      <c r="AD7" s="440"/>
      <c r="AE7" s="510"/>
      <c r="AF7" s="510"/>
      <c r="AG7" s="510"/>
      <c r="AH7" s="510"/>
      <c r="AI7" s="510"/>
      <c r="AJ7" s="510"/>
      <c r="AK7" s="510"/>
      <c r="AL7" s="511"/>
      <c r="AM7" s="499" t="s">
        <v>413</v>
      </c>
      <c r="AO7" s="129"/>
      <c r="AP7" s="129" t="str">
        <f t="shared" si="2"/>
        <v xml:space="preserve">Группа потребителей</v>
      </c>
      <c r="AQ7" s="129"/>
      <c r="AR7" s="129"/>
      <c r="AS7" s="50">
        <v>0</v>
      </c>
    </row>
    <row r="8" ht="21" hidden="1" customHeight="1">
      <c r="A8" s="488"/>
      <c r="B8" s="488"/>
      <c r="C8" s="488"/>
      <c r="D8" s="488"/>
      <c r="E8" s="500"/>
      <c r="F8" s="500"/>
      <c r="G8" s="500"/>
      <c r="H8" s="500"/>
      <c r="I8" s="512"/>
      <c r="J8" s="512"/>
      <c r="K8" s="507" t="e">
        <f>J7&amp;".1"</f>
        <v>#VALUE!</v>
      </c>
      <c r="L8" s="490" t="s">
        <v>414</v>
      </c>
      <c r="M8" s="53"/>
      <c r="N8" s="53"/>
      <c r="O8" s="53"/>
      <c r="P8" s="132"/>
      <c r="Q8" s="132"/>
      <c r="R8" s="513">
        <v>1</v>
      </c>
      <c r="S8" s="493" t="e">
        <f>$K8</f>
        <v>#VALUE!</v>
      </c>
      <c r="T8" s="515"/>
      <c r="U8" s="495"/>
      <c r="V8" s="516"/>
      <c r="W8" s="517"/>
      <c r="X8" s="516"/>
      <c r="Y8" s="518"/>
      <c r="Z8" s="519"/>
      <c r="AA8" s="224" t="s">
        <v>67</v>
      </c>
      <c r="AB8" s="519"/>
      <c r="AC8" s="224" t="s">
        <v>67</v>
      </c>
      <c r="AD8" s="516"/>
      <c r="AE8" s="517"/>
      <c r="AF8" s="516"/>
      <c r="AG8" s="518"/>
      <c r="AH8" s="519"/>
      <c r="AI8" s="224" t="s">
        <v>67</v>
      </c>
      <c r="AJ8" s="519"/>
      <c r="AK8" s="224" t="s">
        <v>67</v>
      </c>
      <c r="AL8" s="517"/>
      <c r="AM8" s="520" t="s">
        <v>415</v>
      </c>
      <c r="AN8" s="57" t="e">
        <f>STRCHECKDATE(V9:AL9)</f>
        <v>#NAME?</v>
      </c>
      <c r="AO8" s="129"/>
      <c r="AP8" s="129" t="str">
        <f t="shared" si="2"/>
        <v/>
      </c>
      <c r="AQ8" s="129"/>
      <c r="AR8" s="129"/>
      <c r="AS8" s="50">
        <v>0</v>
      </c>
    </row>
    <row r="9" ht="0.75" hidden="1" customHeight="1">
      <c r="A9" s="488"/>
      <c r="B9" s="488"/>
      <c r="C9" s="488"/>
      <c r="D9" s="488"/>
      <c r="E9" s="500"/>
      <c r="F9" s="500"/>
      <c r="G9" s="500"/>
      <c r="H9" s="500"/>
      <c r="I9" s="512"/>
      <c r="J9" s="512"/>
      <c r="K9" s="507"/>
      <c r="L9" s="490"/>
      <c r="M9" s="53"/>
      <c r="N9" s="53"/>
      <c r="O9" s="53"/>
      <c r="P9" s="132"/>
      <c r="Q9" s="132"/>
      <c r="R9" s="513"/>
      <c r="S9" s="467"/>
      <c r="T9" s="495"/>
      <c r="U9" s="495"/>
      <c r="V9" s="517"/>
      <c r="W9" s="517"/>
      <c r="X9" s="517"/>
      <c r="Y9" s="521" t="str">
        <f>Z8&amp;"-"&amp;AB8</f>
        <v>-</v>
      </c>
      <c r="Z9" s="522"/>
      <c r="AA9" s="224"/>
      <c r="AB9" s="522"/>
      <c r="AC9" s="224"/>
      <c r="AD9" s="517"/>
      <c r="AE9" s="517"/>
      <c r="AF9" s="517"/>
      <c r="AG9" s="521" t="str">
        <f>AH8&amp;"-"&amp;AJ8</f>
        <v>-</v>
      </c>
      <c r="AH9" s="522"/>
      <c r="AI9" s="224"/>
      <c r="AJ9" s="522"/>
      <c r="AK9" s="224"/>
      <c r="AL9" s="517"/>
      <c r="AM9" s="523"/>
      <c r="AO9" s="129"/>
      <c r="AP9" s="129" t="str">
        <f t="shared" si="2"/>
        <v/>
      </c>
      <c r="AQ9" s="129"/>
      <c r="AR9" s="129"/>
      <c r="AS9" s="50">
        <v>0</v>
      </c>
    </row>
    <row r="10" ht="15" hidden="1" customHeight="1">
      <c r="A10" s="488"/>
      <c r="B10" s="488"/>
      <c r="C10" s="488"/>
      <c r="D10" s="488"/>
      <c r="E10" s="500"/>
      <c r="F10" s="500"/>
      <c r="G10" s="500"/>
      <c r="H10" s="500"/>
      <c r="I10" s="512"/>
      <c r="J10" s="507"/>
      <c r="K10" s="488"/>
      <c r="L10" s="490"/>
      <c r="M10" s="53"/>
      <c r="N10" s="53"/>
      <c r="P10" s="132"/>
      <c r="Q10" s="132"/>
      <c r="R10" s="508"/>
      <c r="S10" s="524"/>
      <c r="T10" s="525" t="s">
        <v>416</v>
      </c>
      <c r="U10" s="214"/>
      <c r="V10" s="214"/>
      <c r="W10" s="214"/>
      <c r="X10" s="214"/>
      <c r="Y10" s="214"/>
      <c r="Z10" s="214"/>
      <c r="AA10" s="214"/>
      <c r="AB10" s="214"/>
      <c r="AC10" s="214"/>
      <c r="AD10" s="214"/>
      <c r="AE10" s="214"/>
      <c r="AF10" s="214"/>
      <c r="AG10" s="214"/>
      <c r="AH10" s="214"/>
      <c r="AI10" s="214"/>
      <c r="AJ10" s="214"/>
      <c r="AK10" s="214"/>
      <c r="AL10" s="526"/>
      <c r="AM10" s="527"/>
      <c r="AO10" s="129"/>
      <c r="AP10" s="129" t="str">
        <f t="shared" ref="AP10:AP57" si="3">IF(T10="","",T10)</f>
        <v xml:space="preserve">Добавить вид теплоносителя (параметры теплоносителя)</v>
      </c>
      <c r="AQ10" s="129"/>
      <c r="AR10" s="129"/>
      <c r="AS10" s="50">
        <v>0</v>
      </c>
    </row>
    <row r="11" ht="15" hidden="1" customHeight="1">
      <c r="A11" s="488"/>
      <c r="B11" s="488"/>
      <c r="C11" s="488"/>
      <c r="D11" s="488"/>
      <c r="E11" s="500"/>
      <c r="F11" s="500"/>
      <c r="G11" s="500"/>
      <c r="H11" s="500"/>
      <c r="I11" s="507"/>
      <c r="J11" s="488"/>
      <c r="K11" s="488"/>
      <c r="L11" s="490"/>
      <c r="M11" s="53"/>
      <c r="P11" s="132"/>
      <c r="Q11" s="132"/>
      <c r="R11" s="508"/>
      <c r="S11" s="524"/>
      <c r="T11" s="528" t="s">
        <v>417</v>
      </c>
      <c r="U11" s="214"/>
      <c r="V11" s="214"/>
      <c r="W11" s="214"/>
      <c r="X11" s="214"/>
      <c r="Y11" s="214"/>
      <c r="Z11" s="214"/>
      <c r="AA11" s="214"/>
      <c r="AB11" s="214"/>
      <c r="AC11" s="529"/>
      <c r="AD11" s="214"/>
      <c r="AE11" s="214"/>
      <c r="AF11" s="214"/>
      <c r="AG11" s="214"/>
      <c r="AH11" s="214"/>
      <c r="AI11" s="214"/>
      <c r="AJ11" s="214"/>
      <c r="AK11" s="529"/>
      <c r="AL11" s="214"/>
      <c r="AM11" s="530"/>
      <c r="AO11" s="129"/>
      <c r="AP11" s="129" t="str">
        <f t="shared" si="3"/>
        <v xml:space="preserve">Добавить группу потребителей</v>
      </c>
      <c r="AQ11" s="129"/>
      <c r="AR11" s="129"/>
      <c r="AS11" s="50">
        <v>0</v>
      </c>
    </row>
    <row r="12" ht="14.25" hidden="1" customHeight="1">
      <c r="A12" s="488"/>
      <c r="B12" s="488"/>
      <c r="C12" s="488"/>
      <c r="D12" s="488"/>
      <c r="E12" s="500"/>
      <c r="F12" s="500"/>
      <c r="G12" s="500"/>
      <c r="H12" s="489"/>
      <c r="I12" s="488"/>
      <c r="J12" s="488"/>
      <c r="K12" s="488"/>
      <c r="L12" s="490"/>
      <c r="M12" s="491"/>
      <c r="N12" s="491"/>
      <c r="O12" s="53"/>
      <c r="P12" s="143"/>
      <c r="Q12" s="531"/>
      <c r="R12" s="492"/>
      <c r="S12" s="524"/>
      <c r="T12" s="532" t="s">
        <v>418</v>
      </c>
      <c r="U12" s="214"/>
      <c r="V12" s="214"/>
      <c r="W12" s="214"/>
      <c r="X12" s="214"/>
      <c r="Y12" s="214"/>
      <c r="Z12" s="214"/>
      <c r="AA12" s="214"/>
      <c r="AB12" s="214"/>
      <c r="AC12" s="529"/>
      <c r="AD12" s="214"/>
      <c r="AE12" s="214"/>
      <c r="AF12" s="214"/>
      <c r="AG12" s="214"/>
      <c r="AH12" s="214"/>
      <c r="AI12" s="214"/>
      <c r="AJ12" s="214"/>
      <c r="AK12" s="529"/>
      <c r="AL12" s="214"/>
      <c r="AM12" s="530"/>
      <c r="AO12" s="129"/>
      <c r="AP12" s="129" t="str">
        <f t="shared" si="3"/>
        <v xml:space="preserve">Добавить схему подключения</v>
      </c>
      <c r="AQ12" s="129"/>
      <c r="AR12" s="129"/>
      <c r="AS12" s="50">
        <v>0</v>
      </c>
    </row>
    <row r="13" s="57" customFormat="1" ht="0.75" hidden="1" customHeight="1">
      <c r="A13" s="133"/>
      <c r="B13" s="133"/>
      <c r="C13" s="133"/>
      <c r="D13" s="133"/>
      <c r="E13" s="500"/>
      <c r="F13" s="500"/>
      <c r="G13" s="489"/>
      <c r="H13" s="133"/>
      <c r="I13" s="133"/>
      <c r="J13" s="133"/>
      <c r="K13" s="133"/>
      <c r="L13" s="212"/>
      <c r="M13" s="473"/>
      <c r="N13" s="473"/>
      <c r="P13" s="167"/>
      <c r="Q13" s="533"/>
      <c r="R13" s="167"/>
      <c r="S13" s="534"/>
      <c r="T13" s="535" t="s">
        <v>211</v>
      </c>
      <c r="U13" s="536"/>
      <c r="V13" s="536"/>
      <c r="W13" s="536"/>
      <c r="X13" s="536"/>
      <c r="Y13" s="536"/>
      <c r="Z13" s="536"/>
      <c r="AA13" s="536"/>
      <c r="AB13" s="536"/>
      <c r="AC13" s="536"/>
      <c r="AD13" s="536"/>
      <c r="AE13" s="536"/>
      <c r="AF13" s="536"/>
      <c r="AG13" s="536"/>
      <c r="AH13" s="536"/>
      <c r="AI13" s="536"/>
      <c r="AJ13" s="536"/>
      <c r="AK13" s="536"/>
      <c r="AL13" s="536"/>
      <c r="AM13" s="536"/>
      <c r="AO13" s="129"/>
      <c r="AP13" s="129" t="str">
        <f t="shared" si="3"/>
        <v xml:space="preserve">Добавить источник для дифференциации</v>
      </c>
      <c r="AQ13" s="129"/>
      <c r="AR13" s="129"/>
      <c r="AS13" s="57">
        <v>0</v>
      </c>
    </row>
    <row r="14" s="57" customFormat="1" ht="0.75" hidden="1" customHeight="1">
      <c r="A14" s="133"/>
      <c r="B14" s="133"/>
      <c r="C14" s="133"/>
      <c r="D14" s="133"/>
      <c r="E14" s="500"/>
      <c r="F14" s="489"/>
      <c r="G14" s="133"/>
      <c r="H14" s="133"/>
      <c r="I14" s="133"/>
      <c r="J14" s="133"/>
      <c r="K14" s="133"/>
      <c r="L14" s="212"/>
      <c r="M14" s="537"/>
      <c r="N14" s="537"/>
      <c r="P14" s="167"/>
      <c r="Q14" s="533"/>
      <c r="R14" s="167"/>
      <c r="S14" s="538"/>
      <c r="T14" s="539" t="s">
        <v>212</v>
      </c>
      <c r="U14" s="540"/>
      <c r="V14" s="540"/>
      <c r="W14" s="540"/>
      <c r="X14" s="540"/>
      <c r="Y14" s="540"/>
      <c r="Z14" s="540"/>
      <c r="AA14" s="540"/>
      <c r="AB14" s="540"/>
      <c r="AC14" s="540"/>
      <c r="AD14" s="540"/>
      <c r="AE14" s="540"/>
      <c r="AF14" s="540"/>
      <c r="AG14" s="540"/>
      <c r="AH14" s="540"/>
      <c r="AI14" s="540"/>
      <c r="AJ14" s="540"/>
      <c r="AK14" s="540"/>
      <c r="AL14" s="540"/>
      <c r="AM14" s="540"/>
      <c r="AO14" s="129"/>
      <c r="AP14" s="129" t="str">
        <f t="shared" si="3"/>
        <v xml:space="preserve">Добавить централизованную систему для дифференциации</v>
      </c>
      <c r="AQ14" s="129"/>
      <c r="AR14" s="129"/>
      <c r="AS14" s="57">
        <v>0</v>
      </c>
    </row>
    <row r="15" s="57" customFormat="1" ht="0.75" hidden="1" customHeight="1">
      <c r="A15" s="133"/>
      <c r="B15" s="133"/>
      <c r="C15" s="133"/>
      <c r="D15" s="133"/>
      <c r="E15" s="489"/>
      <c r="F15" s="133"/>
      <c r="G15" s="133"/>
      <c r="H15" s="133"/>
      <c r="I15" s="133"/>
      <c r="J15" s="133"/>
      <c r="K15" s="133"/>
      <c r="L15" s="212"/>
      <c r="M15" s="537"/>
      <c r="N15" s="537"/>
      <c r="P15" s="167"/>
      <c r="Q15" s="533"/>
      <c r="R15" s="167"/>
      <c r="S15" s="538"/>
      <c r="T15" s="541" t="s">
        <v>213</v>
      </c>
      <c r="U15" s="540"/>
      <c r="V15" s="540"/>
      <c r="W15" s="540"/>
      <c r="X15" s="540"/>
      <c r="Y15" s="540"/>
      <c r="Z15" s="540"/>
      <c r="AA15" s="540"/>
      <c r="AB15" s="540"/>
      <c r="AC15" s="540"/>
      <c r="AD15" s="540"/>
      <c r="AE15" s="540"/>
      <c r="AF15" s="540"/>
      <c r="AG15" s="540"/>
      <c r="AH15" s="540"/>
      <c r="AI15" s="540"/>
      <c r="AJ15" s="540"/>
      <c r="AK15" s="540"/>
      <c r="AL15" s="540"/>
      <c r="AM15" s="540"/>
      <c r="AO15" s="129"/>
      <c r="AP15" s="129" t="str">
        <f t="shared" si="3"/>
        <v xml:space="preserve">Добавить территорию для дифференциации</v>
      </c>
      <c r="AQ15" s="129"/>
      <c r="AR15" s="129"/>
      <c r="AS15" s="57">
        <v>0</v>
      </c>
    </row>
    <row r="16" ht="14.25" hidden="1" customHeight="1">
      <c r="AC16" s="50"/>
      <c r="AK16" s="50"/>
      <c r="AS16" s="50">
        <v>0</v>
      </c>
    </row>
    <row r="17" ht="14.25" hidden="1" customHeight="1">
      <c r="P17" s="60"/>
      <c r="AD17" s="542"/>
      <c r="AE17" s="542"/>
      <c r="AF17" s="542"/>
      <c r="AG17" s="543"/>
      <c r="AH17" s="544"/>
      <c r="AI17" s="545" t="s">
        <v>67</v>
      </c>
      <c r="AJ17" s="544"/>
      <c r="AK17" s="545" t="s">
        <v>67</v>
      </c>
      <c r="AS17" s="50">
        <v>0</v>
      </c>
    </row>
    <row r="18" ht="14.25" hidden="1" customHeight="1">
      <c r="P18" s="60"/>
      <c r="AD18" s="542"/>
      <c r="AE18" s="542"/>
      <c r="AF18" s="542"/>
      <c r="AG18" s="521" t="str">
        <f>AH17&amp;"-"&amp;AJ17</f>
        <v>-</v>
      </c>
      <c r="AH18" s="545"/>
      <c r="AI18" s="545"/>
      <c r="AJ18" s="545"/>
      <c r="AK18" s="545"/>
      <c r="AS18" s="50">
        <v>0</v>
      </c>
    </row>
    <row r="19" ht="14.25" hidden="1" customHeight="1">
      <c r="P19" s="60"/>
      <c r="AK19" s="50"/>
      <c r="AS19" s="50">
        <v>0</v>
      </c>
    </row>
    <row r="20" s="53" customFormat="1" ht="22.5" hidden="1" customHeight="1">
      <c r="L20" s="113"/>
      <c r="M20" s="61"/>
      <c r="N20" s="61"/>
      <c r="O20" s="546" t="s">
        <v>419</v>
      </c>
      <c r="P20" s="61"/>
      <c r="Q20" s="547"/>
      <c r="R20" s="547"/>
      <c r="S20" s="491"/>
      <c r="Z20" s="546"/>
      <c r="AB20" s="546"/>
      <c r="AC20" s="53"/>
      <c r="AH20" s="546"/>
      <c r="AJ20" s="546"/>
      <c r="AK20" s="53"/>
      <c r="AN20" s="57"/>
      <c r="AO20" s="57"/>
      <c r="AP20" s="57"/>
      <c r="AQ20" s="57"/>
      <c r="AR20" s="57"/>
      <c r="AS20" s="53">
        <v>0</v>
      </c>
    </row>
    <row r="21" s="53" customFormat="1" ht="14.25" hidden="1" customHeight="1">
      <c r="L21" s="113"/>
      <c r="M21" s="61"/>
      <c r="N21" s="61"/>
      <c r="O21" s="61"/>
      <c r="P21" s="61"/>
      <c r="Q21" s="547"/>
      <c r="R21" s="547"/>
      <c r="S21" s="491"/>
      <c r="AC21" s="53"/>
      <c r="AK21" s="53"/>
      <c r="AN21" s="57"/>
      <c r="AO21" s="57"/>
      <c r="AP21" s="57"/>
      <c r="AQ21" s="57"/>
      <c r="AR21" s="57"/>
      <c r="AS21" s="53">
        <v>0</v>
      </c>
    </row>
    <row r="22" s="53" customFormat="1" ht="14.25" hidden="1" customHeight="1">
      <c r="L22" s="113"/>
      <c r="M22" s="61"/>
      <c r="N22" s="61"/>
      <c r="O22" s="490" t="s">
        <v>420</v>
      </c>
      <c r="P22" s="61"/>
      <c r="Q22" s="547"/>
      <c r="R22" s="547"/>
      <c r="S22" s="491"/>
      <c r="T22" s="53" t="s">
        <v>421</v>
      </c>
      <c r="AA22" s="151" t="s">
        <v>422</v>
      </c>
      <c r="AC22" s="151" t="s">
        <v>423</v>
      </c>
      <c r="AD22" s="53" t="s">
        <v>421</v>
      </c>
      <c r="AI22" s="151" t="s">
        <v>424</v>
      </c>
      <c r="AK22" s="151" t="s">
        <v>423</v>
      </c>
      <c r="AN22" s="57"/>
      <c r="AO22" s="57"/>
      <c r="AP22" s="57"/>
      <c r="AQ22" s="57"/>
      <c r="AR22" s="57"/>
      <c r="AS22" s="53">
        <v>0</v>
      </c>
    </row>
    <row r="23" ht="14.25" hidden="1" customHeight="1">
      <c r="O23" s="490"/>
      <c r="P23" s="60"/>
      <c r="AS23" s="50">
        <v>0</v>
      </c>
    </row>
    <row r="24" ht="14.25" hidden="1" customHeight="1">
      <c r="O24" s="490"/>
      <c r="P24" s="60"/>
      <c r="AS24" s="50">
        <v>0</v>
      </c>
    </row>
    <row r="25" ht="14.65" customHeight="1">
      <c r="Q25" s="548"/>
      <c r="R25" s="548"/>
      <c r="S25" s="549"/>
      <c r="T25" s="91"/>
      <c r="U25" s="91"/>
      <c r="V25" s="50"/>
      <c r="W25" s="50"/>
      <c r="X25" s="50"/>
      <c r="Y25" s="50"/>
      <c r="Z25" s="50"/>
      <c r="AA25" s="50"/>
      <c r="AB25" s="50"/>
      <c r="AC25" s="50"/>
      <c r="AD25" s="50"/>
      <c r="AE25" s="50"/>
      <c r="AF25" s="50"/>
      <c r="AG25" s="50"/>
      <c r="AH25" s="50"/>
      <c r="AI25" s="50"/>
      <c r="AJ25" s="50"/>
      <c r="AK25" s="50"/>
      <c r="AS25" s="50">
        <v>14</v>
      </c>
    </row>
    <row r="26" ht="14.65" customHeight="1">
      <c r="Q26" s="548"/>
      <c r="R26" s="548"/>
      <c r="S26" s="461" t="str">
        <f>IF(TEMPLATE_GROUP="P",PT_P_FORM_HEAT_4_NAME_FORM,PT_R_FORM_HEAT_21_NAME_FORM)</f>
        <v xml:space="preserve">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461"/>
      <c r="U26" s="461"/>
      <c r="V26" s="461"/>
      <c r="W26" s="461"/>
      <c r="X26" s="461"/>
      <c r="Y26" s="461"/>
      <c r="Z26" s="461"/>
      <c r="AA26" s="461"/>
      <c r="AB26" s="461"/>
      <c r="AC26" s="461"/>
      <c r="AD26" s="461"/>
      <c r="AE26" s="461"/>
      <c r="AF26" s="461"/>
      <c r="AG26" s="461"/>
      <c r="AH26" s="461"/>
      <c r="AI26" s="461"/>
      <c r="AJ26" s="461"/>
      <c r="AK26" s="240"/>
      <c r="AS26" s="50">
        <v>14</v>
      </c>
    </row>
    <row r="27" ht="14.65" customHeight="1">
      <c r="Q27" s="548"/>
      <c r="R27" s="548"/>
      <c r="S27" s="316" t="str">
        <f>IF(org=0,"Не определено",org)</f>
        <v xml:space="preserve">АО "ДГК"</v>
      </c>
      <c r="T27" s="316"/>
      <c r="U27" s="316"/>
      <c r="V27" s="316"/>
      <c r="W27" s="316"/>
      <c r="X27" s="316"/>
      <c r="Y27" s="316"/>
      <c r="Z27" s="316"/>
      <c r="AA27" s="316"/>
      <c r="AB27" s="316"/>
      <c r="AC27" s="316"/>
      <c r="AD27" s="316"/>
      <c r="AE27" s="316"/>
      <c r="AF27" s="316"/>
      <c r="AG27" s="316"/>
      <c r="AH27" s="316"/>
      <c r="AI27" s="316"/>
      <c r="AJ27" s="316"/>
      <c r="AK27" s="240"/>
      <c r="AS27" s="50">
        <v>14</v>
      </c>
    </row>
    <row r="28" ht="14.25" hidden="1" customHeight="1">
      <c r="Q28" s="548"/>
      <c r="R28" s="548"/>
      <c r="S28" s="549"/>
      <c r="T28" s="91"/>
      <c r="U28" s="91"/>
      <c r="V28" s="550"/>
      <c r="W28" s="550"/>
      <c r="X28" s="550"/>
      <c r="Y28" s="550"/>
      <c r="Z28" s="550"/>
      <c r="AA28" s="550"/>
      <c r="AB28" s="550"/>
      <c r="AC28" s="550"/>
      <c r="AD28" s="550"/>
      <c r="AE28" s="550"/>
      <c r="AF28" s="550"/>
      <c r="AG28" s="550"/>
      <c r="AH28" s="550"/>
      <c r="AI28" s="550"/>
      <c r="AJ28" s="550"/>
      <c r="AK28" s="550"/>
      <c r="AL28" s="50"/>
      <c r="AS28" s="50">
        <v>0</v>
      </c>
    </row>
    <row r="29" s="184" customFormat="1" ht="25.5" hidden="1" customHeight="1">
      <c r="A29" s="151"/>
      <c r="B29" s="151"/>
      <c r="C29" s="151"/>
      <c r="D29" s="151"/>
      <c r="E29" s="151"/>
      <c r="F29" s="151"/>
      <c r="G29" s="151"/>
      <c r="H29" s="151"/>
      <c r="I29" s="151"/>
      <c r="J29" s="151"/>
      <c r="K29" s="151"/>
      <c r="L29" s="490"/>
      <c r="M29" s="151"/>
      <c r="N29" s="151"/>
      <c r="O29" s="151"/>
      <c r="S29" s="551" t="s">
        <v>42</v>
      </c>
      <c r="T29" s="551"/>
      <c r="U29" s="552"/>
      <c r="V29" s="553" t="str">
        <f>IF(TITLE_NAME_OR_PR_CHANGE="",IF(TITLE_NAME_OR_PR="","",TITLE_NAME_OR_PR),TITLE_NAME_OR_PR_CHANGE)</f>
        <v/>
      </c>
      <c r="W29" s="553"/>
      <c r="X29" s="553"/>
      <c r="Y29" s="553"/>
      <c r="Z29" s="553"/>
      <c r="AA29" s="553"/>
      <c r="AB29" s="553"/>
      <c r="AC29" s="50"/>
      <c r="AD29" s="553" t="str">
        <f>IF(TITLE_NAME_OR_PR_CHANGE="",IF(TITLE_NAME_OR_PR="","",TITLE_NAME_OR_PR),TITLE_NAME_OR_PR_CHANGE)</f>
        <v/>
      </c>
      <c r="AE29" s="553"/>
      <c r="AF29" s="553"/>
      <c r="AG29" s="553"/>
      <c r="AH29" s="553"/>
      <c r="AI29" s="553"/>
      <c r="AJ29" s="553"/>
      <c r="AK29" s="50"/>
      <c r="AL29" s="50"/>
      <c r="AM29" s="554"/>
      <c r="AN29" s="129"/>
      <c r="AO29" s="129"/>
      <c r="AP29" s="129"/>
      <c r="AQ29" s="129"/>
      <c r="AR29" s="129"/>
      <c r="AS29" s="184">
        <v>0</v>
      </c>
    </row>
    <row r="30" s="184" customFormat="1" ht="18.75" hidden="1" customHeight="1">
      <c r="A30" s="151"/>
      <c r="B30" s="151"/>
      <c r="C30" s="151"/>
      <c r="D30" s="151"/>
      <c r="E30" s="151"/>
      <c r="F30" s="151"/>
      <c r="G30" s="151"/>
      <c r="H30" s="151"/>
      <c r="I30" s="151"/>
      <c r="J30" s="151"/>
      <c r="K30" s="151"/>
      <c r="L30" s="490"/>
      <c r="M30" s="151"/>
      <c r="N30" s="151"/>
      <c r="O30" s="151"/>
      <c r="S30" s="551" t="s">
        <v>425</v>
      </c>
      <c r="T30" s="551"/>
      <c r="U30" s="552"/>
      <c r="V30" s="555">
        <f>IF(TITLE_DATE_PR_CHANGE="",IF(TITLE_DATE_PR="","",TITLE_DATE_PR),TITLE_DATE_PR_CHANGE)</f>
        <v>46212.428518518522</v>
      </c>
      <c r="W30" s="555"/>
      <c r="X30" s="555"/>
      <c r="Y30" s="555"/>
      <c r="Z30" s="555"/>
      <c r="AA30" s="555"/>
      <c r="AB30" s="555"/>
      <c r="AC30" s="50"/>
      <c r="AD30" s="555">
        <f>IF(TITLE_DATE_PR_CHANGE="",IF(TITLE_DATE_PR="","",TITLE_DATE_PR),TITLE_DATE_PR_CHANGE)</f>
        <v>46212.428518518522</v>
      </c>
      <c r="AE30" s="555"/>
      <c r="AF30" s="555"/>
      <c r="AG30" s="555"/>
      <c r="AH30" s="555"/>
      <c r="AI30" s="555"/>
      <c r="AJ30" s="555"/>
      <c r="AK30" s="50"/>
      <c r="AL30" s="50"/>
      <c r="AM30" s="554"/>
      <c r="AN30" s="129"/>
      <c r="AO30" s="129"/>
      <c r="AP30" s="129"/>
      <c r="AQ30" s="129"/>
      <c r="AR30" s="129"/>
      <c r="AS30" s="184">
        <v>0</v>
      </c>
    </row>
    <row r="31" s="184" customFormat="1" ht="18.75" hidden="1" customHeight="1">
      <c r="A31" s="151"/>
      <c r="B31" s="151"/>
      <c r="C31" s="151"/>
      <c r="D31" s="151"/>
      <c r="E31" s="151"/>
      <c r="F31" s="151"/>
      <c r="G31" s="151"/>
      <c r="H31" s="151"/>
      <c r="I31" s="151"/>
      <c r="J31" s="151"/>
      <c r="K31" s="151"/>
      <c r="L31" s="490"/>
      <c r="M31" s="151"/>
      <c r="N31" s="151"/>
      <c r="O31" s="151"/>
      <c r="S31" s="551" t="s">
        <v>426</v>
      </c>
      <c r="T31" s="551"/>
      <c r="U31" s="552"/>
      <c r="V31" s="553" t="str">
        <f>IF(TITLE_NUMBER_PR_CHANGE="",IF(TITLE_NUMBER_PR="","",TITLE_NUMBER_PR),TITLE_NUMBER_PR_CHANGE)</f>
        <v>Исх-260/1397</v>
      </c>
      <c r="W31" s="553"/>
      <c r="X31" s="553"/>
      <c r="Y31" s="553"/>
      <c r="Z31" s="553"/>
      <c r="AA31" s="553"/>
      <c r="AB31" s="553"/>
      <c r="AC31" s="50"/>
      <c r="AD31" s="553" t="str">
        <f>IF(TITLE_NUMBER_PR_CHANGE="",IF(TITLE_NUMBER_PR="","",TITLE_NUMBER_PR),TITLE_NUMBER_PR_CHANGE)</f>
        <v>Исх-260/1397</v>
      </c>
      <c r="AE31" s="553"/>
      <c r="AF31" s="553"/>
      <c r="AG31" s="553"/>
      <c r="AH31" s="553"/>
      <c r="AI31" s="553"/>
      <c r="AJ31" s="553"/>
      <c r="AK31" s="50"/>
      <c r="AL31" s="50"/>
      <c r="AM31" s="554"/>
      <c r="AN31" s="129"/>
      <c r="AO31" s="129"/>
      <c r="AP31" s="129"/>
      <c r="AQ31" s="129"/>
      <c r="AR31" s="129"/>
      <c r="AS31" s="184">
        <v>0</v>
      </c>
    </row>
    <row r="32" s="184" customFormat="1" ht="18.75" hidden="1" customHeight="1">
      <c r="A32" s="151"/>
      <c r="B32" s="151"/>
      <c r="C32" s="151"/>
      <c r="D32" s="151"/>
      <c r="E32" s="151"/>
      <c r="F32" s="151"/>
      <c r="G32" s="151"/>
      <c r="H32" s="151"/>
      <c r="I32" s="151"/>
      <c r="J32" s="151"/>
      <c r="K32" s="151"/>
      <c r="L32" s="490"/>
      <c r="M32" s="151"/>
      <c r="N32" s="151"/>
      <c r="O32" s="151"/>
      <c r="S32" s="551" t="s">
        <v>43</v>
      </c>
      <c r="T32" s="551"/>
      <c r="U32" s="552"/>
      <c r="V32" s="553" t="str">
        <f>IF(TITLE_IST_PUB_CHANGE="",IF(TITLE_IST_PUB="","",TITLE_IST_PUB),TITLE_IST_PUB_CHANGE)</f>
        <v/>
      </c>
      <c r="W32" s="553"/>
      <c r="X32" s="553"/>
      <c r="Y32" s="553"/>
      <c r="Z32" s="553"/>
      <c r="AA32" s="553"/>
      <c r="AB32" s="553"/>
      <c r="AC32" s="50"/>
      <c r="AD32" s="553" t="str">
        <f>IF(TITLE_IST_PUB_CHANGE="",IF(TITLE_IST_PUB="","",TITLE_IST_PUB),TITLE_IST_PUB_CHANGE)</f>
        <v/>
      </c>
      <c r="AE32" s="553"/>
      <c r="AF32" s="553"/>
      <c r="AG32" s="553"/>
      <c r="AH32" s="553"/>
      <c r="AI32" s="553"/>
      <c r="AJ32" s="553"/>
      <c r="AK32" s="50"/>
      <c r="AL32" s="50"/>
      <c r="AM32" s="554"/>
      <c r="AN32" s="129"/>
      <c r="AO32" s="129"/>
      <c r="AP32" s="129"/>
      <c r="AQ32" s="129"/>
      <c r="AR32" s="129"/>
      <c r="AS32" s="184">
        <v>0</v>
      </c>
    </row>
    <row r="33" ht="14.25" customHeight="1">
      <c r="P33" s="60"/>
      <c r="Q33" s="548"/>
      <c r="R33" s="548"/>
      <c r="S33" s="549"/>
      <c r="T33" s="91"/>
      <c r="U33" s="91"/>
      <c r="V33" s="550"/>
      <c r="W33" s="550"/>
      <c r="X33" s="550"/>
      <c r="Y33" s="550"/>
      <c r="Z33" s="550"/>
      <c r="AA33" s="550"/>
      <c r="AB33" s="550"/>
      <c r="AC33" s="550"/>
      <c r="AD33" s="550"/>
      <c r="AE33" s="550"/>
      <c r="AF33" s="550"/>
      <c r="AG33" s="550"/>
      <c r="AH33" s="550"/>
      <c r="AI33" s="550"/>
      <c r="AJ33" s="550"/>
      <c r="AK33" s="550"/>
      <c r="AL33" s="50"/>
      <c r="AS33" s="50">
        <v>0</v>
      </c>
    </row>
    <row r="34" s="184" customFormat="1" ht="18.75" customHeight="1">
      <c r="A34" s="151"/>
      <c r="B34" s="151"/>
      <c r="C34" s="151"/>
      <c r="D34" s="151"/>
      <c r="E34" s="151"/>
      <c r="F34" s="151"/>
      <c r="G34" s="151"/>
      <c r="H34" s="151"/>
      <c r="I34" s="151"/>
      <c r="J34" s="151"/>
      <c r="K34" s="151"/>
      <c r="L34" s="490"/>
      <c r="M34" s="151"/>
      <c r="N34" s="151"/>
      <c r="O34" s="151"/>
      <c r="S34" s="551" t="s">
        <v>427</v>
      </c>
      <c r="T34" s="551"/>
      <c r="U34" s="552"/>
      <c r="V34" s="555">
        <f>IF(TITLE_DATE_PR_CHANGE="",IF(TITLE_DATE_PR="","",TITLE_DATE_PR),TITLE_DATE_PR_CHANGE)</f>
        <v>46212.428518518522</v>
      </c>
      <c r="W34" s="555"/>
      <c r="X34" s="555"/>
      <c r="Y34" s="555"/>
      <c r="Z34" s="555"/>
      <c r="AA34" s="555"/>
      <c r="AB34" s="555"/>
      <c r="AC34" s="50"/>
      <c r="AD34" s="555">
        <f>IF(TITLE_DATE_PR_CHANGE="",IF(TITLE_DATE_PR="","",TITLE_DATE_PR),TITLE_DATE_PR_CHANGE)</f>
        <v>46212.428518518522</v>
      </c>
      <c r="AE34" s="555"/>
      <c r="AF34" s="555"/>
      <c r="AG34" s="555"/>
      <c r="AH34" s="555"/>
      <c r="AI34" s="555"/>
      <c r="AJ34" s="555"/>
      <c r="AK34" s="50"/>
      <c r="AL34" s="50"/>
      <c r="AM34" s="554"/>
      <c r="AN34" s="129"/>
      <c r="AO34" s="129"/>
      <c r="AP34" s="129"/>
      <c r="AQ34" s="129"/>
      <c r="AR34" s="129"/>
      <c r="AS34" s="184">
        <v>0</v>
      </c>
    </row>
    <row r="35" s="184" customFormat="1" ht="18.75" customHeight="1">
      <c r="A35" s="151"/>
      <c r="B35" s="151"/>
      <c r="C35" s="151"/>
      <c r="D35" s="151"/>
      <c r="E35" s="151"/>
      <c r="F35" s="151"/>
      <c r="G35" s="151"/>
      <c r="H35" s="151"/>
      <c r="I35" s="151"/>
      <c r="J35" s="151"/>
      <c r="K35" s="151"/>
      <c r="L35" s="490"/>
      <c r="M35" s="151"/>
      <c r="N35" s="151"/>
      <c r="O35" s="151"/>
      <c r="S35" s="551" t="s">
        <v>428</v>
      </c>
      <c r="T35" s="551"/>
      <c r="U35" s="552"/>
      <c r="V35" s="553" t="str">
        <f>IF(TITLE_NUMBER_PR_CHANGE="",IF(TITLE_NUMBER_PR="","",TITLE_NUMBER_PR),TITLE_NUMBER_PR_CHANGE)</f>
        <v>Исх-260/1397</v>
      </c>
      <c r="W35" s="553"/>
      <c r="X35" s="553"/>
      <c r="Y35" s="553"/>
      <c r="Z35" s="553"/>
      <c r="AA35" s="553"/>
      <c r="AB35" s="553"/>
      <c r="AC35" s="50"/>
      <c r="AD35" s="553" t="str">
        <f>IF(TITLE_NUMBER_PR_CHANGE="",IF(TITLE_NUMBER_PR="","",TITLE_NUMBER_PR),TITLE_NUMBER_PR_CHANGE)</f>
        <v>Исх-260/1397</v>
      </c>
      <c r="AE35" s="553"/>
      <c r="AF35" s="553"/>
      <c r="AG35" s="553"/>
      <c r="AH35" s="553"/>
      <c r="AI35" s="553"/>
      <c r="AJ35" s="553"/>
      <c r="AK35" s="50"/>
      <c r="AL35" s="50"/>
      <c r="AM35" s="554"/>
      <c r="AN35" s="129"/>
      <c r="AO35" s="129"/>
      <c r="AP35" s="129"/>
      <c r="AQ35" s="129"/>
      <c r="AR35" s="129"/>
      <c r="AS35" s="184">
        <v>0</v>
      </c>
    </row>
    <row r="36" s="184" customFormat="1" ht="0" customHeight="1">
      <c r="A36" s="151"/>
      <c r="B36" s="151"/>
      <c r="C36" s="151"/>
      <c r="D36" s="151"/>
      <c r="E36" s="151"/>
      <c r="F36" s="151"/>
      <c r="G36" s="151"/>
      <c r="H36" s="151"/>
      <c r="I36" s="151"/>
      <c r="J36" s="151"/>
      <c r="K36" s="151"/>
      <c r="L36" s="490"/>
      <c r="M36" s="151"/>
      <c r="N36" s="151"/>
      <c r="O36" s="151"/>
      <c r="S36" s="50"/>
      <c r="T36" s="50"/>
      <c r="U36" s="140"/>
      <c r="V36" s="50"/>
      <c r="W36" s="50"/>
      <c r="X36" s="50"/>
      <c r="Y36" s="50"/>
      <c r="Z36" s="50"/>
      <c r="AA36" s="50"/>
      <c r="AB36" s="50"/>
      <c r="AC36" s="57" t="s">
        <v>429</v>
      </c>
      <c r="AD36" s="50"/>
      <c r="AE36" s="50"/>
      <c r="AF36" s="50"/>
      <c r="AG36" s="50"/>
      <c r="AH36" s="50"/>
      <c r="AI36" s="50"/>
      <c r="AJ36" s="50"/>
      <c r="AK36" s="57" t="s">
        <v>429</v>
      </c>
      <c r="AN36" s="129"/>
      <c r="AO36" s="129"/>
      <c r="AP36" s="129"/>
      <c r="AQ36" s="129"/>
      <c r="AR36" s="129"/>
      <c r="AS36" s="184">
        <v>0</v>
      </c>
    </row>
    <row r="37" ht="14.65" customHeight="1">
      <c r="Q37" s="548"/>
      <c r="R37" s="548"/>
      <c r="S37" s="549"/>
      <c r="T37" s="91"/>
      <c r="U37" s="556"/>
      <c r="V37" s="557"/>
      <c r="W37" s="557"/>
      <c r="X37" s="557"/>
      <c r="Y37" s="557"/>
      <c r="Z37" s="557"/>
      <c r="AA37" s="557"/>
      <c r="AB37" s="557"/>
      <c r="AC37" s="557"/>
      <c r="AD37" s="557"/>
      <c r="AE37" s="557"/>
      <c r="AF37" s="557"/>
      <c r="AG37" s="557"/>
      <c r="AH37" s="557"/>
      <c r="AI37" s="557"/>
      <c r="AJ37" s="557"/>
      <c r="AK37" s="557"/>
      <c r="AS37" s="50">
        <v>14</v>
      </c>
    </row>
    <row r="38" ht="14.65" customHeight="1">
      <c r="Q38" s="548"/>
      <c r="R38" s="548"/>
      <c r="S38" s="157" t="s">
        <v>305</v>
      </c>
      <c r="T38" s="157"/>
      <c r="U38" s="157"/>
      <c r="V38" s="157"/>
      <c r="W38" s="157"/>
      <c r="X38" s="157"/>
      <c r="Y38" s="157"/>
      <c r="Z38" s="157"/>
      <c r="AA38" s="157"/>
      <c r="AB38" s="157"/>
      <c r="AC38" s="157"/>
      <c r="AD38" s="157"/>
      <c r="AE38" s="157"/>
      <c r="AF38" s="157"/>
      <c r="AG38" s="157"/>
      <c r="AH38" s="157"/>
      <c r="AI38" s="157"/>
      <c r="AJ38" s="157"/>
      <c r="AK38" s="157"/>
      <c r="AL38" s="157"/>
      <c r="AM38" s="157" t="s">
        <v>306</v>
      </c>
      <c r="AS38" s="50">
        <v>14</v>
      </c>
    </row>
    <row r="39" ht="14.65" customHeight="1">
      <c r="Q39" s="548"/>
      <c r="R39" s="548"/>
      <c r="S39" s="493" t="s">
        <v>89</v>
      </c>
      <c r="T39" s="358" t="s">
        <v>430</v>
      </c>
      <c r="U39" s="558"/>
      <c r="V39" s="559" t="s">
        <v>431</v>
      </c>
      <c r="W39" s="560"/>
      <c r="X39" s="560"/>
      <c r="Y39" s="560"/>
      <c r="Z39" s="560"/>
      <c r="AA39" s="560"/>
      <c r="AB39" s="561"/>
      <c r="AC39" s="562" t="s">
        <v>432</v>
      </c>
      <c r="AD39" s="559" t="s">
        <v>431</v>
      </c>
      <c r="AE39" s="560"/>
      <c r="AF39" s="560"/>
      <c r="AG39" s="560"/>
      <c r="AH39" s="560"/>
      <c r="AI39" s="560"/>
      <c r="AJ39" s="561"/>
      <c r="AK39" s="562" t="s">
        <v>433</v>
      </c>
      <c r="AL39" s="563" t="s">
        <v>434</v>
      </c>
      <c r="AM39" s="157"/>
      <c r="AS39" s="50">
        <v>14</v>
      </c>
    </row>
    <row r="40" ht="35.649999999999999" customHeight="1">
      <c r="Q40" s="548"/>
      <c r="R40" s="548"/>
      <c r="S40" s="493"/>
      <c r="T40" s="358"/>
      <c r="U40" s="564"/>
      <c r="V40" s="320" t="s">
        <v>435</v>
      </c>
      <c r="W40" s="565" t="s">
        <v>436</v>
      </c>
      <c r="X40" s="73" t="s">
        <v>437</v>
      </c>
      <c r="Y40" s="72"/>
      <c r="Z40" s="73" t="s">
        <v>438</v>
      </c>
      <c r="AA40" s="145"/>
      <c r="AB40" s="72"/>
      <c r="AC40" s="566"/>
      <c r="AD40" s="320" t="s">
        <v>435</v>
      </c>
      <c r="AE40" s="565" t="s">
        <v>436</v>
      </c>
      <c r="AF40" s="73" t="s">
        <v>437</v>
      </c>
      <c r="AG40" s="72"/>
      <c r="AH40" s="73" t="s">
        <v>438</v>
      </c>
      <c r="AI40" s="145"/>
      <c r="AJ40" s="72"/>
      <c r="AK40" s="566"/>
      <c r="AL40" s="567"/>
      <c r="AM40" s="157"/>
      <c r="AS40" s="50">
        <v>34</v>
      </c>
    </row>
    <row r="41" ht="35.649999999999999" customHeight="1">
      <c r="A41" s="151"/>
      <c r="B41" s="151" t="s">
        <v>135</v>
      </c>
      <c r="C41" s="151" t="s">
        <v>136</v>
      </c>
      <c r="D41" s="151" t="s">
        <v>137</v>
      </c>
      <c r="E41" s="490" t="s">
        <v>439</v>
      </c>
      <c r="F41" s="490" t="s">
        <v>440</v>
      </c>
      <c r="G41" s="490" t="s">
        <v>441</v>
      </c>
      <c r="H41" s="490" t="s">
        <v>442</v>
      </c>
      <c r="I41" s="490" t="s">
        <v>443</v>
      </c>
      <c r="J41" s="490" t="s">
        <v>444</v>
      </c>
      <c r="K41" s="490" t="s">
        <v>445</v>
      </c>
      <c r="L41" s="490" t="s">
        <v>420</v>
      </c>
      <c r="Q41" s="548"/>
      <c r="R41" s="548"/>
      <c r="S41" s="493"/>
      <c r="T41" s="358"/>
      <c r="U41" s="568"/>
      <c r="V41" s="162"/>
      <c r="W41" s="569"/>
      <c r="X41" s="246" t="s">
        <v>446</v>
      </c>
      <c r="Y41" s="246" t="s">
        <v>447</v>
      </c>
      <c r="Z41" s="246" t="s">
        <v>448</v>
      </c>
      <c r="AA41" s="424" t="s">
        <v>449</v>
      </c>
      <c r="AB41" s="426"/>
      <c r="AC41" s="570"/>
      <c r="AD41" s="162"/>
      <c r="AE41" s="569"/>
      <c r="AF41" s="246" t="s">
        <v>446</v>
      </c>
      <c r="AG41" s="246" t="s">
        <v>447</v>
      </c>
      <c r="AH41" s="246" t="s">
        <v>448</v>
      </c>
      <c r="AI41" s="424" t="s">
        <v>449</v>
      </c>
      <c r="AJ41" s="426"/>
      <c r="AK41" s="570"/>
      <c r="AL41" s="571"/>
      <c r="AM41" s="157"/>
      <c r="AS41" s="50">
        <v>34</v>
      </c>
    </row>
    <row r="42" s="131" customFormat="1" ht="11.25" hidden="1" customHeight="1">
      <c r="A42" s="151"/>
      <c r="B42" s="151"/>
      <c r="C42" s="151"/>
      <c r="D42" s="151"/>
      <c r="E42" s="151"/>
      <c r="F42" s="151"/>
      <c r="G42" s="151"/>
      <c r="H42" s="151"/>
      <c r="I42" s="151"/>
      <c r="J42" s="151"/>
      <c r="K42" s="151"/>
      <c r="L42" s="490"/>
      <c r="M42" s="61"/>
      <c r="N42" s="61"/>
      <c r="O42" s="61"/>
      <c r="P42" s="572"/>
      <c r="Q42" s="573"/>
      <c r="R42" s="574">
        <v>1</v>
      </c>
      <c r="S42" s="575" t="s">
        <v>109</v>
      </c>
      <c r="T42" s="576" t="s">
        <v>110</v>
      </c>
      <c r="U42" s="577" t="str">
        <f ca="1">OFFSET(U42,0,-1)</f>
        <v>2</v>
      </c>
      <c r="V42" s="578">
        <f ca="1">OFFSET(V42,0,-1)+1</f>
        <v>3</v>
      </c>
      <c r="W42" s="578"/>
      <c r="X42" s="578">
        <f ca="1">OFFSET(X42,0,-1)+1</f>
        <v>1</v>
      </c>
      <c r="Y42" s="578">
        <f ca="1">OFFSET(Y42,0,-1)+1</f>
        <v>2</v>
      </c>
      <c r="Z42" s="578">
        <f ca="1">OFFSET(Z42,0,-1)+1</f>
        <v>3</v>
      </c>
      <c r="AA42" s="578">
        <f ca="1">OFFSET(AA42,0,-1)+1</f>
        <v>4</v>
      </c>
      <c r="AB42" s="578"/>
      <c r="AC42" s="578">
        <f ca="1">OFFSET(AC42,0,-2)+1</f>
        <v>5</v>
      </c>
      <c r="AD42" s="578">
        <f ca="1">OFFSET(AD42,0,-1)+1</f>
        <v>6</v>
      </c>
      <c r="AE42" s="578"/>
      <c r="AF42" s="578">
        <f ca="1">OFFSET(AF42,0,-1)+1</f>
        <v>1</v>
      </c>
      <c r="AG42" s="578">
        <f ca="1">OFFSET(AG42,0,-1)+1</f>
        <v>2</v>
      </c>
      <c r="AH42" s="578">
        <f ca="1">OFFSET(AH42,0,-1)+1</f>
        <v>3</v>
      </c>
      <c r="AI42" s="578">
        <f ca="1">OFFSET(AI42,0,-1)+1</f>
        <v>4</v>
      </c>
      <c r="AJ42" s="578"/>
      <c r="AK42" s="578">
        <f ca="1">OFFSET(AK42,0,-2)+1</f>
        <v>5</v>
      </c>
      <c r="AL42" s="577">
        <f ca="1">OFFSET(AL42,0,-1)</f>
        <v>5</v>
      </c>
      <c r="AM42" s="578">
        <f ca="1">OFFSET(AM42,0,-1)+1</f>
        <v>6</v>
      </c>
      <c r="AN42" s="57"/>
      <c r="AO42" s="57"/>
      <c r="AP42" s="57"/>
      <c r="AQ42" s="57"/>
      <c r="AR42" s="57"/>
      <c r="AS42" s="131">
        <v>0</v>
      </c>
    </row>
    <row r="43" ht="24" customHeight="1">
      <c r="A43" s="488" t="s">
        <v>156</v>
      </c>
      <c r="B43" s="488"/>
      <c r="C43" s="488"/>
      <c r="D43" s="488"/>
      <c r="E43" s="489">
        <v>1</v>
      </c>
      <c r="F43" s="488"/>
      <c r="G43" s="488"/>
      <c r="H43" s="488"/>
      <c r="I43" s="488"/>
      <c r="J43" s="488"/>
      <c r="K43" s="488"/>
      <c r="L43" s="490"/>
      <c r="M43" s="491"/>
      <c r="N43" s="491"/>
      <c r="O43" s="491"/>
      <c r="P43" s="60"/>
      <c r="Q43" s="143"/>
      <c r="R43" s="492"/>
      <c r="S43" s="493">
        <f>INDEX(PT_DIFFERENTIATION_NUM_NTAR,MATCH(A43,PT_DIFFERENTIATION_NTAR_ID,0))</f>
        <v>0</v>
      </c>
      <c r="T43" s="494" t="s">
        <v>123</v>
      </c>
      <c r="U43" s="495"/>
      <c r="V43" s="496"/>
      <c r="W43" s="497"/>
      <c r="X43" s="497"/>
      <c r="Y43" s="497"/>
      <c r="Z43" s="497"/>
      <c r="AA43" s="497"/>
      <c r="AB43" s="497"/>
      <c r="AC43" s="498"/>
      <c r="AD43" s="496" t="str">
        <f>INDEX(PT_DIFFERENTIATION_NTAR,MATCH(A43,PT_DIFFERENTIATION_NTAR_ID,0))</f>
        <v/>
      </c>
      <c r="AE43" s="497"/>
      <c r="AF43" s="497"/>
      <c r="AG43" s="497"/>
      <c r="AH43" s="497"/>
      <c r="AI43" s="497"/>
      <c r="AJ43" s="497"/>
      <c r="AK43" s="497"/>
      <c r="AL43" s="498"/>
      <c r="AM43" s="49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29"/>
      <c r="AP43" s="129" t="str">
        <f t="shared" si="3"/>
        <v xml:space="preserve">Наименование тарифа</v>
      </c>
      <c r="AQ43" s="129"/>
      <c r="AR43" s="129"/>
      <c r="AS43" s="50">
        <v>23</v>
      </c>
    </row>
    <row r="44" ht="24" customHeight="1">
      <c r="A44" s="488" t="s">
        <v>156</v>
      </c>
      <c r="B44" s="488" t="s">
        <v>157</v>
      </c>
      <c r="C44" s="488"/>
      <c r="D44" s="488"/>
      <c r="E44" s="500"/>
      <c r="F44" s="489">
        <v>1</v>
      </c>
      <c r="G44" s="488"/>
      <c r="H44" s="488"/>
      <c r="I44" s="488"/>
      <c r="J44" s="488"/>
      <c r="K44" s="488"/>
      <c r="L44" s="490"/>
      <c r="M44" s="491"/>
      <c r="N44" s="491"/>
      <c r="O44" s="491"/>
      <c r="P44" s="51"/>
      <c r="Q44" s="501"/>
      <c r="R44" s="502"/>
      <c r="S44" s="493" t="str">
        <f>INDEX(PT_DIFFERENTIATION_NUM_TER,MATCH(B44,PT_DIFFERENTIATION_TER_ID,0))</f>
        <v>.</v>
      </c>
      <c r="T44" s="503" t="s">
        <v>402</v>
      </c>
      <c r="U44" s="495"/>
      <c r="V44" s="496"/>
      <c r="W44" s="497"/>
      <c r="X44" s="497"/>
      <c r="Y44" s="497"/>
      <c r="Z44" s="497"/>
      <c r="AA44" s="497"/>
      <c r="AB44" s="497"/>
      <c r="AC44" s="498"/>
      <c r="AD44" s="496" t="str">
        <f>INDEX(PT_DIFFERENTIATION_TER,MATCH(B44,PT_DIFFERENTIATION_TER_ID,0))</f>
        <v/>
      </c>
      <c r="AE44" s="497"/>
      <c r="AF44" s="497"/>
      <c r="AG44" s="497"/>
      <c r="AH44" s="497"/>
      <c r="AI44" s="497"/>
      <c r="AJ44" s="497"/>
      <c r="AK44" s="497"/>
      <c r="AL44" s="498"/>
      <c r="AM44" s="499" t="s">
        <v>403</v>
      </c>
      <c r="AO44" s="129"/>
      <c r="AP44" s="129" t="str">
        <f t="shared" si="3"/>
        <v xml:space="preserve">Территория действия тарифа</v>
      </c>
      <c r="AQ44" s="129"/>
      <c r="AR44" s="129"/>
      <c r="AS44" s="50">
        <v>23</v>
      </c>
    </row>
    <row r="45" ht="24" customHeight="1">
      <c r="A45" s="488" t="s">
        <v>156</v>
      </c>
      <c r="B45" s="488" t="s">
        <v>157</v>
      </c>
      <c r="C45" s="488" t="s">
        <v>158</v>
      </c>
      <c r="D45" s="488"/>
      <c r="E45" s="500"/>
      <c r="F45" s="500"/>
      <c r="G45" s="489">
        <v>1</v>
      </c>
      <c r="H45" s="488"/>
      <c r="I45" s="488"/>
      <c r="J45" s="488"/>
      <c r="K45" s="488"/>
      <c r="L45" s="490"/>
      <c r="M45" s="491"/>
      <c r="N45" s="491"/>
      <c r="O45" s="491"/>
      <c r="P45" s="504"/>
      <c r="Q45" s="501"/>
      <c r="R45" s="502"/>
      <c r="S45" s="493" t="str">
        <f>INDEX(PT_DIFFERENTIATION_NUM_CS,MATCH(C45,PT_DIFFERENTIATION_CS_ID,0))</f>
        <v>..</v>
      </c>
      <c r="T45" s="505" t="s">
        <v>404</v>
      </c>
      <c r="U45" s="495"/>
      <c r="V45" s="496"/>
      <c r="W45" s="497"/>
      <c r="X45" s="497"/>
      <c r="Y45" s="497"/>
      <c r="Z45" s="497"/>
      <c r="AA45" s="497"/>
      <c r="AB45" s="497"/>
      <c r="AC45" s="498"/>
      <c r="AD45" s="496" t="str">
        <f>INDEX(PT_DIFFERENTIATION_CS,MATCH(C45,PT_DIFFERENTIATION_CS_ID,0))</f>
        <v/>
      </c>
      <c r="AE45" s="497"/>
      <c r="AF45" s="497"/>
      <c r="AG45" s="497"/>
      <c r="AH45" s="497"/>
      <c r="AI45" s="497"/>
      <c r="AJ45" s="497"/>
      <c r="AK45" s="497"/>
      <c r="AL45" s="498"/>
      <c r="AM45" s="499" t="s">
        <v>405</v>
      </c>
      <c r="AO45" s="129"/>
      <c r="AP45" s="129" t="str">
        <f t="shared" si="3"/>
        <v xml:space="preserve">Наименование системы теплоснабжения </v>
      </c>
      <c r="AQ45" s="129"/>
      <c r="AR45" s="129"/>
      <c r="AS45" s="50">
        <v>23</v>
      </c>
    </row>
    <row r="46" ht="24" customHeight="1">
      <c r="A46" s="488" t="s">
        <v>156</v>
      </c>
      <c r="B46" s="488" t="s">
        <v>157</v>
      </c>
      <c r="C46" s="488" t="s">
        <v>158</v>
      </c>
      <c r="D46" s="488" t="s">
        <v>159</v>
      </c>
      <c r="E46" s="500"/>
      <c r="F46" s="500"/>
      <c r="G46" s="500"/>
      <c r="H46" s="489">
        <v>1</v>
      </c>
      <c r="I46" s="488"/>
      <c r="J46" s="488"/>
      <c r="K46" s="488"/>
      <c r="L46" s="490"/>
      <c r="M46" s="491"/>
      <c r="N46" s="491"/>
      <c r="O46" s="491"/>
      <c r="P46" s="504"/>
      <c r="Q46" s="501"/>
      <c r="R46" s="502"/>
      <c r="S46" s="493" t="str">
        <f>INDEX(PT_DIFFERENTIATION_NUM_IST_TE,MATCH(D46,PT_DIFFERENTIATION_IST_TE_ID,0))</f>
        <v>...</v>
      </c>
      <c r="T46" s="506" t="s">
        <v>406</v>
      </c>
      <c r="U46" s="495"/>
      <c r="V46" s="496"/>
      <c r="W46" s="497"/>
      <c r="X46" s="497"/>
      <c r="Y46" s="497"/>
      <c r="Z46" s="497"/>
      <c r="AA46" s="497"/>
      <c r="AB46" s="497"/>
      <c r="AC46" s="498"/>
      <c r="AD46" s="496" t="str">
        <f>INDEX(PT_DIFFERENTIATION_IST_TE,MATCH(D46,PT_DIFFERENTIATION_IST_TE_ID,0))</f>
        <v/>
      </c>
      <c r="AE46" s="497"/>
      <c r="AF46" s="497"/>
      <c r="AG46" s="497"/>
      <c r="AH46" s="497"/>
      <c r="AI46" s="497"/>
      <c r="AJ46" s="497"/>
      <c r="AK46" s="497"/>
      <c r="AL46" s="498"/>
      <c r="AM46" s="499" t="s">
        <v>407</v>
      </c>
      <c r="AO46" s="129"/>
      <c r="AP46" s="129" t="str">
        <f t="shared" si="3"/>
        <v xml:space="preserve">Источник тепловой энергии  </v>
      </c>
      <c r="AQ46" s="129"/>
      <c r="AR46" s="129"/>
      <c r="AS46" s="50">
        <v>23</v>
      </c>
    </row>
    <row r="47" ht="49.5" customHeight="1">
      <c r="A47" s="488" t="s">
        <v>156</v>
      </c>
      <c r="B47" s="488" t="s">
        <v>157</v>
      </c>
      <c r="C47" s="488" t="s">
        <v>158</v>
      </c>
      <c r="D47" s="488" t="s">
        <v>159</v>
      </c>
      <c r="E47" s="500"/>
      <c r="F47" s="500"/>
      <c r="G47" s="500"/>
      <c r="H47" s="500"/>
      <c r="I47" s="507" t="str">
        <f>S46&amp;".1"</f>
        <v>....1</v>
      </c>
      <c r="J47" s="488"/>
      <c r="K47" s="488"/>
      <c r="L47" s="490" t="s">
        <v>408</v>
      </c>
      <c r="P47" s="132">
        <v>1</v>
      </c>
      <c r="Q47" s="132"/>
      <c r="R47" s="508"/>
      <c r="S47" s="493" t="str">
        <f>$I47</f>
        <v>....1</v>
      </c>
      <c r="T47" s="509" t="s">
        <v>409</v>
      </c>
      <c r="U47" s="495"/>
      <c r="V47" s="440"/>
      <c r="W47" s="510"/>
      <c r="X47" s="510"/>
      <c r="Y47" s="510"/>
      <c r="Z47" s="510"/>
      <c r="AA47" s="510"/>
      <c r="AB47" s="510"/>
      <c r="AC47" s="511"/>
      <c r="AD47" s="440"/>
      <c r="AE47" s="510"/>
      <c r="AF47" s="510"/>
      <c r="AG47" s="510"/>
      <c r="AH47" s="510"/>
      <c r="AI47" s="510"/>
      <c r="AJ47" s="510"/>
      <c r="AK47" s="510"/>
      <c r="AL47" s="511"/>
      <c r="AM47" s="499" t="s">
        <v>410</v>
      </c>
      <c r="AO47" s="129"/>
      <c r="AP47" s="129" t="str">
        <f t="shared" si="3"/>
        <v xml:space="preserve">Схема подключения теплопотребляющей установки к коллектору источника тепловой энергии</v>
      </c>
      <c r="AQ47" s="129"/>
      <c r="AR47" s="129"/>
      <c r="AS47" s="50">
        <v>47</v>
      </c>
    </row>
    <row r="48" ht="24" customHeight="1">
      <c r="A48" s="488" t="s">
        <v>156</v>
      </c>
      <c r="B48" s="488" t="s">
        <v>157</v>
      </c>
      <c r="C48" s="488" t="s">
        <v>158</v>
      </c>
      <c r="D48" s="488" t="s">
        <v>159</v>
      </c>
      <c r="E48" s="500"/>
      <c r="F48" s="500"/>
      <c r="G48" s="500"/>
      <c r="H48" s="500"/>
      <c r="I48" s="512"/>
      <c r="J48" s="507" t="str">
        <f>I47&amp;".1"</f>
        <v>....1.1</v>
      </c>
      <c r="K48" s="488"/>
      <c r="L48" s="490" t="s">
        <v>411</v>
      </c>
      <c r="P48" s="132"/>
      <c r="Q48" s="132">
        <v>1</v>
      </c>
      <c r="R48" s="513"/>
      <c r="S48" s="493" t="str">
        <f>$J48</f>
        <v>....1.1</v>
      </c>
      <c r="T48" s="514" t="s">
        <v>412</v>
      </c>
      <c r="U48" s="495"/>
      <c r="V48" s="440"/>
      <c r="W48" s="510"/>
      <c r="X48" s="510"/>
      <c r="Y48" s="510"/>
      <c r="Z48" s="510"/>
      <c r="AA48" s="510"/>
      <c r="AB48" s="510"/>
      <c r="AC48" s="511"/>
      <c r="AD48" s="440"/>
      <c r="AE48" s="510"/>
      <c r="AF48" s="510"/>
      <c r="AG48" s="510"/>
      <c r="AH48" s="510"/>
      <c r="AI48" s="510"/>
      <c r="AJ48" s="510"/>
      <c r="AK48" s="510"/>
      <c r="AL48" s="511"/>
      <c r="AM48" s="499" t="s">
        <v>413</v>
      </c>
      <c r="AO48" s="129"/>
      <c r="AP48" s="129" t="str">
        <f t="shared" si="3"/>
        <v xml:space="preserve">Группа потребителей</v>
      </c>
      <c r="AQ48" s="129"/>
      <c r="AR48" s="129"/>
      <c r="AS48" s="50">
        <v>23</v>
      </c>
    </row>
    <row r="49" ht="24" customHeight="1">
      <c r="A49" s="488" t="s">
        <v>156</v>
      </c>
      <c r="B49" s="488" t="s">
        <v>157</v>
      </c>
      <c r="C49" s="488" t="s">
        <v>158</v>
      </c>
      <c r="D49" s="488" t="s">
        <v>159</v>
      </c>
      <c r="E49" s="500"/>
      <c r="F49" s="500"/>
      <c r="G49" s="500"/>
      <c r="H49" s="500"/>
      <c r="I49" s="512"/>
      <c r="J49" s="512"/>
      <c r="K49" s="507" t="str">
        <f>J48&amp;".1"</f>
        <v>....1.1.1</v>
      </c>
      <c r="L49" s="490" t="s">
        <v>414</v>
      </c>
      <c r="P49" s="132"/>
      <c r="Q49" s="132"/>
      <c r="R49" s="513">
        <v>1</v>
      </c>
      <c r="S49" s="493" t="str">
        <f>$K49</f>
        <v>....1.1.1</v>
      </c>
      <c r="T49" s="515"/>
      <c r="U49" s="495"/>
      <c r="V49" s="516"/>
      <c r="W49" s="517"/>
      <c r="X49" s="516"/>
      <c r="Y49" s="518"/>
      <c r="Z49" s="519"/>
      <c r="AA49" s="224" t="s">
        <v>67</v>
      </c>
      <c r="AB49" s="519"/>
      <c r="AC49" s="224" t="s">
        <v>67</v>
      </c>
      <c r="AD49" s="516"/>
      <c r="AE49" s="517"/>
      <c r="AF49" s="516"/>
      <c r="AG49" s="518"/>
      <c r="AH49" s="519"/>
      <c r="AI49" s="224" t="s">
        <v>67</v>
      </c>
      <c r="AJ49" s="579"/>
      <c r="AK49" s="224" t="s">
        <v>67</v>
      </c>
      <c r="AL49" s="580"/>
      <c r="AM49" s="520" t="s">
        <v>415</v>
      </c>
      <c r="AN49" s="57" t="e">
        <f>STRCHECKDATE(V50:AL50)</f>
        <v>#NAME?</v>
      </c>
      <c r="AO49" s="129"/>
      <c r="AP49" s="129" t="str">
        <f t="shared" si="3"/>
        <v/>
      </c>
      <c r="AQ49" s="129"/>
      <c r="AR49" s="129"/>
      <c r="AS49" s="50">
        <v>23</v>
      </c>
    </row>
    <row r="50" ht="1.05" customHeight="1">
      <c r="A50" s="488" t="s">
        <v>156</v>
      </c>
      <c r="B50" s="488" t="s">
        <v>157</v>
      </c>
      <c r="C50" s="488" t="s">
        <v>158</v>
      </c>
      <c r="D50" s="488" t="s">
        <v>159</v>
      </c>
      <c r="E50" s="500"/>
      <c r="F50" s="500"/>
      <c r="G50" s="500"/>
      <c r="H50" s="500"/>
      <c r="I50" s="512"/>
      <c r="J50" s="512"/>
      <c r="K50" s="507"/>
      <c r="L50" s="490"/>
      <c r="P50" s="132"/>
      <c r="Q50" s="132"/>
      <c r="R50" s="513"/>
      <c r="S50" s="467"/>
      <c r="T50" s="495"/>
      <c r="U50" s="495"/>
      <c r="V50" s="517"/>
      <c r="W50" s="517"/>
      <c r="X50" s="517"/>
      <c r="Y50" s="521" t="str">
        <f>Z49&amp;"-"&amp;AB49</f>
        <v>-</v>
      </c>
      <c r="Z50" s="522"/>
      <c r="AA50" s="224"/>
      <c r="AB50" s="522"/>
      <c r="AC50" s="224"/>
      <c r="AD50" s="517"/>
      <c r="AE50" s="517"/>
      <c r="AF50" s="517"/>
      <c r="AG50" s="521" t="str">
        <f>AH49&amp;"-"&amp;AJ49</f>
        <v>-</v>
      </c>
      <c r="AH50" s="522"/>
      <c r="AI50" s="224"/>
      <c r="AJ50" s="581"/>
      <c r="AK50" s="224"/>
      <c r="AL50" s="582"/>
      <c r="AM50" s="523"/>
      <c r="AO50" s="129"/>
      <c r="AP50" s="129" t="str">
        <f t="shared" si="3"/>
        <v/>
      </c>
      <c r="AQ50" s="129"/>
      <c r="AR50" s="129"/>
      <c r="AS50" s="50">
        <v>1</v>
      </c>
    </row>
    <row r="51" ht="11.5" customHeight="1">
      <c r="A51" s="488" t="s">
        <v>156</v>
      </c>
      <c r="B51" s="488" t="s">
        <v>157</v>
      </c>
      <c r="C51" s="488" t="s">
        <v>158</v>
      </c>
      <c r="D51" s="488" t="s">
        <v>159</v>
      </c>
      <c r="E51" s="500"/>
      <c r="F51" s="500"/>
      <c r="G51" s="500"/>
      <c r="H51" s="500"/>
      <c r="I51" s="512"/>
      <c r="J51" s="507"/>
      <c r="K51" s="488"/>
      <c r="L51" s="490"/>
      <c r="P51" s="132"/>
      <c r="Q51" s="132"/>
      <c r="R51" s="508"/>
      <c r="S51" s="524"/>
      <c r="T51" s="525" t="s">
        <v>416</v>
      </c>
      <c r="U51" s="214"/>
      <c r="V51" s="214"/>
      <c r="W51" s="214"/>
      <c r="X51" s="214"/>
      <c r="Y51" s="214"/>
      <c r="Z51" s="214"/>
      <c r="AA51" s="214"/>
      <c r="AB51" s="214"/>
      <c r="AC51" s="214"/>
      <c r="AD51" s="214"/>
      <c r="AE51" s="214"/>
      <c r="AF51" s="214"/>
      <c r="AG51" s="214"/>
      <c r="AH51" s="214"/>
      <c r="AI51" s="214"/>
      <c r="AJ51" s="214"/>
      <c r="AK51" s="214"/>
      <c r="AL51" s="526"/>
      <c r="AM51" s="527"/>
      <c r="AO51" s="129"/>
      <c r="AP51" s="129" t="str">
        <f t="shared" si="3"/>
        <v xml:space="preserve">Добавить вид теплоносителя (параметры теплоносителя)</v>
      </c>
      <c r="AQ51" s="129"/>
      <c r="AR51" s="129"/>
      <c r="AS51" s="50">
        <v>11</v>
      </c>
    </row>
    <row r="52" ht="11.5" customHeight="1">
      <c r="A52" s="488" t="s">
        <v>156</v>
      </c>
      <c r="B52" s="488" t="s">
        <v>157</v>
      </c>
      <c r="C52" s="488" t="s">
        <v>158</v>
      </c>
      <c r="D52" s="488" t="s">
        <v>159</v>
      </c>
      <c r="E52" s="500"/>
      <c r="F52" s="500"/>
      <c r="G52" s="500"/>
      <c r="H52" s="500"/>
      <c r="I52" s="507"/>
      <c r="J52" s="488"/>
      <c r="K52" s="488"/>
      <c r="L52" s="490"/>
      <c r="P52" s="132"/>
      <c r="Q52" s="132"/>
      <c r="R52" s="508"/>
      <c r="S52" s="524"/>
      <c r="T52" s="528" t="s">
        <v>417</v>
      </c>
      <c r="U52" s="214"/>
      <c r="V52" s="214"/>
      <c r="W52" s="214"/>
      <c r="X52" s="214"/>
      <c r="Y52" s="214"/>
      <c r="Z52" s="214"/>
      <c r="AA52" s="214"/>
      <c r="AB52" s="214"/>
      <c r="AC52" s="529"/>
      <c r="AD52" s="214"/>
      <c r="AE52" s="214"/>
      <c r="AF52" s="214"/>
      <c r="AG52" s="214"/>
      <c r="AH52" s="214"/>
      <c r="AI52" s="214"/>
      <c r="AJ52" s="214"/>
      <c r="AK52" s="529"/>
      <c r="AL52" s="214"/>
      <c r="AM52" s="530"/>
      <c r="AO52" s="129"/>
      <c r="AP52" s="129" t="str">
        <f t="shared" si="3"/>
        <v xml:space="preserve">Добавить группу потребителей</v>
      </c>
      <c r="AQ52" s="129"/>
      <c r="AR52" s="129"/>
      <c r="AS52" s="50">
        <v>11</v>
      </c>
    </row>
    <row r="53" ht="14.65" customHeight="1">
      <c r="A53" s="488" t="s">
        <v>156</v>
      </c>
      <c r="B53" s="488" t="s">
        <v>157</v>
      </c>
      <c r="C53" s="488" t="s">
        <v>158</v>
      </c>
      <c r="D53" s="488" t="s">
        <v>159</v>
      </c>
      <c r="E53" s="500"/>
      <c r="F53" s="500"/>
      <c r="G53" s="500"/>
      <c r="H53" s="489"/>
      <c r="I53" s="488"/>
      <c r="J53" s="488"/>
      <c r="K53" s="488"/>
      <c r="L53" s="490"/>
      <c r="M53" s="491"/>
      <c r="N53" s="491"/>
      <c r="O53" s="53"/>
      <c r="P53" s="143"/>
      <c r="Q53" s="531"/>
      <c r="R53" s="492"/>
      <c r="S53" s="524"/>
      <c r="T53" s="532" t="s">
        <v>418</v>
      </c>
      <c r="U53" s="214"/>
      <c r="V53" s="214"/>
      <c r="W53" s="214"/>
      <c r="X53" s="214"/>
      <c r="Y53" s="214"/>
      <c r="Z53" s="214"/>
      <c r="AA53" s="214"/>
      <c r="AB53" s="214"/>
      <c r="AC53" s="529"/>
      <c r="AD53" s="214"/>
      <c r="AE53" s="214"/>
      <c r="AF53" s="214"/>
      <c r="AG53" s="214"/>
      <c r="AH53" s="214"/>
      <c r="AI53" s="214"/>
      <c r="AJ53" s="214"/>
      <c r="AK53" s="529"/>
      <c r="AL53" s="214"/>
      <c r="AM53" s="530"/>
      <c r="AO53" s="129"/>
      <c r="AP53" s="129" t="str">
        <f t="shared" si="3"/>
        <v xml:space="preserve">Добавить схему подключения</v>
      </c>
      <c r="AQ53" s="129"/>
      <c r="AR53" s="129"/>
      <c r="AS53" s="50">
        <v>14</v>
      </c>
    </row>
    <row r="54" s="57" customFormat="1" ht="1.05" customHeight="1">
      <c r="A54" s="133" t="s">
        <v>156</v>
      </c>
      <c r="B54" s="133" t="s">
        <v>157</v>
      </c>
      <c r="C54" s="133" t="s">
        <v>158</v>
      </c>
      <c r="D54" s="133"/>
      <c r="E54" s="500"/>
      <c r="F54" s="500"/>
      <c r="G54" s="489"/>
      <c r="H54" s="133"/>
      <c r="I54" s="133"/>
      <c r="J54" s="133"/>
      <c r="K54" s="133"/>
      <c r="L54" s="212"/>
      <c r="M54" s="473"/>
      <c r="N54" s="473"/>
      <c r="P54" s="167"/>
      <c r="Q54" s="533"/>
      <c r="R54" s="167"/>
      <c r="S54" s="538"/>
      <c r="T54" s="541" t="s">
        <v>211</v>
      </c>
      <c r="U54" s="540"/>
      <c r="V54" s="540"/>
      <c r="W54" s="540"/>
      <c r="X54" s="540"/>
      <c r="Y54" s="540"/>
      <c r="Z54" s="540"/>
      <c r="AA54" s="540"/>
      <c r="AB54" s="540"/>
      <c r="AC54" s="540"/>
      <c r="AD54" s="540"/>
      <c r="AE54" s="540"/>
      <c r="AF54" s="540"/>
      <c r="AG54" s="540"/>
      <c r="AH54" s="540"/>
      <c r="AI54" s="540"/>
      <c r="AJ54" s="540"/>
      <c r="AK54" s="540"/>
      <c r="AL54" s="540"/>
      <c r="AM54" s="540"/>
      <c r="AO54" s="129"/>
      <c r="AP54" s="129" t="str">
        <f t="shared" si="3"/>
        <v xml:space="preserve">Добавить источник для дифференциации</v>
      </c>
      <c r="AQ54" s="129"/>
      <c r="AR54" s="129"/>
      <c r="AS54" s="57">
        <v>1</v>
      </c>
    </row>
    <row r="55" s="57" customFormat="1" ht="1.05" customHeight="1">
      <c r="A55" s="133" t="s">
        <v>156</v>
      </c>
      <c r="B55" s="133" t="s">
        <v>157</v>
      </c>
      <c r="C55" s="133"/>
      <c r="D55" s="133"/>
      <c r="E55" s="500"/>
      <c r="F55" s="489"/>
      <c r="G55" s="133"/>
      <c r="H55" s="133"/>
      <c r="I55" s="133"/>
      <c r="J55" s="133"/>
      <c r="K55" s="133"/>
      <c r="L55" s="212"/>
      <c r="M55" s="537"/>
      <c r="N55" s="537"/>
      <c r="P55" s="167"/>
      <c r="Q55" s="533"/>
      <c r="R55" s="167"/>
      <c r="S55" s="538"/>
      <c r="T55" s="541" t="s">
        <v>212</v>
      </c>
      <c r="U55" s="540"/>
      <c r="V55" s="540"/>
      <c r="W55" s="540"/>
      <c r="X55" s="540"/>
      <c r="Y55" s="540"/>
      <c r="Z55" s="540"/>
      <c r="AA55" s="540"/>
      <c r="AB55" s="540"/>
      <c r="AC55" s="540"/>
      <c r="AD55" s="540"/>
      <c r="AE55" s="540"/>
      <c r="AF55" s="540"/>
      <c r="AG55" s="540"/>
      <c r="AH55" s="540"/>
      <c r="AI55" s="540"/>
      <c r="AJ55" s="540"/>
      <c r="AK55" s="540"/>
      <c r="AL55" s="540"/>
      <c r="AM55" s="540"/>
      <c r="AO55" s="129"/>
      <c r="AP55" s="129" t="str">
        <f t="shared" si="3"/>
        <v xml:space="preserve">Добавить централизованную систему для дифференциации</v>
      </c>
      <c r="AQ55" s="129"/>
      <c r="AR55" s="129"/>
      <c r="AS55" s="57">
        <v>1</v>
      </c>
    </row>
    <row r="56" s="57" customFormat="1" ht="1.05" customHeight="1">
      <c r="A56" s="133" t="s">
        <v>156</v>
      </c>
      <c r="B56" s="133"/>
      <c r="C56" s="133"/>
      <c r="D56" s="133"/>
      <c r="E56" s="489"/>
      <c r="F56" s="133"/>
      <c r="G56" s="133"/>
      <c r="H56" s="133"/>
      <c r="I56" s="133"/>
      <c r="J56" s="133"/>
      <c r="K56" s="133"/>
      <c r="L56" s="212"/>
      <c r="M56" s="537"/>
      <c r="N56" s="537"/>
      <c r="O56" s="57"/>
      <c r="P56" s="167"/>
      <c r="Q56" s="533"/>
      <c r="R56" s="167"/>
      <c r="S56" s="538"/>
      <c r="T56" s="541" t="s">
        <v>213</v>
      </c>
      <c r="U56" s="540"/>
      <c r="V56" s="540"/>
      <c r="W56" s="540"/>
      <c r="X56" s="540"/>
      <c r="Y56" s="540"/>
      <c r="Z56" s="540"/>
      <c r="AA56" s="540"/>
      <c r="AB56" s="540"/>
      <c r="AC56" s="540"/>
      <c r="AD56" s="540"/>
      <c r="AE56" s="540"/>
      <c r="AF56" s="540"/>
      <c r="AG56" s="540"/>
      <c r="AH56" s="540"/>
      <c r="AI56" s="540"/>
      <c r="AJ56" s="540"/>
      <c r="AK56" s="540"/>
      <c r="AL56" s="540"/>
      <c r="AM56" s="540"/>
      <c r="AO56" s="129"/>
      <c r="AP56" s="129" t="str">
        <f t="shared" si="3"/>
        <v xml:space="preserve">Добавить территорию для дифференциации</v>
      </c>
      <c r="AQ56" s="129"/>
      <c r="AR56" s="129"/>
      <c r="AS56" s="57">
        <v>1</v>
      </c>
    </row>
    <row r="57" s="57" customFormat="1" ht="1.05" customHeight="1">
      <c r="A57" s="133"/>
      <c r="B57" s="133"/>
      <c r="C57" s="133"/>
      <c r="D57" s="133"/>
      <c r="E57" s="133"/>
      <c r="F57" s="133"/>
      <c r="G57" s="133"/>
      <c r="H57" s="133"/>
      <c r="I57" s="133"/>
      <c r="J57" s="133"/>
      <c r="K57" s="133"/>
      <c r="L57" s="212"/>
      <c r="M57" s="537"/>
      <c r="N57" s="537"/>
      <c r="P57" s="167"/>
      <c r="Q57" s="533"/>
      <c r="R57" s="167"/>
      <c r="S57" s="538"/>
      <c r="T57" s="541" t="s">
        <v>214</v>
      </c>
      <c r="U57" s="540"/>
      <c r="V57" s="540"/>
      <c r="W57" s="540"/>
      <c r="X57" s="540"/>
      <c r="Y57" s="540"/>
      <c r="Z57" s="540"/>
      <c r="AA57" s="540"/>
      <c r="AB57" s="540"/>
      <c r="AC57" s="540"/>
      <c r="AD57" s="540"/>
      <c r="AE57" s="540"/>
      <c r="AF57" s="540"/>
      <c r="AG57" s="540"/>
      <c r="AH57" s="540"/>
      <c r="AI57" s="540"/>
      <c r="AJ57" s="540"/>
      <c r="AK57" s="540"/>
      <c r="AL57" s="540"/>
      <c r="AM57" s="540"/>
      <c r="AO57" s="129"/>
      <c r="AP57" s="129" t="str">
        <f t="shared" si="3"/>
        <v xml:space="preserve">Добавить наименование тарифа</v>
      </c>
      <c r="AQ57" s="129"/>
      <c r="AR57" s="129"/>
      <c r="AS57" s="57">
        <v>1</v>
      </c>
    </row>
    <row r="58" ht="11.5" customHeight="1">
      <c r="M58" s="53"/>
      <c r="N58" s="53"/>
      <c r="O58" s="53"/>
      <c r="P58" s="50"/>
      <c r="Q58" s="50"/>
      <c r="R58" s="50"/>
      <c r="S58" s="50"/>
      <c r="AN58" s="50"/>
      <c r="AO58" s="50"/>
      <c r="AP58" s="50"/>
      <c r="AQ58" s="50"/>
      <c r="AR58" s="50"/>
      <c r="AS58" s="50">
        <v>11</v>
      </c>
    </row>
    <row r="59" ht="28.5" customHeight="1">
      <c r="O59" s="53"/>
      <c r="S59" s="485"/>
      <c r="T59" s="583"/>
      <c r="U59" s="583"/>
      <c r="V59" s="583"/>
      <c r="W59" s="583"/>
      <c r="X59" s="583"/>
      <c r="Y59" s="583"/>
      <c r="Z59" s="583"/>
      <c r="AA59" s="583"/>
      <c r="AB59" s="583"/>
      <c r="AC59" s="583"/>
      <c r="AD59" s="583"/>
      <c r="AE59" s="583"/>
      <c r="AF59" s="583"/>
      <c r="AG59" s="583"/>
      <c r="AH59" s="583"/>
      <c r="AI59" s="583"/>
      <c r="AJ59" s="583"/>
      <c r="AK59" s="583"/>
      <c r="AL59" s="583"/>
      <c r="AM59" s="583"/>
      <c r="AS59" s="50">
        <v>27</v>
      </c>
    </row>
    <row r="60" ht="67.200000000000003" customHeight="1">
      <c r="O60" s="53"/>
      <c r="P60" s="60"/>
      <c r="T60" s="583"/>
      <c r="U60" s="583"/>
      <c r="V60" s="583"/>
      <c r="W60" s="583"/>
      <c r="X60" s="583"/>
      <c r="Y60" s="583"/>
      <c r="Z60" s="583"/>
      <c r="AA60" s="583"/>
      <c r="AB60" s="583"/>
      <c r="AC60" s="583"/>
      <c r="AD60" s="583"/>
      <c r="AE60" s="583"/>
      <c r="AF60" s="583"/>
      <c r="AG60" s="583"/>
      <c r="AH60" s="583"/>
      <c r="AI60" s="583"/>
      <c r="AJ60" s="583"/>
      <c r="AK60" s="583"/>
      <c r="AL60" s="583"/>
      <c r="AM60" s="583"/>
      <c r="AS60" s="50">
        <v>64</v>
      </c>
    </row>
    <row r="61" ht="14.65" customHeight="1">
      <c r="O61" s="53"/>
      <c r="AS61" s="50">
        <v>14</v>
      </c>
    </row>
    <row r="62" ht="18.75" customHeight="1">
      <c r="O62" s="53"/>
      <c r="P62" s="60"/>
      <c r="S62" s="485"/>
      <c r="T62" s="583"/>
      <c r="U62" s="583"/>
      <c r="V62" s="583"/>
      <c r="W62" s="583"/>
      <c r="X62" s="583"/>
      <c r="Y62" s="583"/>
      <c r="Z62" s="583"/>
      <c r="AA62" s="583"/>
      <c r="AB62" s="583"/>
      <c r="AC62" s="583"/>
      <c r="AD62" s="583"/>
      <c r="AE62" s="583"/>
      <c r="AF62" s="583"/>
      <c r="AG62" s="583"/>
      <c r="AH62" s="583"/>
      <c r="AI62" s="583"/>
      <c r="AJ62" s="583"/>
      <c r="AK62" s="583"/>
      <c r="AL62" s="583"/>
      <c r="AM62" s="583"/>
      <c r="AS62" s="50">
        <v>18</v>
      </c>
    </row>
    <row r="63" ht="18.75" customHeight="1">
      <c r="O63" s="53"/>
      <c r="P63" s="60"/>
      <c r="T63" s="583"/>
      <c r="U63" s="583"/>
      <c r="V63" s="583"/>
      <c r="W63" s="583"/>
      <c r="X63" s="583"/>
      <c r="Y63" s="583"/>
      <c r="Z63" s="583"/>
      <c r="AA63" s="583"/>
      <c r="AB63" s="583"/>
      <c r="AC63" s="583"/>
      <c r="AD63" s="583"/>
      <c r="AE63" s="583"/>
      <c r="AF63" s="583"/>
      <c r="AG63" s="583"/>
      <c r="AH63" s="583"/>
      <c r="AI63" s="583"/>
      <c r="AJ63" s="583"/>
      <c r="AK63" s="583"/>
      <c r="AL63" s="583"/>
      <c r="AM63" s="583"/>
      <c r="AS63" s="50">
        <v>18</v>
      </c>
    </row>
    <row r="64" ht="29.25" customHeight="1">
      <c r="O64" s="53"/>
      <c r="P64" s="60"/>
      <c r="S64" s="485"/>
      <c r="T64" s="583"/>
      <c r="U64" s="583"/>
      <c r="V64" s="583"/>
      <c r="W64" s="583"/>
      <c r="X64" s="583"/>
      <c r="Y64" s="583"/>
      <c r="Z64" s="583"/>
      <c r="AA64" s="583"/>
      <c r="AB64" s="583"/>
      <c r="AC64" s="583"/>
      <c r="AD64" s="583"/>
      <c r="AE64" s="583"/>
      <c r="AF64" s="583"/>
      <c r="AG64" s="583"/>
      <c r="AH64" s="583"/>
      <c r="AI64" s="583"/>
      <c r="AJ64" s="583"/>
      <c r="AK64" s="583"/>
      <c r="AL64" s="583"/>
      <c r="AM64" s="583"/>
      <c r="AS64" s="50">
        <v>28</v>
      </c>
    </row>
    <row r="65" ht="22.5" hidden="1" customHeight="1">
      <c r="A65" s="53" t="s">
        <v>83</v>
      </c>
      <c r="B65" s="53">
        <v>0</v>
      </c>
      <c r="C65" s="53">
        <v>0</v>
      </c>
      <c r="D65" s="53">
        <v>0</v>
      </c>
      <c r="E65" s="53">
        <v>0</v>
      </c>
      <c r="F65" s="53">
        <v>0</v>
      </c>
      <c r="G65" s="53">
        <v>0</v>
      </c>
      <c r="H65" s="53">
        <v>0</v>
      </c>
      <c r="I65" s="53">
        <v>0</v>
      </c>
      <c r="J65" s="53">
        <v>0</v>
      </c>
      <c r="K65" s="53">
        <v>0</v>
      </c>
      <c r="L65" s="113">
        <v>0</v>
      </c>
      <c r="M65" s="61">
        <v>0</v>
      </c>
      <c r="N65" s="61">
        <v>0</v>
      </c>
      <c r="O65" s="61">
        <v>0</v>
      </c>
      <c r="P65" s="60">
        <v>3</v>
      </c>
      <c r="Q65" s="487">
        <v>3</v>
      </c>
      <c r="R65" s="487">
        <v>3</v>
      </c>
      <c r="S65" s="86">
        <v>12</v>
      </c>
      <c r="T65" s="50">
        <v>35</v>
      </c>
      <c r="U65" s="50">
        <v>0</v>
      </c>
      <c r="V65" s="50">
        <v>0</v>
      </c>
      <c r="W65" s="50">
        <v>0</v>
      </c>
      <c r="X65" s="50">
        <v>0</v>
      </c>
      <c r="Y65" s="50">
        <v>0</v>
      </c>
      <c r="Z65" s="50">
        <v>0</v>
      </c>
      <c r="AA65" s="50">
        <v>0</v>
      </c>
      <c r="AB65" s="50">
        <v>0</v>
      </c>
      <c r="AC65" s="50">
        <v>0</v>
      </c>
      <c r="AD65" s="50">
        <v>24</v>
      </c>
      <c r="AE65" s="50">
        <v>0</v>
      </c>
      <c r="AF65" s="50">
        <v>24</v>
      </c>
      <c r="AG65" s="50">
        <v>24</v>
      </c>
      <c r="AH65" s="50">
        <v>11</v>
      </c>
      <c r="AI65" s="50">
        <v>3</v>
      </c>
      <c r="AJ65" s="50">
        <v>11</v>
      </c>
      <c r="AK65" s="50">
        <v>0</v>
      </c>
      <c r="AL65" s="50">
        <v>4</v>
      </c>
      <c r="AM65" s="50">
        <v>115</v>
      </c>
      <c r="AN65" s="57">
        <v>10</v>
      </c>
      <c r="AO65" s="57">
        <v>10</v>
      </c>
      <c r="AP65" s="57">
        <v>10</v>
      </c>
      <c r="AQ65" s="57">
        <v>10</v>
      </c>
      <c r="AR65" s="57">
        <v>10</v>
      </c>
      <c r="AS65" s="50">
        <v>23</v>
      </c>
    </row>
  </sheetData>
  <sheetProtection autoFilter="0" deleteColumns="1" deleteRows="1" formatCells="1" formatColumns="0" formatRows="0" insertColumns="1" insertHyperlinks="1" insertRows="1" objects="0" pivotTables="1" scenarios="0" selectLockedCells="0" selectUnlockedCells="0" sheet="1" sort="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K8:K9"/>
    <mergeCell ref="Z8:Z9"/>
    <mergeCell ref="AA8:AA9"/>
    <mergeCell ref="AB8:AB9"/>
    <mergeCell ref="AC8:AC9"/>
    <mergeCell ref="AH8:AH9"/>
    <mergeCell ref="AI8:AI9"/>
    <mergeCell ref="AJ8:AJ9"/>
    <mergeCell ref="AK8:AK9"/>
    <mergeCell ref="AM8:AM10"/>
    <mergeCell ref="AH17:AH18"/>
    <mergeCell ref="AI17:AI18"/>
    <mergeCell ref="AJ17:AJ18"/>
    <mergeCell ref="AK17:AK18"/>
    <mergeCell ref="S26:AJ26"/>
    <mergeCell ref="S27:AJ27"/>
    <mergeCell ref="S29:T29"/>
    <mergeCell ref="V29:AB29"/>
    <mergeCell ref="AD29:AJ29"/>
    <mergeCell ref="S30:T30"/>
    <mergeCell ref="V30:AB30"/>
    <mergeCell ref="AD30:AJ30"/>
    <mergeCell ref="S31:T31"/>
    <mergeCell ref="V31:AB31"/>
    <mergeCell ref="AD31:AJ31"/>
    <mergeCell ref="S32:T32"/>
    <mergeCell ref="V32:AB32"/>
    <mergeCell ref="AD32:AJ32"/>
    <mergeCell ref="S34:T34"/>
    <mergeCell ref="V34:AB34"/>
    <mergeCell ref="AD34:AJ34"/>
    <mergeCell ref="S35:T35"/>
    <mergeCell ref="V35:AB35"/>
    <mergeCell ref="AD35:AJ35"/>
    <mergeCell ref="V37:AC37"/>
    <mergeCell ref="AD37:AK37"/>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AH40:AJ40"/>
    <mergeCell ref="AA41:AB41"/>
    <mergeCell ref="AI41:AJ41"/>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AM49:AM51"/>
    <mergeCell ref="T59:AM59"/>
    <mergeCell ref="T60:AM60"/>
    <mergeCell ref="T62:AM62"/>
    <mergeCell ref="T63:AM63"/>
    <mergeCell ref="T64:AM64"/>
  </mergeCells>
  <dataValidations count="4" disablePrompts="0">
    <dataValidation sqref="S131123:AM131129 S196659:AM196665 S262195:AM262201 S327731:AM327737 S393267:AM393273 S458803:AM458809 S524339:AM524345 S589875:AM589881 S655411:AM655417 S720947:AM720953 S786483:AM786489 S852019:AM852025 S917555:AM917561 S983091:AM983097 S65587:AM65593" type="none" allowBlank="1" errorStyle="stop" imeMode="noControl" operator="between" showDropDown="0" showErrorMessage="0" showInputMessage="0"/>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type="none" allowBlank="1" errorStyle="stop" imeMode="noControl" operator="between" promptTitle="checkPeriodRange" showDropDown="0" showErrorMessage="0" showInputMessage="0"/>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150076-002C-4258-9E6F-0093004500CE}"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 xr:uid="{005A007E-00FF-4ED5-900A-00C700920079}" type="list" allowBlank="1" error="Выберите значение из списка" errorStyle="stop" errorTitle="Ошибка" imeMode="noControl" operator="between" showDropDown="0"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 xr:uid="{00DE00EF-00B4-4778-9E45-0064007500DC}" type="textLength" allowBlank="1" error="Допускается ввод не более 900 символов!" errorStyle="stop" errorTitle="Ошибка" imeMode="noControl" operator="lessThanOrEqual" showDropDown="0"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 xr:uid="{00260006-0001-4658-BE8A-000300680011}" type="list" allowBlank="1" error="Выберите значение из списка" errorStyle="stop" errorTitle="Ошибка" imeMode="noControl" operator="between" showDropDown="0" showErrorMessage="1" showInputMessage="1">
          <x14:formula1>
            <xm:f>kind_of_heat_transfer</xm:f>
          </x14:formula1>
          <xm:sqref>T65585 T131121 T196657 T262193 T327729 T393265 T458801 T524337 T589873 T655409 T720945 T786481 T852017 T917553 T983089</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zoomScale="90" workbookViewId="0">
      <pane xSplit="29" ySplit="42" topLeftCell="AD43" activePane="bottomRight" state="frozen"/>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2.00390625"/>
    <col customWidth="1" hidden="1" min="10" max="10" style="53" width="9.8515625"/>
    <col customWidth="1" hidden="1" min="11" max="11" style="53" width="11.421875"/>
    <col customWidth="1" hidden="1" min="12" max="12" style="113" width="19.140625"/>
    <col customWidth="1" hidden="1" min="13" max="14" style="61" width="12.28125"/>
    <col customWidth="1" hidden="1" min="15" max="15" style="61" width="23.421875"/>
    <col customWidth="1" min="16" max="16" style="60" width="3.00390625"/>
    <col customWidth="1" min="17" max="18" style="487" width="3.00390625"/>
    <col customWidth="1" min="19" max="19" style="86" width="12.00390625"/>
    <col customWidth="1" min="20" max="20" style="50" width="31.00390625"/>
    <col customWidth="1" min="21" max="21" style="50" width="0.140625"/>
    <col customWidth="1" hidden="1" min="22" max="22" style="50" width="24.7109375"/>
    <col customWidth="1" hidden="1" min="23" max="23" style="50" width="0.140625"/>
    <col customWidth="1" hidden="1" min="24" max="25" style="50" width="24.7109375"/>
    <col customWidth="1" hidden="1" min="26" max="26" style="50" width="11.7109375"/>
    <col customWidth="1" hidden="1" min="27" max="27" style="50" width="3.7109375"/>
    <col customWidth="1" hidden="1" min="28" max="28" style="50" width="11.7109375"/>
    <col customWidth="1" hidden="1" min="29" max="29" style="50" width="8.57421875"/>
    <col customWidth="1" min="30" max="30" style="50" width="24.7109375"/>
    <col customWidth="1" min="31" max="31" style="50" width="0.140625"/>
    <col customWidth="1" min="32" max="33" style="50" width="24.00390625"/>
    <col customWidth="1" min="34" max="34" style="50" width="11.00390625"/>
    <col customWidth="1" min="35" max="35" style="50" width="3.7109375"/>
    <col customWidth="1" min="36" max="36" style="50" width="11.00390625"/>
    <col customWidth="1" hidden="1" min="37" max="37" style="50" width="8.57421875"/>
    <col customWidth="1" min="38" max="38" style="50" width="4.00390625"/>
    <col customWidth="1" min="39" max="39" style="50" width="115.00390625"/>
    <col customWidth="1" min="40" max="44" style="57" width="10.00390625"/>
    <col hidden="1" min="45" max="45" style="50" width="10.57421875"/>
  </cols>
  <sheetData>
    <row r="1" ht="22.5" hidden="1" customHeight="1">
      <c r="Y1" s="50"/>
      <c r="Z1" s="50"/>
      <c r="AG1" s="50"/>
      <c r="AH1" s="50"/>
      <c r="AS1" s="50" t="s">
        <v>14</v>
      </c>
    </row>
    <row r="2" ht="21" hidden="1" customHeight="1">
      <c r="A2" s="488"/>
      <c r="B2" s="488"/>
      <c r="C2" s="488"/>
      <c r="D2" s="488"/>
      <c r="E2" s="489">
        <v>1</v>
      </c>
      <c r="F2" s="488"/>
      <c r="G2" s="488"/>
      <c r="H2" s="488"/>
      <c r="I2" s="488"/>
      <c r="J2" s="488"/>
      <c r="K2" s="488"/>
      <c r="L2" s="490"/>
      <c r="M2" s="491"/>
      <c r="N2" s="491"/>
      <c r="O2" s="491"/>
      <c r="P2" s="60"/>
      <c r="Q2" s="143"/>
      <c r="R2" s="492"/>
      <c r="S2" s="493" t="e">
        <f>INDEX(PT_DIFFERENTIATION_NUM_NTAR,MATCH(A2,PT_DIFFERENTIATION_NTAR_ID,0))</f>
        <v>#VALUE!</v>
      </c>
      <c r="T2" s="494" t="s">
        <v>123</v>
      </c>
      <c r="U2" s="495"/>
      <c r="V2" s="496"/>
      <c r="W2" s="497"/>
      <c r="X2" s="497"/>
      <c r="Y2" s="497"/>
      <c r="Z2" s="497"/>
      <c r="AA2" s="497"/>
      <c r="AB2" s="497"/>
      <c r="AC2" s="498"/>
      <c r="AD2" s="496" t="e">
        <f>INDEX(PT_DIFFERENTIATION_NTAR,MATCH(A2,PT_DIFFERENTIATION_NTAR_ID,0))</f>
        <v>#VALUE!</v>
      </c>
      <c r="AE2" s="497"/>
      <c r="AF2" s="497"/>
      <c r="AG2" s="497"/>
      <c r="AH2" s="497"/>
      <c r="AI2" s="497"/>
      <c r="AJ2" s="497"/>
      <c r="AK2" s="497"/>
      <c r="AL2" s="498"/>
      <c r="AM2" s="499" t="s">
        <v>401</v>
      </c>
      <c r="AO2" s="129"/>
      <c r="AP2" s="129" t="str">
        <f t="shared" ref="AP2:AP9" si="4">IF(T2="","",T2)</f>
        <v xml:space="preserve">Наименование тарифа</v>
      </c>
      <c r="AQ2" s="129"/>
      <c r="AR2" s="129"/>
      <c r="AS2" s="50">
        <v>0</v>
      </c>
    </row>
    <row r="3" ht="21" hidden="1" customHeight="1">
      <c r="A3" s="488"/>
      <c r="B3" s="488"/>
      <c r="C3" s="488"/>
      <c r="D3" s="488"/>
      <c r="E3" s="500"/>
      <c r="F3" s="489">
        <v>1</v>
      </c>
      <c r="G3" s="488"/>
      <c r="H3" s="488"/>
      <c r="I3" s="488"/>
      <c r="J3" s="488"/>
      <c r="K3" s="488"/>
      <c r="L3" s="490"/>
      <c r="M3" s="491"/>
      <c r="N3" s="491"/>
      <c r="O3" s="491"/>
      <c r="P3" s="51"/>
      <c r="Q3" s="501"/>
      <c r="R3" s="502"/>
      <c r="S3" s="493" t="e">
        <f>INDEX(PT_DIFFERENTIATION_NUM_TER,MATCH(B3,PT_DIFFERENTIATION_TER_ID,0))</f>
        <v>#VALUE!</v>
      </c>
      <c r="T3" s="503" t="s">
        <v>402</v>
      </c>
      <c r="U3" s="495"/>
      <c r="V3" s="496"/>
      <c r="W3" s="497"/>
      <c r="X3" s="497"/>
      <c r="Y3" s="497"/>
      <c r="Z3" s="497"/>
      <c r="AA3" s="497"/>
      <c r="AB3" s="497"/>
      <c r="AC3" s="498"/>
      <c r="AD3" s="496" t="e">
        <f>INDEX(PT_DIFFERENTIATION_TER,MATCH(B3,PT_DIFFERENTIATION_TER_ID,0))</f>
        <v>#VALUE!</v>
      </c>
      <c r="AE3" s="497"/>
      <c r="AF3" s="497"/>
      <c r="AG3" s="497"/>
      <c r="AH3" s="497"/>
      <c r="AI3" s="497"/>
      <c r="AJ3" s="497"/>
      <c r="AK3" s="497"/>
      <c r="AL3" s="498"/>
      <c r="AM3" s="499" t="s">
        <v>403</v>
      </c>
      <c r="AO3" s="129"/>
      <c r="AP3" s="129" t="str">
        <f t="shared" si="4"/>
        <v xml:space="preserve">Территория действия тарифа</v>
      </c>
      <c r="AQ3" s="129"/>
      <c r="AR3" s="129"/>
      <c r="AS3" s="50">
        <v>0</v>
      </c>
    </row>
    <row r="4" ht="23.25" hidden="1" customHeight="1">
      <c r="A4" s="488"/>
      <c r="B4" s="488"/>
      <c r="C4" s="488"/>
      <c r="D4" s="488"/>
      <c r="E4" s="500"/>
      <c r="F4" s="500"/>
      <c r="G4" s="489">
        <v>1</v>
      </c>
      <c r="H4" s="488"/>
      <c r="I4" s="488"/>
      <c r="J4" s="488"/>
      <c r="K4" s="488"/>
      <c r="L4" s="490"/>
      <c r="M4" s="491"/>
      <c r="N4" s="491"/>
      <c r="O4" s="491"/>
      <c r="P4" s="504"/>
      <c r="Q4" s="501"/>
      <c r="R4" s="502"/>
      <c r="S4" s="493" t="e">
        <f>INDEX(PT_DIFFERENTIATION_NUM_CS,MATCH(C4,PT_DIFFERENTIATION_CS_ID,0))</f>
        <v>#VALUE!</v>
      </c>
      <c r="T4" s="505" t="s">
        <v>404</v>
      </c>
      <c r="U4" s="495"/>
      <c r="V4" s="496"/>
      <c r="W4" s="497"/>
      <c r="X4" s="497"/>
      <c r="Y4" s="497"/>
      <c r="Z4" s="497"/>
      <c r="AA4" s="497"/>
      <c r="AB4" s="497"/>
      <c r="AC4" s="498"/>
      <c r="AD4" s="496" t="e">
        <f>INDEX(PT_DIFFERENTIATION_CS,MATCH(C4,PT_DIFFERENTIATION_CS_ID,0))</f>
        <v>#VALUE!</v>
      </c>
      <c r="AE4" s="497"/>
      <c r="AF4" s="497"/>
      <c r="AG4" s="497"/>
      <c r="AH4" s="497"/>
      <c r="AI4" s="497"/>
      <c r="AJ4" s="497"/>
      <c r="AK4" s="497"/>
      <c r="AL4" s="498"/>
      <c r="AM4" s="499" t="s">
        <v>405</v>
      </c>
      <c r="AO4" s="129"/>
      <c r="AP4" s="129" t="str">
        <f t="shared" si="4"/>
        <v xml:space="preserve">Наименование системы теплоснабжения </v>
      </c>
      <c r="AQ4" s="129"/>
      <c r="AR4" s="129"/>
      <c r="AS4" s="50">
        <v>0</v>
      </c>
    </row>
    <row r="5" ht="21" hidden="1" customHeight="1">
      <c r="A5" s="488"/>
      <c r="B5" s="488"/>
      <c r="C5" s="488"/>
      <c r="D5" s="488"/>
      <c r="E5" s="500"/>
      <c r="F5" s="500"/>
      <c r="G5" s="500"/>
      <c r="H5" s="489">
        <v>1</v>
      </c>
      <c r="I5" s="488"/>
      <c r="J5" s="488"/>
      <c r="K5" s="488"/>
      <c r="L5" s="490"/>
      <c r="M5" s="491"/>
      <c r="N5" s="491"/>
      <c r="O5" s="491"/>
      <c r="P5" s="504"/>
      <c r="Q5" s="501"/>
      <c r="R5" s="502"/>
      <c r="S5" s="493" t="e">
        <f>INDEX(PT_DIFFERENTIATION_NUM_IST_TE,MATCH(D5,PT_DIFFERENTIATION_IST_TE_ID,0))</f>
        <v>#VALUE!</v>
      </c>
      <c r="T5" s="506" t="s">
        <v>406</v>
      </c>
      <c r="U5" s="495"/>
      <c r="V5" s="496"/>
      <c r="W5" s="497"/>
      <c r="X5" s="497"/>
      <c r="Y5" s="497"/>
      <c r="Z5" s="497"/>
      <c r="AA5" s="497"/>
      <c r="AB5" s="497"/>
      <c r="AC5" s="498"/>
      <c r="AD5" s="496" t="e">
        <f>INDEX(PT_DIFFERENTIATION_IST_TE,MATCH(D5,PT_DIFFERENTIATION_IST_TE_ID,0))</f>
        <v>#VALUE!</v>
      </c>
      <c r="AE5" s="497"/>
      <c r="AF5" s="497"/>
      <c r="AG5" s="497"/>
      <c r="AH5" s="497"/>
      <c r="AI5" s="497"/>
      <c r="AJ5" s="497"/>
      <c r="AK5" s="497"/>
      <c r="AL5" s="498"/>
      <c r="AM5" s="499" t="s">
        <v>407</v>
      </c>
      <c r="AO5" s="129"/>
      <c r="AP5" s="129" t="str">
        <f t="shared" si="4"/>
        <v xml:space="preserve">Источник тепловой энергии  </v>
      </c>
      <c r="AQ5" s="129"/>
      <c r="AR5" s="129"/>
      <c r="AS5" s="50">
        <v>0</v>
      </c>
    </row>
    <row r="6" ht="47.25" hidden="1" customHeight="1">
      <c r="A6" s="488"/>
      <c r="B6" s="488"/>
      <c r="C6" s="488"/>
      <c r="D6" s="488"/>
      <c r="E6" s="500"/>
      <c r="F6" s="500"/>
      <c r="G6" s="500"/>
      <c r="H6" s="500"/>
      <c r="I6" s="507" t="e">
        <f>S5&amp;".1"</f>
        <v>#VALUE!</v>
      </c>
      <c r="J6" s="488"/>
      <c r="K6" s="488"/>
      <c r="L6" s="490" t="s">
        <v>408</v>
      </c>
      <c r="M6" s="53"/>
      <c r="P6" s="132">
        <v>1</v>
      </c>
      <c r="Q6" s="132"/>
      <c r="R6" s="508"/>
      <c r="S6" s="493" t="e">
        <f>$I6</f>
        <v>#VALUE!</v>
      </c>
      <c r="T6" s="509" t="s">
        <v>409</v>
      </c>
      <c r="U6" s="495"/>
      <c r="V6" s="440"/>
      <c r="W6" s="510"/>
      <c r="X6" s="510"/>
      <c r="Y6" s="510"/>
      <c r="Z6" s="510"/>
      <c r="AA6" s="510"/>
      <c r="AB6" s="510"/>
      <c r="AC6" s="511"/>
      <c r="AD6" s="440"/>
      <c r="AE6" s="510"/>
      <c r="AF6" s="510"/>
      <c r="AG6" s="510"/>
      <c r="AH6" s="510"/>
      <c r="AI6" s="510"/>
      <c r="AJ6" s="510"/>
      <c r="AK6" s="510"/>
      <c r="AL6" s="511"/>
      <c r="AM6" s="499" t="s">
        <v>410</v>
      </c>
      <c r="AO6" s="129"/>
      <c r="AP6" s="129" t="str">
        <f t="shared" si="4"/>
        <v xml:space="preserve">Схема подключения теплопотребляющей установки к коллектору источника тепловой энергии</v>
      </c>
      <c r="AQ6" s="129"/>
      <c r="AR6" s="129"/>
      <c r="AS6" s="50">
        <v>0</v>
      </c>
    </row>
    <row r="7" ht="21" hidden="1" customHeight="1">
      <c r="A7" s="488"/>
      <c r="B7" s="488"/>
      <c r="C7" s="488"/>
      <c r="D7" s="488"/>
      <c r="E7" s="500"/>
      <c r="F7" s="500"/>
      <c r="G7" s="500"/>
      <c r="H7" s="500"/>
      <c r="I7" s="512"/>
      <c r="J7" s="507" t="e">
        <f>I6&amp;".1"</f>
        <v>#VALUE!</v>
      </c>
      <c r="K7" s="488"/>
      <c r="L7" s="490" t="s">
        <v>411</v>
      </c>
      <c r="M7" s="53"/>
      <c r="N7" s="53"/>
      <c r="P7" s="132"/>
      <c r="Q7" s="132">
        <v>1</v>
      </c>
      <c r="R7" s="513"/>
      <c r="S7" s="493" t="e">
        <f>$J7</f>
        <v>#VALUE!</v>
      </c>
      <c r="T7" s="514" t="s">
        <v>412</v>
      </c>
      <c r="U7" s="495"/>
      <c r="V7" s="440"/>
      <c r="W7" s="510"/>
      <c r="X7" s="510"/>
      <c r="Y7" s="510"/>
      <c r="Z7" s="510"/>
      <c r="AA7" s="510"/>
      <c r="AB7" s="510"/>
      <c r="AC7" s="511"/>
      <c r="AD7" s="440"/>
      <c r="AE7" s="510"/>
      <c r="AF7" s="510"/>
      <c r="AG7" s="510"/>
      <c r="AH7" s="510"/>
      <c r="AI7" s="510"/>
      <c r="AJ7" s="510"/>
      <c r="AK7" s="510"/>
      <c r="AL7" s="511"/>
      <c r="AM7" s="499" t="s">
        <v>413</v>
      </c>
      <c r="AO7" s="129"/>
      <c r="AP7" s="129" t="str">
        <f t="shared" si="4"/>
        <v xml:space="preserve">Группа потребителей</v>
      </c>
      <c r="AQ7" s="129"/>
      <c r="AR7" s="129"/>
      <c r="AS7" s="50">
        <v>0</v>
      </c>
    </row>
    <row r="8" ht="21" hidden="1" customHeight="1">
      <c r="A8" s="488"/>
      <c r="B8" s="488"/>
      <c r="C8" s="488"/>
      <c r="D8" s="488"/>
      <c r="E8" s="500"/>
      <c r="F8" s="500"/>
      <c r="G8" s="500"/>
      <c r="H8" s="500"/>
      <c r="I8" s="512"/>
      <c r="J8" s="512"/>
      <c r="K8" s="507" t="e">
        <f>J7&amp;".1"</f>
        <v>#VALUE!</v>
      </c>
      <c r="L8" s="490" t="s">
        <v>414</v>
      </c>
      <c r="M8" s="53"/>
      <c r="N8" s="53"/>
      <c r="O8" s="53"/>
      <c r="P8" s="132"/>
      <c r="Q8" s="132"/>
      <c r="R8" s="513">
        <v>1</v>
      </c>
      <c r="S8" s="493" t="e">
        <f>$K8</f>
        <v>#VALUE!</v>
      </c>
      <c r="T8" s="515"/>
      <c r="U8" s="495"/>
      <c r="V8" s="516"/>
      <c r="W8" s="517"/>
      <c r="X8" s="516"/>
      <c r="Y8" s="518"/>
      <c r="Z8" s="519"/>
      <c r="AA8" s="224" t="s">
        <v>67</v>
      </c>
      <c r="AB8" s="519"/>
      <c r="AC8" s="224" t="s">
        <v>67</v>
      </c>
      <c r="AD8" s="516"/>
      <c r="AE8" s="517"/>
      <c r="AF8" s="516"/>
      <c r="AG8" s="518"/>
      <c r="AH8" s="519"/>
      <c r="AI8" s="224" t="s">
        <v>67</v>
      </c>
      <c r="AJ8" s="519"/>
      <c r="AK8" s="224" t="s">
        <v>67</v>
      </c>
      <c r="AL8" s="517"/>
      <c r="AM8" s="520" t="s">
        <v>415</v>
      </c>
      <c r="AN8" s="57" t="e">
        <f>STRCHECKDATE(V9:AL9)</f>
        <v>#NAME?</v>
      </c>
      <c r="AO8" s="129"/>
      <c r="AP8" s="129" t="str">
        <f t="shared" si="4"/>
        <v/>
      </c>
      <c r="AQ8" s="129"/>
      <c r="AR8" s="129"/>
      <c r="AS8" s="50">
        <v>0</v>
      </c>
    </row>
    <row r="9" ht="0.75" hidden="1" customHeight="1">
      <c r="A9" s="488"/>
      <c r="B9" s="488"/>
      <c r="C9" s="488"/>
      <c r="D9" s="488"/>
      <c r="E9" s="500"/>
      <c r="F9" s="500"/>
      <c r="G9" s="500"/>
      <c r="H9" s="500"/>
      <c r="I9" s="512"/>
      <c r="J9" s="512"/>
      <c r="K9" s="507"/>
      <c r="L9" s="490"/>
      <c r="M9" s="53"/>
      <c r="N9" s="53"/>
      <c r="O9" s="53"/>
      <c r="P9" s="132"/>
      <c r="Q9" s="132"/>
      <c r="R9" s="513"/>
      <c r="S9" s="467"/>
      <c r="T9" s="495"/>
      <c r="U9" s="495"/>
      <c r="V9" s="517"/>
      <c r="W9" s="517"/>
      <c r="X9" s="517"/>
      <c r="Y9" s="521" t="str">
        <f>Z8&amp;"-"&amp;AB8</f>
        <v>-</v>
      </c>
      <c r="Z9" s="522"/>
      <c r="AA9" s="224"/>
      <c r="AB9" s="522"/>
      <c r="AC9" s="224"/>
      <c r="AD9" s="517"/>
      <c r="AE9" s="517"/>
      <c r="AF9" s="517"/>
      <c r="AG9" s="521" t="str">
        <f>AH8&amp;"-"&amp;AJ8</f>
        <v>-</v>
      </c>
      <c r="AH9" s="522"/>
      <c r="AI9" s="224"/>
      <c r="AJ9" s="522"/>
      <c r="AK9" s="224"/>
      <c r="AL9" s="517"/>
      <c r="AM9" s="523"/>
      <c r="AO9" s="129"/>
      <c r="AP9" s="129" t="str">
        <f t="shared" si="4"/>
        <v/>
      </c>
      <c r="AQ9" s="129"/>
      <c r="AR9" s="129"/>
      <c r="AS9" s="50">
        <v>0</v>
      </c>
    </row>
    <row r="10" ht="15" hidden="1" customHeight="1">
      <c r="A10" s="488"/>
      <c r="B10" s="488"/>
      <c r="C10" s="488"/>
      <c r="D10" s="488"/>
      <c r="E10" s="500"/>
      <c r="F10" s="500"/>
      <c r="G10" s="500"/>
      <c r="H10" s="500"/>
      <c r="I10" s="512"/>
      <c r="J10" s="507"/>
      <c r="K10" s="488"/>
      <c r="L10" s="490"/>
      <c r="M10" s="53"/>
      <c r="N10" s="53"/>
      <c r="P10" s="132"/>
      <c r="Q10" s="132"/>
      <c r="R10" s="508"/>
      <c r="S10" s="524"/>
      <c r="T10" s="525" t="s">
        <v>416</v>
      </c>
      <c r="U10" s="214"/>
      <c r="V10" s="214"/>
      <c r="W10" s="214"/>
      <c r="X10" s="214"/>
      <c r="Y10" s="214"/>
      <c r="Z10" s="214"/>
      <c r="AA10" s="214"/>
      <c r="AB10" s="214"/>
      <c r="AC10" s="214"/>
      <c r="AD10" s="214"/>
      <c r="AE10" s="214"/>
      <c r="AF10" s="214"/>
      <c r="AG10" s="214"/>
      <c r="AH10" s="214"/>
      <c r="AI10" s="214"/>
      <c r="AJ10" s="214"/>
      <c r="AK10" s="214"/>
      <c r="AL10" s="526"/>
      <c r="AM10" s="527"/>
      <c r="AO10" s="129"/>
      <c r="AP10" s="129" t="str">
        <f t="shared" ref="AP10:AP57" si="5">IF(T10="","",T10)</f>
        <v xml:space="preserve">Добавить вид теплоносителя (параметры теплоносителя)</v>
      </c>
      <c r="AQ10" s="129"/>
      <c r="AR10" s="129"/>
      <c r="AS10" s="50">
        <v>0</v>
      </c>
    </row>
    <row r="11" ht="15" hidden="1" customHeight="1">
      <c r="A11" s="488"/>
      <c r="B11" s="488"/>
      <c r="C11" s="488"/>
      <c r="D11" s="488"/>
      <c r="E11" s="500"/>
      <c r="F11" s="500"/>
      <c r="G11" s="500"/>
      <c r="H11" s="500"/>
      <c r="I11" s="507"/>
      <c r="J11" s="488"/>
      <c r="K11" s="488"/>
      <c r="L11" s="490"/>
      <c r="M11" s="53"/>
      <c r="P11" s="132"/>
      <c r="Q11" s="132"/>
      <c r="R11" s="508"/>
      <c r="S11" s="524"/>
      <c r="T11" s="528" t="s">
        <v>417</v>
      </c>
      <c r="U11" s="214"/>
      <c r="V11" s="214"/>
      <c r="W11" s="214"/>
      <c r="X11" s="214"/>
      <c r="Y11" s="214"/>
      <c r="Z11" s="214"/>
      <c r="AA11" s="214"/>
      <c r="AB11" s="214"/>
      <c r="AC11" s="529"/>
      <c r="AD11" s="214"/>
      <c r="AE11" s="214"/>
      <c r="AF11" s="214"/>
      <c r="AG11" s="214"/>
      <c r="AH11" s="214"/>
      <c r="AI11" s="214"/>
      <c r="AJ11" s="214"/>
      <c r="AK11" s="529"/>
      <c r="AL11" s="214"/>
      <c r="AM11" s="530"/>
      <c r="AO11" s="129"/>
      <c r="AP11" s="129" t="str">
        <f t="shared" si="5"/>
        <v xml:space="preserve">Добавить группу потребителей</v>
      </c>
      <c r="AQ11" s="129"/>
      <c r="AR11" s="129"/>
      <c r="AS11" s="50">
        <v>0</v>
      </c>
    </row>
    <row r="12" ht="14.25" hidden="1" customHeight="1">
      <c r="A12" s="488"/>
      <c r="B12" s="488"/>
      <c r="C12" s="488"/>
      <c r="D12" s="488"/>
      <c r="E12" s="500"/>
      <c r="F12" s="500"/>
      <c r="G12" s="500"/>
      <c r="H12" s="489"/>
      <c r="I12" s="488"/>
      <c r="J12" s="488"/>
      <c r="K12" s="488"/>
      <c r="L12" s="490"/>
      <c r="M12" s="491"/>
      <c r="N12" s="491"/>
      <c r="O12" s="53"/>
      <c r="P12" s="143"/>
      <c r="Q12" s="531"/>
      <c r="R12" s="492"/>
      <c r="S12" s="524"/>
      <c r="T12" s="532" t="s">
        <v>418</v>
      </c>
      <c r="U12" s="214"/>
      <c r="V12" s="214"/>
      <c r="W12" s="214"/>
      <c r="X12" s="214"/>
      <c r="Y12" s="214"/>
      <c r="Z12" s="214"/>
      <c r="AA12" s="214"/>
      <c r="AB12" s="214"/>
      <c r="AC12" s="529"/>
      <c r="AD12" s="214"/>
      <c r="AE12" s="214"/>
      <c r="AF12" s="214"/>
      <c r="AG12" s="214"/>
      <c r="AH12" s="214"/>
      <c r="AI12" s="214"/>
      <c r="AJ12" s="214"/>
      <c r="AK12" s="529"/>
      <c r="AL12" s="214"/>
      <c r="AM12" s="530"/>
      <c r="AO12" s="129"/>
      <c r="AP12" s="129" t="str">
        <f t="shared" si="5"/>
        <v xml:space="preserve">Добавить схему подключения</v>
      </c>
      <c r="AQ12" s="129"/>
      <c r="AR12" s="129"/>
      <c r="AS12" s="50">
        <v>0</v>
      </c>
    </row>
    <row r="13" s="57" customFormat="1" ht="0.75" hidden="1" customHeight="1">
      <c r="A13" s="133"/>
      <c r="B13" s="133"/>
      <c r="C13" s="133"/>
      <c r="D13" s="133"/>
      <c r="E13" s="500"/>
      <c r="F13" s="500"/>
      <c r="G13" s="489"/>
      <c r="H13" s="133"/>
      <c r="I13" s="133"/>
      <c r="J13" s="133"/>
      <c r="K13" s="133"/>
      <c r="L13" s="212"/>
      <c r="M13" s="473"/>
      <c r="N13" s="473"/>
      <c r="P13" s="167"/>
      <c r="Q13" s="533"/>
      <c r="R13" s="167"/>
      <c r="S13" s="534"/>
      <c r="T13" s="535" t="s">
        <v>211</v>
      </c>
      <c r="U13" s="536"/>
      <c r="V13" s="536"/>
      <c r="W13" s="536"/>
      <c r="X13" s="536"/>
      <c r="Y13" s="536"/>
      <c r="Z13" s="536"/>
      <c r="AA13" s="536"/>
      <c r="AB13" s="536"/>
      <c r="AC13" s="536"/>
      <c r="AD13" s="536"/>
      <c r="AE13" s="536"/>
      <c r="AF13" s="536"/>
      <c r="AG13" s="536"/>
      <c r="AH13" s="536"/>
      <c r="AI13" s="536"/>
      <c r="AJ13" s="536"/>
      <c r="AK13" s="536"/>
      <c r="AL13" s="536"/>
      <c r="AM13" s="536"/>
      <c r="AO13" s="129"/>
      <c r="AP13" s="129" t="str">
        <f t="shared" si="5"/>
        <v xml:space="preserve">Добавить источник для дифференциации</v>
      </c>
      <c r="AQ13" s="129"/>
      <c r="AR13" s="129"/>
      <c r="AS13" s="57">
        <v>0</v>
      </c>
    </row>
    <row r="14" s="57" customFormat="1" ht="0.75" hidden="1" customHeight="1">
      <c r="A14" s="133"/>
      <c r="B14" s="133"/>
      <c r="C14" s="133"/>
      <c r="D14" s="133"/>
      <c r="E14" s="500"/>
      <c r="F14" s="489"/>
      <c r="G14" s="133"/>
      <c r="H14" s="133"/>
      <c r="I14" s="133"/>
      <c r="J14" s="133"/>
      <c r="K14" s="133"/>
      <c r="L14" s="212"/>
      <c r="M14" s="537"/>
      <c r="N14" s="537"/>
      <c r="P14" s="167"/>
      <c r="Q14" s="533"/>
      <c r="R14" s="167"/>
      <c r="S14" s="538"/>
      <c r="T14" s="539" t="s">
        <v>212</v>
      </c>
      <c r="U14" s="540"/>
      <c r="V14" s="540"/>
      <c r="W14" s="540"/>
      <c r="X14" s="540"/>
      <c r="Y14" s="540"/>
      <c r="Z14" s="540"/>
      <c r="AA14" s="540"/>
      <c r="AB14" s="540"/>
      <c r="AC14" s="540"/>
      <c r="AD14" s="540"/>
      <c r="AE14" s="540"/>
      <c r="AF14" s="540"/>
      <c r="AG14" s="540"/>
      <c r="AH14" s="540"/>
      <c r="AI14" s="540"/>
      <c r="AJ14" s="540"/>
      <c r="AK14" s="540"/>
      <c r="AL14" s="540"/>
      <c r="AM14" s="540"/>
      <c r="AO14" s="129"/>
      <c r="AP14" s="129" t="str">
        <f t="shared" si="5"/>
        <v xml:space="preserve">Добавить централизованную систему для дифференциации</v>
      </c>
      <c r="AQ14" s="129"/>
      <c r="AR14" s="129"/>
      <c r="AS14" s="57">
        <v>0</v>
      </c>
    </row>
    <row r="15" s="57" customFormat="1" ht="0.75" hidden="1" customHeight="1">
      <c r="A15" s="133"/>
      <c r="B15" s="133"/>
      <c r="C15" s="133"/>
      <c r="D15" s="133"/>
      <c r="E15" s="489"/>
      <c r="F15" s="133"/>
      <c r="G15" s="133"/>
      <c r="H15" s="133"/>
      <c r="I15" s="133"/>
      <c r="J15" s="133"/>
      <c r="K15" s="133"/>
      <c r="L15" s="212"/>
      <c r="M15" s="537"/>
      <c r="N15" s="537"/>
      <c r="P15" s="167"/>
      <c r="Q15" s="533"/>
      <c r="R15" s="167"/>
      <c r="S15" s="538"/>
      <c r="T15" s="541" t="s">
        <v>213</v>
      </c>
      <c r="U15" s="540"/>
      <c r="V15" s="540"/>
      <c r="W15" s="540"/>
      <c r="X15" s="540"/>
      <c r="Y15" s="540"/>
      <c r="Z15" s="540"/>
      <c r="AA15" s="540"/>
      <c r="AB15" s="540"/>
      <c r="AC15" s="540"/>
      <c r="AD15" s="540"/>
      <c r="AE15" s="540"/>
      <c r="AF15" s="540"/>
      <c r="AG15" s="540"/>
      <c r="AH15" s="540"/>
      <c r="AI15" s="540"/>
      <c r="AJ15" s="540"/>
      <c r="AK15" s="540"/>
      <c r="AL15" s="540"/>
      <c r="AM15" s="540"/>
      <c r="AO15" s="129"/>
      <c r="AP15" s="129" t="str">
        <f t="shared" si="5"/>
        <v xml:space="preserve">Добавить территорию для дифференциации</v>
      </c>
      <c r="AQ15" s="129"/>
      <c r="AR15" s="129"/>
      <c r="AS15" s="57">
        <v>0</v>
      </c>
    </row>
    <row r="16" ht="14.25" hidden="1" customHeight="1">
      <c r="AC16" s="50"/>
      <c r="AK16" s="50"/>
      <c r="AS16" s="50">
        <v>0</v>
      </c>
    </row>
    <row r="17" ht="14.25" hidden="1" customHeight="1">
      <c r="AD17" s="542"/>
      <c r="AE17" s="542"/>
      <c r="AF17" s="542"/>
      <c r="AG17" s="543"/>
      <c r="AH17" s="544"/>
      <c r="AI17" s="545" t="s">
        <v>67</v>
      </c>
      <c r="AJ17" s="544"/>
      <c r="AK17" s="545" t="s">
        <v>67</v>
      </c>
      <c r="AS17" s="50">
        <v>0</v>
      </c>
    </row>
    <row r="18" ht="14.25" hidden="1" customHeight="1">
      <c r="AD18" s="542"/>
      <c r="AE18" s="542"/>
      <c r="AF18" s="542"/>
      <c r="AG18" s="521" t="str">
        <f>AH17&amp;"-"&amp;AJ17</f>
        <v>-</v>
      </c>
      <c r="AH18" s="545"/>
      <c r="AI18" s="545"/>
      <c r="AJ18" s="545"/>
      <c r="AK18" s="545"/>
      <c r="AS18" s="50">
        <v>0</v>
      </c>
    </row>
    <row r="19" ht="14.25" hidden="1" customHeight="1">
      <c r="AK19" s="50"/>
      <c r="AS19" s="50">
        <v>0</v>
      </c>
    </row>
    <row r="20" s="53" customFormat="1" ht="22.5" hidden="1" customHeight="1">
      <c r="L20" s="113"/>
      <c r="M20" s="61"/>
      <c r="N20" s="61"/>
      <c r="O20" s="546" t="s">
        <v>419</v>
      </c>
      <c r="P20" s="61"/>
      <c r="Q20" s="547"/>
      <c r="R20" s="547"/>
      <c r="S20" s="491"/>
      <c r="Z20" s="546"/>
      <c r="AB20" s="546"/>
      <c r="AC20" s="53"/>
      <c r="AH20" s="546"/>
      <c r="AJ20" s="546"/>
      <c r="AK20" s="53"/>
      <c r="AN20" s="57"/>
      <c r="AO20" s="57"/>
      <c r="AP20" s="57"/>
      <c r="AQ20" s="57"/>
      <c r="AR20" s="57"/>
      <c r="AS20" s="53">
        <v>0</v>
      </c>
    </row>
    <row r="21" s="53" customFormat="1" ht="14.25" hidden="1" customHeight="1">
      <c r="L21" s="113"/>
      <c r="M21" s="61"/>
      <c r="N21" s="61"/>
      <c r="O21" s="61"/>
      <c r="P21" s="61"/>
      <c r="Q21" s="547"/>
      <c r="R21" s="547"/>
      <c r="S21" s="491"/>
      <c r="AC21" s="53"/>
      <c r="AK21" s="53"/>
      <c r="AN21" s="57"/>
      <c r="AO21" s="57"/>
      <c r="AP21" s="57"/>
      <c r="AQ21" s="57"/>
      <c r="AR21" s="57"/>
      <c r="AS21" s="53">
        <v>0</v>
      </c>
    </row>
    <row r="22" s="53" customFormat="1" ht="14.25" hidden="1" customHeight="1">
      <c r="L22" s="113"/>
      <c r="M22" s="61"/>
      <c r="N22" s="61"/>
      <c r="O22" s="490" t="s">
        <v>420</v>
      </c>
      <c r="P22" s="61"/>
      <c r="Q22" s="547"/>
      <c r="R22" s="547"/>
      <c r="S22" s="491"/>
      <c r="T22" s="53" t="s">
        <v>421</v>
      </c>
      <c r="AA22" s="151" t="s">
        <v>422</v>
      </c>
      <c r="AC22" s="151" t="s">
        <v>423</v>
      </c>
      <c r="AD22" s="53" t="s">
        <v>421</v>
      </c>
      <c r="AI22" s="151" t="s">
        <v>424</v>
      </c>
      <c r="AK22" s="151" t="s">
        <v>423</v>
      </c>
      <c r="AN22" s="57"/>
      <c r="AO22" s="57"/>
      <c r="AP22" s="57"/>
      <c r="AQ22" s="57"/>
      <c r="AR22" s="57"/>
      <c r="AS22" s="53">
        <v>0</v>
      </c>
    </row>
    <row r="23" ht="14.25" hidden="1" customHeight="1">
      <c r="O23" s="490"/>
      <c r="AS23" s="50">
        <v>0</v>
      </c>
    </row>
    <row r="24" ht="14.25" hidden="1" customHeight="1">
      <c r="O24" s="490"/>
      <c r="AS24" s="50">
        <v>0</v>
      </c>
    </row>
    <row r="25" ht="14.65" customHeight="1">
      <c r="Q25" s="548"/>
      <c r="R25" s="548"/>
      <c r="S25" s="549"/>
      <c r="T25" s="91"/>
      <c r="U25" s="91"/>
      <c r="V25" s="50"/>
      <c r="W25" s="50"/>
      <c r="X25" s="50"/>
      <c r="Y25" s="50"/>
      <c r="Z25" s="50"/>
      <c r="AA25" s="50"/>
      <c r="AB25" s="50"/>
      <c r="AC25" s="50"/>
      <c r="AD25" s="50"/>
      <c r="AE25" s="50"/>
      <c r="AF25" s="50"/>
      <c r="AG25" s="50"/>
      <c r="AH25" s="50"/>
      <c r="AI25" s="50"/>
      <c r="AJ25" s="50"/>
      <c r="AK25" s="50"/>
      <c r="AS25" s="50">
        <v>14</v>
      </c>
    </row>
    <row r="26" ht="14.65" customHeight="1">
      <c r="Q26" s="548"/>
      <c r="R26" s="548"/>
      <c r="S26" s="461" t="str">
        <f>IF(TEMPLATE_GROUP="P",PT_P_FORM_HEAT_4_NAME_FORM,PT_R_FORM_HEAT_21_NAME_FORM)</f>
        <v xml:space="preserve">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461"/>
      <c r="U26" s="461"/>
      <c r="V26" s="461"/>
      <c r="W26" s="461"/>
      <c r="X26" s="461"/>
      <c r="Y26" s="461"/>
      <c r="Z26" s="461"/>
      <c r="AA26" s="461"/>
      <c r="AB26" s="461"/>
      <c r="AC26" s="461"/>
      <c r="AD26" s="461"/>
      <c r="AE26" s="461"/>
      <c r="AF26" s="461"/>
      <c r="AG26" s="461"/>
      <c r="AH26" s="461"/>
      <c r="AI26" s="461"/>
      <c r="AJ26" s="461"/>
      <c r="AK26" s="240"/>
      <c r="AS26" s="50">
        <v>14</v>
      </c>
    </row>
    <row r="27" ht="14.65" customHeight="1">
      <c r="Q27" s="548"/>
      <c r="R27" s="548"/>
      <c r="S27" s="316" t="str">
        <f>IF(org=0,"Не определено",org)</f>
        <v xml:space="preserve">АО "ДГК"</v>
      </c>
      <c r="T27" s="316"/>
      <c r="U27" s="316"/>
      <c r="V27" s="316"/>
      <c r="W27" s="316"/>
      <c r="X27" s="316"/>
      <c r="Y27" s="316"/>
      <c r="Z27" s="316"/>
      <c r="AA27" s="316"/>
      <c r="AB27" s="316"/>
      <c r="AC27" s="316"/>
      <c r="AD27" s="316"/>
      <c r="AE27" s="316"/>
      <c r="AF27" s="316"/>
      <c r="AG27" s="316"/>
      <c r="AH27" s="316"/>
      <c r="AI27" s="316"/>
      <c r="AJ27" s="316"/>
      <c r="AK27" s="240"/>
      <c r="AS27" s="50">
        <v>14</v>
      </c>
    </row>
    <row r="28" ht="14.25" hidden="1" customHeight="1">
      <c r="Q28" s="548"/>
      <c r="R28" s="548"/>
      <c r="S28" s="549"/>
      <c r="T28" s="91"/>
      <c r="U28" s="91"/>
      <c r="V28" s="550"/>
      <c r="W28" s="550"/>
      <c r="X28" s="550"/>
      <c r="Y28" s="550"/>
      <c r="Z28" s="550"/>
      <c r="AA28" s="550"/>
      <c r="AB28" s="550"/>
      <c r="AC28" s="550"/>
      <c r="AD28" s="550"/>
      <c r="AE28" s="550"/>
      <c r="AF28" s="550"/>
      <c r="AG28" s="550"/>
      <c r="AH28" s="550"/>
      <c r="AI28" s="550"/>
      <c r="AJ28" s="550"/>
      <c r="AK28" s="550"/>
      <c r="AL28" s="50"/>
      <c r="AS28" s="50">
        <v>0</v>
      </c>
    </row>
    <row r="29" s="184" customFormat="1" ht="25.5" hidden="1" customHeight="1">
      <c r="A29" s="151"/>
      <c r="B29" s="151"/>
      <c r="C29" s="151"/>
      <c r="D29" s="151"/>
      <c r="E29" s="151"/>
      <c r="F29" s="151"/>
      <c r="G29" s="151"/>
      <c r="H29" s="151"/>
      <c r="I29" s="151"/>
      <c r="J29" s="151"/>
      <c r="K29" s="151"/>
      <c r="L29" s="490"/>
      <c r="M29" s="151"/>
      <c r="N29" s="151"/>
      <c r="O29" s="151"/>
      <c r="S29" s="551" t="s">
        <v>42</v>
      </c>
      <c r="T29" s="551"/>
      <c r="U29" s="552"/>
      <c r="V29" s="553" t="str">
        <f>IF(TITLE_NAME_OR_PR_CHANGE="",IF(TITLE_NAME_OR_PR="","",TITLE_NAME_OR_PR),TITLE_NAME_OR_PR_CHANGE)</f>
        <v/>
      </c>
      <c r="W29" s="553"/>
      <c r="X29" s="553"/>
      <c r="Y29" s="553"/>
      <c r="Z29" s="553"/>
      <c r="AA29" s="553"/>
      <c r="AB29" s="553"/>
      <c r="AC29" s="50"/>
      <c r="AD29" s="553" t="str">
        <f>IF(TITLE_NAME_OR_PR_CHANGE="",IF(TITLE_NAME_OR_PR="","",TITLE_NAME_OR_PR),TITLE_NAME_OR_PR_CHANGE)</f>
        <v/>
      </c>
      <c r="AE29" s="553"/>
      <c r="AF29" s="553"/>
      <c r="AG29" s="553"/>
      <c r="AH29" s="553"/>
      <c r="AI29" s="553"/>
      <c r="AJ29" s="553"/>
      <c r="AK29" s="50"/>
      <c r="AL29" s="50"/>
      <c r="AM29" s="554"/>
      <c r="AN29" s="129"/>
      <c r="AO29" s="129"/>
      <c r="AP29" s="129"/>
      <c r="AQ29" s="129"/>
      <c r="AR29" s="129"/>
      <c r="AS29" s="184">
        <v>0</v>
      </c>
    </row>
    <row r="30" s="184" customFormat="1" ht="18.75" hidden="1" customHeight="1">
      <c r="A30" s="151"/>
      <c r="B30" s="151"/>
      <c r="C30" s="151"/>
      <c r="D30" s="151"/>
      <c r="E30" s="151"/>
      <c r="F30" s="151"/>
      <c r="G30" s="151"/>
      <c r="H30" s="151"/>
      <c r="I30" s="151"/>
      <c r="J30" s="151"/>
      <c r="K30" s="151"/>
      <c r="L30" s="490"/>
      <c r="M30" s="151"/>
      <c r="N30" s="151"/>
      <c r="O30" s="151"/>
      <c r="S30" s="551" t="s">
        <v>425</v>
      </c>
      <c r="T30" s="551"/>
      <c r="U30" s="552"/>
      <c r="V30" s="555">
        <f>IF(TITLE_DATE_PR_CHANGE="",IF(TITLE_DATE_PR="","",TITLE_DATE_PR),TITLE_DATE_PR_CHANGE)</f>
        <v>46212.428518518522</v>
      </c>
      <c r="W30" s="555"/>
      <c r="X30" s="555"/>
      <c r="Y30" s="555"/>
      <c r="Z30" s="555"/>
      <c r="AA30" s="555"/>
      <c r="AB30" s="555"/>
      <c r="AC30" s="50"/>
      <c r="AD30" s="555">
        <f>IF(TITLE_DATE_PR_CHANGE="",IF(TITLE_DATE_PR="","",TITLE_DATE_PR),TITLE_DATE_PR_CHANGE)</f>
        <v>46212.428518518522</v>
      </c>
      <c r="AE30" s="555"/>
      <c r="AF30" s="555"/>
      <c r="AG30" s="555"/>
      <c r="AH30" s="555"/>
      <c r="AI30" s="555"/>
      <c r="AJ30" s="555"/>
      <c r="AK30" s="50"/>
      <c r="AL30" s="50"/>
      <c r="AM30" s="554"/>
      <c r="AN30" s="129"/>
      <c r="AO30" s="129"/>
      <c r="AP30" s="129"/>
      <c r="AQ30" s="129"/>
      <c r="AR30" s="129"/>
      <c r="AS30" s="184">
        <v>0</v>
      </c>
    </row>
    <row r="31" s="184" customFormat="1" ht="18.75" hidden="1" customHeight="1">
      <c r="A31" s="151"/>
      <c r="B31" s="151"/>
      <c r="C31" s="151"/>
      <c r="D31" s="151"/>
      <c r="E31" s="151"/>
      <c r="F31" s="151"/>
      <c r="G31" s="151"/>
      <c r="H31" s="151"/>
      <c r="I31" s="151"/>
      <c r="J31" s="151"/>
      <c r="K31" s="151"/>
      <c r="L31" s="490"/>
      <c r="M31" s="151"/>
      <c r="N31" s="151"/>
      <c r="O31" s="151"/>
      <c r="S31" s="551" t="s">
        <v>426</v>
      </c>
      <c r="T31" s="551"/>
      <c r="U31" s="552"/>
      <c r="V31" s="553" t="str">
        <f>IF(TITLE_NUMBER_PR_CHANGE="",IF(TITLE_NUMBER_PR="","",TITLE_NUMBER_PR),TITLE_NUMBER_PR_CHANGE)</f>
        <v>Исх-260/1397</v>
      </c>
      <c r="W31" s="553"/>
      <c r="X31" s="553"/>
      <c r="Y31" s="553"/>
      <c r="Z31" s="553"/>
      <c r="AA31" s="553"/>
      <c r="AB31" s="553"/>
      <c r="AC31" s="50"/>
      <c r="AD31" s="553" t="str">
        <f>IF(TITLE_NUMBER_PR_CHANGE="",IF(TITLE_NUMBER_PR="","",TITLE_NUMBER_PR),TITLE_NUMBER_PR_CHANGE)</f>
        <v>Исх-260/1397</v>
      </c>
      <c r="AE31" s="553"/>
      <c r="AF31" s="553"/>
      <c r="AG31" s="553"/>
      <c r="AH31" s="553"/>
      <c r="AI31" s="553"/>
      <c r="AJ31" s="553"/>
      <c r="AK31" s="50"/>
      <c r="AL31" s="50"/>
      <c r="AM31" s="554"/>
      <c r="AN31" s="129"/>
      <c r="AO31" s="129"/>
      <c r="AP31" s="129"/>
      <c r="AQ31" s="129"/>
      <c r="AR31" s="129"/>
      <c r="AS31" s="184">
        <v>0</v>
      </c>
    </row>
    <row r="32" s="184" customFormat="1" ht="18.75" hidden="1" customHeight="1">
      <c r="A32" s="151"/>
      <c r="B32" s="151"/>
      <c r="C32" s="151"/>
      <c r="D32" s="151"/>
      <c r="E32" s="151"/>
      <c r="F32" s="151"/>
      <c r="G32" s="151"/>
      <c r="H32" s="151"/>
      <c r="I32" s="151"/>
      <c r="J32" s="151"/>
      <c r="K32" s="151"/>
      <c r="L32" s="490"/>
      <c r="M32" s="151"/>
      <c r="N32" s="151"/>
      <c r="O32" s="151"/>
      <c r="S32" s="551" t="s">
        <v>43</v>
      </c>
      <c r="T32" s="551"/>
      <c r="U32" s="552"/>
      <c r="V32" s="553" t="str">
        <f>IF(TITLE_IST_PUB_CHANGE="",IF(TITLE_IST_PUB="","",TITLE_IST_PUB),TITLE_IST_PUB_CHANGE)</f>
        <v/>
      </c>
      <c r="W32" s="553"/>
      <c r="X32" s="553"/>
      <c r="Y32" s="553"/>
      <c r="Z32" s="553"/>
      <c r="AA32" s="553"/>
      <c r="AB32" s="553"/>
      <c r="AC32" s="50"/>
      <c r="AD32" s="553" t="str">
        <f>IF(TITLE_IST_PUB_CHANGE="",IF(TITLE_IST_PUB="","",TITLE_IST_PUB),TITLE_IST_PUB_CHANGE)</f>
        <v/>
      </c>
      <c r="AE32" s="553"/>
      <c r="AF32" s="553"/>
      <c r="AG32" s="553"/>
      <c r="AH32" s="553"/>
      <c r="AI32" s="553"/>
      <c r="AJ32" s="553"/>
      <c r="AK32" s="50"/>
      <c r="AL32" s="50"/>
      <c r="AM32" s="554"/>
      <c r="AN32" s="129"/>
      <c r="AO32" s="129"/>
      <c r="AP32" s="129"/>
      <c r="AQ32" s="129"/>
      <c r="AR32" s="129"/>
      <c r="AS32" s="184">
        <v>0</v>
      </c>
    </row>
    <row r="33" ht="14.25" customHeight="1">
      <c r="Q33" s="548"/>
      <c r="R33" s="548"/>
      <c r="S33" s="549"/>
      <c r="T33" s="91"/>
      <c r="U33" s="91"/>
      <c r="V33" s="550"/>
      <c r="W33" s="550"/>
      <c r="X33" s="550"/>
      <c r="Y33" s="550"/>
      <c r="Z33" s="550"/>
      <c r="AA33" s="550"/>
      <c r="AB33" s="550"/>
      <c r="AC33" s="550"/>
      <c r="AD33" s="550"/>
      <c r="AE33" s="550"/>
      <c r="AF33" s="550"/>
      <c r="AG33" s="550"/>
      <c r="AH33" s="550"/>
      <c r="AI33" s="550"/>
      <c r="AJ33" s="550"/>
      <c r="AK33" s="550"/>
      <c r="AL33" s="50"/>
      <c r="AS33" s="50">
        <v>0</v>
      </c>
    </row>
    <row r="34" s="184" customFormat="1" ht="18.75" customHeight="1">
      <c r="A34" s="151"/>
      <c r="B34" s="151"/>
      <c r="C34" s="151"/>
      <c r="D34" s="151"/>
      <c r="E34" s="151"/>
      <c r="F34" s="151"/>
      <c r="G34" s="151"/>
      <c r="H34" s="151"/>
      <c r="I34" s="151"/>
      <c r="J34" s="151"/>
      <c r="K34" s="151"/>
      <c r="L34" s="490"/>
      <c r="M34" s="151"/>
      <c r="N34" s="151"/>
      <c r="O34" s="151"/>
      <c r="S34" s="551" t="s">
        <v>427</v>
      </c>
      <c r="T34" s="551"/>
      <c r="U34" s="552"/>
      <c r="V34" s="555">
        <f>IF(TITLE_DATE_PR_CHANGE="",IF(TITLE_DATE_PR="","",TITLE_DATE_PR),TITLE_DATE_PR_CHANGE)</f>
        <v>46212.428518518522</v>
      </c>
      <c r="W34" s="555"/>
      <c r="X34" s="555"/>
      <c r="Y34" s="555"/>
      <c r="Z34" s="555"/>
      <c r="AA34" s="555"/>
      <c r="AB34" s="555"/>
      <c r="AC34" s="50"/>
      <c r="AD34" s="555">
        <f>IF(TITLE_DATE_PR_CHANGE="",IF(TITLE_DATE_PR="","",TITLE_DATE_PR),TITLE_DATE_PR_CHANGE)</f>
        <v>46212.428518518522</v>
      </c>
      <c r="AE34" s="555"/>
      <c r="AF34" s="555"/>
      <c r="AG34" s="555"/>
      <c r="AH34" s="555"/>
      <c r="AI34" s="555"/>
      <c r="AJ34" s="555"/>
      <c r="AK34" s="50"/>
      <c r="AL34" s="50"/>
      <c r="AM34" s="554"/>
      <c r="AN34" s="129"/>
      <c r="AO34" s="129"/>
      <c r="AP34" s="129"/>
      <c r="AQ34" s="129"/>
      <c r="AR34" s="129"/>
      <c r="AS34" s="184">
        <v>0</v>
      </c>
    </row>
    <row r="35" s="184" customFormat="1" ht="18.75" customHeight="1">
      <c r="A35" s="151"/>
      <c r="B35" s="151"/>
      <c r="C35" s="151"/>
      <c r="D35" s="151"/>
      <c r="E35" s="151"/>
      <c r="F35" s="151"/>
      <c r="G35" s="151"/>
      <c r="H35" s="151"/>
      <c r="I35" s="151"/>
      <c r="J35" s="151"/>
      <c r="K35" s="151"/>
      <c r="L35" s="490"/>
      <c r="M35" s="151"/>
      <c r="N35" s="151"/>
      <c r="O35" s="151"/>
      <c r="S35" s="551" t="s">
        <v>428</v>
      </c>
      <c r="T35" s="551"/>
      <c r="U35" s="552"/>
      <c r="V35" s="553" t="str">
        <f>IF(TITLE_NUMBER_PR_CHANGE="",IF(TITLE_NUMBER_PR="","",TITLE_NUMBER_PR),TITLE_NUMBER_PR_CHANGE)</f>
        <v>Исх-260/1397</v>
      </c>
      <c r="W35" s="553"/>
      <c r="X35" s="553"/>
      <c r="Y35" s="553"/>
      <c r="Z35" s="553"/>
      <c r="AA35" s="553"/>
      <c r="AB35" s="553"/>
      <c r="AC35" s="50"/>
      <c r="AD35" s="553" t="str">
        <f>IF(TITLE_NUMBER_PR_CHANGE="",IF(TITLE_NUMBER_PR="","",TITLE_NUMBER_PR),TITLE_NUMBER_PR_CHANGE)</f>
        <v>Исх-260/1397</v>
      </c>
      <c r="AE35" s="553"/>
      <c r="AF35" s="553"/>
      <c r="AG35" s="553"/>
      <c r="AH35" s="553"/>
      <c r="AI35" s="553"/>
      <c r="AJ35" s="553"/>
      <c r="AK35" s="50"/>
      <c r="AL35" s="50"/>
      <c r="AM35" s="554"/>
      <c r="AN35" s="129"/>
      <c r="AO35" s="129"/>
      <c r="AP35" s="129"/>
      <c r="AQ35" s="129"/>
      <c r="AR35" s="129"/>
      <c r="AS35" s="184">
        <v>0</v>
      </c>
    </row>
    <row r="36" s="184" customFormat="1" ht="0" customHeight="1">
      <c r="A36" s="151"/>
      <c r="B36" s="151"/>
      <c r="C36" s="151"/>
      <c r="D36" s="151"/>
      <c r="E36" s="151"/>
      <c r="F36" s="151"/>
      <c r="G36" s="151"/>
      <c r="H36" s="151"/>
      <c r="I36" s="151"/>
      <c r="J36" s="151"/>
      <c r="K36" s="151"/>
      <c r="L36" s="490"/>
      <c r="M36" s="151"/>
      <c r="N36" s="151"/>
      <c r="O36" s="151"/>
      <c r="S36" s="50"/>
      <c r="T36" s="50"/>
      <c r="U36" s="140"/>
      <c r="V36" s="50"/>
      <c r="W36" s="50"/>
      <c r="X36" s="50"/>
      <c r="Y36" s="50"/>
      <c r="Z36" s="50"/>
      <c r="AA36" s="50"/>
      <c r="AB36" s="50"/>
      <c r="AC36" s="57" t="s">
        <v>429</v>
      </c>
      <c r="AD36" s="50"/>
      <c r="AE36" s="50"/>
      <c r="AF36" s="50"/>
      <c r="AG36" s="50"/>
      <c r="AH36" s="50"/>
      <c r="AI36" s="50"/>
      <c r="AJ36" s="50"/>
      <c r="AK36" s="57" t="s">
        <v>429</v>
      </c>
      <c r="AN36" s="129"/>
      <c r="AO36" s="129"/>
      <c r="AP36" s="129"/>
      <c r="AQ36" s="129"/>
      <c r="AR36" s="129"/>
      <c r="AS36" s="184">
        <v>0</v>
      </c>
    </row>
    <row r="37" ht="14.65" customHeight="1">
      <c r="Q37" s="548"/>
      <c r="R37" s="548"/>
      <c r="S37" s="549"/>
      <c r="T37" s="91"/>
      <c r="U37" s="556"/>
      <c r="V37" s="557"/>
      <c r="W37" s="557"/>
      <c r="X37" s="557"/>
      <c r="Y37" s="557"/>
      <c r="Z37" s="557"/>
      <c r="AA37" s="557"/>
      <c r="AB37" s="557"/>
      <c r="AC37" s="557"/>
      <c r="AD37" s="557"/>
      <c r="AE37" s="557"/>
      <c r="AF37" s="557"/>
      <c r="AG37" s="557"/>
      <c r="AH37" s="557"/>
      <c r="AI37" s="557"/>
      <c r="AJ37" s="557"/>
      <c r="AK37" s="557"/>
      <c r="AS37" s="50">
        <v>14</v>
      </c>
    </row>
    <row r="38" ht="14.65" customHeight="1">
      <c r="Q38" s="548"/>
      <c r="R38" s="548"/>
      <c r="S38" s="157" t="s">
        <v>305</v>
      </c>
      <c r="T38" s="157"/>
      <c r="U38" s="157"/>
      <c r="V38" s="157"/>
      <c r="W38" s="157"/>
      <c r="X38" s="157"/>
      <c r="Y38" s="157"/>
      <c r="Z38" s="157"/>
      <c r="AA38" s="157"/>
      <c r="AB38" s="157"/>
      <c r="AC38" s="157"/>
      <c r="AD38" s="157"/>
      <c r="AE38" s="157"/>
      <c r="AF38" s="157"/>
      <c r="AG38" s="157"/>
      <c r="AH38" s="157"/>
      <c r="AI38" s="157"/>
      <c r="AJ38" s="157"/>
      <c r="AK38" s="157"/>
      <c r="AL38" s="157"/>
      <c r="AM38" s="157" t="s">
        <v>306</v>
      </c>
      <c r="AS38" s="50">
        <v>14</v>
      </c>
    </row>
    <row r="39" ht="14.65" customHeight="1">
      <c r="Q39" s="548"/>
      <c r="R39" s="548"/>
      <c r="S39" s="493" t="s">
        <v>89</v>
      </c>
      <c r="T39" s="358" t="s">
        <v>430</v>
      </c>
      <c r="U39" s="558"/>
      <c r="V39" s="559" t="s">
        <v>431</v>
      </c>
      <c r="W39" s="560"/>
      <c r="X39" s="560"/>
      <c r="Y39" s="560"/>
      <c r="Z39" s="560"/>
      <c r="AA39" s="560"/>
      <c r="AB39" s="561"/>
      <c r="AC39" s="562" t="s">
        <v>432</v>
      </c>
      <c r="AD39" s="559" t="s">
        <v>431</v>
      </c>
      <c r="AE39" s="560"/>
      <c r="AF39" s="560"/>
      <c r="AG39" s="560"/>
      <c r="AH39" s="560"/>
      <c r="AI39" s="560"/>
      <c r="AJ39" s="561"/>
      <c r="AK39" s="562" t="s">
        <v>433</v>
      </c>
      <c r="AL39" s="563" t="s">
        <v>434</v>
      </c>
      <c r="AM39" s="157"/>
      <c r="AS39" s="50">
        <v>14</v>
      </c>
    </row>
    <row r="40" ht="35.649999999999999" customHeight="1">
      <c r="Q40" s="548"/>
      <c r="R40" s="548"/>
      <c r="S40" s="493"/>
      <c r="T40" s="358"/>
      <c r="U40" s="564"/>
      <c r="V40" s="320" t="s">
        <v>435</v>
      </c>
      <c r="W40" s="565" t="s">
        <v>436</v>
      </c>
      <c r="X40" s="73" t="s">
        <v>437</v>
      </c>
      <c r="Y40" s="72"/>
      <c r="Z40" s="73" t="s">
        <v>450</v>
      </c>
      <c r="AA40" s="145"/>
      <c r="AB40" s="72"/>
      <c r="AC40" s="566"/>
      <c r="AD40" s="320" t="s">
        <v>435</v>
      </c>
      <c r="AE40" s="565" t="s">
        <v>436</v>
      </c>
      <c r="AF40" s="73" t="s">
        <v>437</v>
      </c>
      <c r="AG40" s="72"/>
      <c r="AH40" s="73" t="s">
        <v>438</v>
      </c>
      <c r="AI40" s="145"/>
      <c r="AJ40" s="72"/>
      <c r="AK40" s="566"/>
      <c r="AL40" s="567"/>
      <c r="AM40" s="157"/>
      <c r="AS40" s="50">
        <v>34</v>
      </c>
    </row>
    <row r="41" ht="35.649999999999999" customHeight="1">
      <c r="A41" s="151"/>
      <c r="B41" s="151" t="s">
        <v>135</v>
      </c>
      <c r="C41" s="151" t="s">
        <v>136</v>
      </c>
      <c r="D41" s="151" t="s">
        <v>137</v>
      </c>
      <c r="E41" s="490" t="s">
        <v>439</v>
      </c>
      <c r="F41" s="490" t="s">
        <v>440</v>
      </c>
      <c r="G41" s="490" t="s">
        <v>441</v>
      </c>
      <c r="H41" s="490" t="s">
        <v>442</v>
      </c>
      <c r="I41" s="490" t="s">
        <v>443</v>
      </c>
      <c r="J41" s="490" t="s">
        <v>444</v>
      </c>
      <c r="K41" s="490" t="s">
        <v>445</v>
      </c>
      <c r="L41" s="490" t="s">
        <v>420</v>
      </c>
      <c r="Q41" s="548"/>
      <c r="R41" s="548"/>
      <c r="S41" s="493"/>
      <c r="T41" s="358"/>
      <c r="U41" s="568"/>
      <c r="V41" s="162"/>
      <c r="W41" s="569"/>
      <c r="X41" s="246" t="s">
        <v>446</v>
      </c>
      <c r="Y41" s="246" t="s">
        <v>447</v>
      </c>
      <c r="Z41" s="246" t="s">
        <v>448</v>
      </c>
      <c r="AA41" s="424" t="s">
        <v>449</v>
      </c>
      <c r="AB41" s="426"/>
      <c r="AC41" s="570"/>
      <c r="AD41" s="162"/>
      <c r="AE41" s="569"/>
      <c r="AF41" s="246" t="s">
        <v>446</v>
      </c>
      <c r="AG41" s="246" t="s">
        <v>447</v>
      </c>
      <c r="AH41" s="246" t="s">
        <v>448</v>
      </c>
      <c r="AI41" s="424" t="s">
        <v>449</v>
      </c>
      <c r="AJ41" s="426"/>
      <c r="AK41" s="570"/>
      <c r="AL41" s="571"/>
      <c r="AM41" s="157"/>
      <c r="AS41" s="50">
        <v>34</v>
      </c>
    </row>
    <row r="42" s="131" customFormat="1" ht="11.25" hidden="1" customHeight="1">
      <c r="A42" s="151"/>
      <c r="B42" s="151"/>
      <c r="C42" s="151"/>
      <c r="D42" s="151"/>
      <c r="E42" s="151"/>
      <c r="F42" s="151"/>
      <c r="G42" s="151"/>
      <c r="H42" s="151"/>
      <c r="I42" s="151"/>
      <c r="J42" s="151"/>
      <c r="K42" s="151"/>
      <c r="L42" s="490"/>
      <c r="M42" s="61"/>
      <c r="N42" s="61"/>
      <c r="O42" s="61"/>
      <c r="P42" s="572"/>
      <c r="Q42" s="573"/>
      <c r="R42" s="574">
        <v>1</v>
      </c>
      <c r="S42" s="575" t="s">
        <v>109</v>
      </c>
      <c r="T42" s="576" t="s">
        <v>110</v>
      </c>
      <c r="U42" s="577" t="str">
        <f ca="1">OFFSET(U42,0,-1)</f>
        <v>2</v>
      </c>
      <c r="V42" s="578">
        <f ca="1">OFFSET(V42,0,-1)+1</f>
        <v>3</v>
      </c>
      <c r="W42" s="578"/>
      <c r="X42" s="578">
        <f ca="1">OFFSET(X42,0,-1)+1</f>
        <v>1</v>
      </c>
      <c r="Y42" s="578">
        <f ca="1">OFFSET(Y42,0,-1)+1</f>
        <v>2</v>
      </c>
      <c r="Z42" s="578">
        <f ca="1">OFFSET(Z42,0,-1)+1</f>
        <v>3</v>
      </c>
      <c r="AA42" s="578">
        <f ca="1">OFFSET(AA42,0,-1)+1</f>
        <v>4</v>
      </c>
      <c r="AB42" s="578"/>
      <c r="AC42" s="578">
        <f ca="1">OFFSET(AC42,0,-2)+1</f>
        <v>5</v>
      </c>
      <c r="AD42" s="578">
        <f ca="1">OFFSET(AD42,0,-1)+1</f>
        <v>6</v>
      </c>
      <c r="AE42" s="578"/>
      <c r="AF42" s="578">
        <f ca="1">OFFSET(AF42,0,-1)+1</f>
        <v>1</v>
      </c>
      <c r="AG42" s="578">
        <f ca="1">OFFSET(AG42,0,-1)+1</f>
        <v>2</v>
      </c>
      <c r="AH42" s="578">
        <f ca="1">OFFSET(AH42,0,-1)+1</f>
        <v>3</v>
      </c>
      <c r="AI42" s="578">
        <f ca="1">OFFSET(AI42,0,-1)+1</f>
        <v>4</v>
      </c>
      <c r="AJ42" s="578"/>
      <c r="AK42" s="578">
        <f ca="1">OFFSET(AK42,0,-2)+1</f>
        <v>5</v>
      </c>
      <c r="AL42" s="577">
        <f ca="1">OFFSET(AL42,0,-1)</f>
        <v>5</v>
      </c>
      <c r="AM42" s="578">
        <f ca="1">OFFSET(AM42,0,-1)+1</f>
        <v>6</v>
      </c>
      <c r="AN42" s="57"/>
      <c r="AO42" s="57"/>
      <c r="AP42" s="57"/>
      <c r="AQ42" s="57"/>
      <c r="AR42" s="57"/>
      <c r="AS42" s="131">
        <v>0</v>
      </c>
    </row>
    <row r="43" ht="22" customHeight="1">
      <c r="A43" s="488" t="s">
        <v>162</v>
      </c>
      <c r="B43" s="488"/>
      <c r="C43" s="488"/>
      <c r="D43" s="488"/>
      <c r="E43" s="489">
        <v>1</v>
      </c>
      <c r="F43" s="488"/>
      <c r="G43" s="488"/>
      <c r="H43" s="488"/>
      <c r="I43" s="488"/>
      <c r="J43" s="488"/>
      <c r="K43" s="488"/>
      <c r="L43" s="490"/>
      <c r="M43" s="491"/>
      <c r="N43" s="491"/>
      <c r="O43" s="491"/>
      <c r="P43" s="60"/>
      <c r="Q43" s="143"/>
      <c r="R43" s="492"/>
      <c r="S43" s="493">
        <f>INDEX(PT_DIFFERENTIATION_NUM_NTAR,MATCH(A43,PT_DIFFERENTIATION_NTAR_ID,0))</f>
        <v>0</v>
      </c>
      <c r="T43" s="494" t="s">
        <v>123</v>
      </c>
      <c r="U43" s="495"/>
      <c r="V43" s="496"/>
      <c r="W43" s="497"/>
      <c r="X43" s="497"/>
      <c r="Y43" s="497"/>
      <c r="Z43" s="497"/>
      <c r="AA43" s="497"/>
      <c r="AB43" s="497"/>
      <c r="AC43" s="498"/>
      <c r="AD43" s="496" t="str">
        <f>INDEX(PT_DIFFERENTIATION_NTAR,MATCH(A43,PT_DIFFERENTIATION_NTAR_ID,0))</f>
        <v/>
      </c>
      <c r="AE43" s="497"/>
      <c r="AF43" s="497"/>
      <c r="AG43" s="497"/>
      <c r="AH43" s="497"/>
      <c r="AI43" s="497"/>
      <c r="AJ43" s="497"/>
      <c r="AK43" s="497"/>
      <c r="AL43" s="498"/>
      <c r="AM43" s="49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29"/>
      <c r="AP43" s="129" t="str">
        <f t="shared" si="5"/>
        <v xml:space="preserve">Наименование тарифа</v>
      </c>
      <c r="AQ43" s="129"/>
      <c r="AR43" s="129"/>
      <c r="AS43" s="50">
        <v>21</v>
      </c>
    </row>
    <row r="44" ht="22" customHeight="1">
      <c r="A44" s="488" t="s">
        <v>162</v>
      </c>
      <c r="B44" s="488" t="s">
        <v>163</v>
      </c>
      <c r="C44" s="488"/>
      <c r="D44" s="488"/>
      <c r="E44" s="500"/>
      <c r="F44" s="489">
        <v>1</v>
      </c>
      <c r="G44" s="488"/>
      <c r="H44" s="488"/>
      <c r="I44" s="488"/>
      <c r="J44" s="488"/>
      <c r="K44" s="488"/>
      <c r="L44" s="490"/>
      <c r="M44" s="491"/>
      <c r="N44" s="491"/>
      <c r="O44" s="491"/>
      <c r="P44" s="51"/>
      <c r="Q44" s="501"/>
      <c r="R44" s="502"/>
      <c r="S44" s="493" t="str">
        <f>INDEX(PT_DIFFERENTIATION_NUM_TER,MATCH(B44,PT_DIFFERENTIATION_TER_ID,0))</f>
        <v>.</v>
      </c>
      <c r="T44" s="503" t="s">
        <v>402</v>
      </c>
      <c r="U44" s="495"/>
      <c r="V44" s="496"/>
      <c r="W44" s="497"/>
      <c r="X44" s="497"/>
      <c r="Y44" s="497"/>
      <c r="Z44" s="497"/>
      <c r="AA44" s="497"/>
      <c r="AB44" s="497"/>
      <c r="AC44" s="498"/>
      <c r="AD44" s="496" t="str">
        <f>INDEX(PT_DIFFERENTIATION_TER,MATCH(B44,PT_DIFFERENTIATION_TER_ID,0))</f>
        <v/>
      </c>
      <c r="AE44" s="497"/>
      <c r="AF44" s="497"/>
      <c r="AG44" s="497"/>
      <c r="AH44" s="497"/>
      <c r="AI44" s="497"/>
      <c r="AJ44" s="497"/>
      <c r="AK44" s="497"/>
      <c r="AL44" s="498"/>
      <c r="AM44" s="499" t="s">
        <v>403</v>
      </c>
      <c r="AO44" s="129"/>
      <c r="AP44" s="129" t="str">
        <f t="shared" si="5"/>
        <v xml:space="preserve">Территория действия тарифа</v>
      </c>
      <c r="AQ44" s="129"/>
      <c r="AR44" s="129"/>
      <c r="AS44" s="50">
        <v>21</v>
      </c>
    </row>
    <row r="45" ht="24" customHeight="1">
      <c r="A45" s="488" t="s">
        <v>162</v>
      </c>
      <c r="B45" s="488" t="s">
        <v>163</v>
      </c>
      <c r="C45" s="488" t="s">
        <v>164</v>
      </c>
      <c r="D45" s="488"/>
      <c r="E45" s="500"/>
      <c r="F45" s="500"/>
      <c r="G45" s="489">
        <v>1</v>
      </c>
      <c r="H45" s="488"/>
      <c r="I45" s="488"/>
      <c r="J45" s="488"/>
      <c r="K45" s="488"/>
      <c r="L45" s="490"/>
      <c r="M45" s="491"/>
      <c r="N45" s="491"/>
      <c r="O45" s="491"/>
      <c r="P45" s="504"/>
      <c r="Q45" s="501"/>
      <c r="R45" s="502"/>
      <c r="S45" s="493" t="str">
        <f>INDEX(PT_DIFFERENTIATION_NUM_CS,MATCH(C45,PT_DIFFERENTIATION_CS_ID,0))</f>
        <v>..</v>
      </c>
      <c r="T45" s="505" t="s">
        <v>404</v>
      </c>
      <c r="U45" s="495"/>
      <c r="V45" s="496"/>
      <c r="W45" s="497"/>
      <c r="X45" s="497"/>
      <c r="Y45" s="497"/>
      <c r="Z45" s="497"/>
      <c r="AA45" s="497"/>
      <c r="AB45" s="497"/>
      <c r="AC45" s="498"/>
      <c r="AD45" s="496" t="str">
        <f>INDEX(PT_DIFFERENTIATION_CS,MATCH(C45,PT_DIFFERENTIATION_CS_ID,0))</f>
        <v/>
      </c>
      <c r="AE45" s="497"/>
      <c r="AF45" s="497"/>
      <c r="AG45" s="497"/>
      <c r="AH45" s="497"/>
      <c r="AI45" s="497"/>
      <c r="AJ45" s="497"/>
      <c r="AK45" s="497"/>
      <c r="AL45" s="498"/>
      <c r="AM45" s="499" t="s">
        <v>405</v>
      </c>
      <c r="AO45" s="129"/>
      <c r="AP45" s="129" t="str">
        <f t="shared" si="5"/>
        <v xml:space="preserve">Наименование системы теплоснабжения </v>
      </c>
      <c r="AQ45" s="129"/>
      <c r="AR45" s="129"/>
      <c r="AS45" s="50">
        <v>23</v>
      </c>
    </row>
    <row r="46" ht="22" customHeight="1">
      <c r="A46" s="488" t="s">
        <v>162</v>
      </c>
      <c r="B46" s="488" t="s">
        <v>163</v>
      </c>
      <c r="C46" s="488" t="s">
        <v>164</v>
      </c>
      <c r="D46" s="488" t="s">
        <v>165</v>
      </c>
      <c r="E46" s="500"/>
      <c r="F46" s="500"/>
      <c r="G46" s="500"/>
      <c r="H46" s="489">
        <v>1</v>
      </c>
      <c r="I46" s="488"/>
      <c r="J46" s="488"/>
      <c r="K46" s="488"/>
      <c r="L46" s="490"/>
      <c r="M46" s="491"/>
      <c r="N46" s="491"/>
      <c r="O46" s="491"/>
      <c r="P46" s="504"/>
      <c r="Q46" s="501"/>
      <c r="R46" s="502"/>
      <c r="S46" s="493" t="str">
        <f>INDEX(PT_DIFFERENTIATION_NUM_IST_TE,MATCH(D46,PT_DIFFERENTIATION_IST_TE_ID,0))</f>
        <v>...</v>
      </c>
      <c r="T46" s="506" t="s">
        <v>406</v>
      </c>
      <c r="U46" s="495"/>
      <c r="V46" s="496"/>
      <c r="W46" s="497"/>
      <c r="X46" s="497"/>
      <c r="Y46" s="497"/>
      <c r="Z46" s="497"/>
      <c r="AA46" s="497"/>
      <c r="AB46" s="497"/>
      <c r="AC46" s="498"/>
      <c r="AD46" s="496" t="str">
        <f>INDEX(PT_DIFFERENTIATION_IST_TE,MATCH(D46,PT_DIFFERENTIATION_IST_TE_ID,0))</f>
        <v/>
      </c>
      <c r="AE46" s="497"/>
      <c r="AF46" s="497"/>
      <c r="AG46" s="497"/>
      <c r="AH46" s="497"/>
      <c r="AI46" s="497"/>
      <c r="AJ46" s="497"/>
      <c r="AK46" s="497"/>
      <c r="AL46" s="498"/>
      <c r="AM46" s="499" t="s">
        <v>407</v>
      </c>
      <c r="AO46" s="129"/>
      <c r="AP46" s="129" t="str">
        <f t="shared" si="5"/>
        <v xml:space="preserve">Источник тепловой энергии  </v>
      </c>
      <c r="AQ46" s="129"/>
      <c r="AR46" s="129"/>
      <c r="AS46" s="50">
        <v>21</v>
      </c>
    </row>
    <row r="47" ht="49.5" customHeight="1">
      <c r="A47" s="488" t="s">
        <v>162</v>
      </c>
      <c r="B47" s="488" t="s">
        <v>163</v>
      </c>
      <c r="C47" s="488" t="s">
        <v>164</v>
      </c>
      <c r="D47" s="488" t="s">
        <v>165</v>
      </c>
      <c r="E47" s="500"/>
      <c r="F47" s="500"/>
      <c r="G47" s="500"/>
      <c r="H47" s="500"/>
      <c r="I47" s="507" t="str">
        <f>S46&amp;".1"</f>
        <v>....1</v>
      </c>
      <c r="J47" s="488"/>
      <c r="K47" s="488"/>
      <c r="L47" s="490" t="s">
        <v>408</v>
      </c>
      <c r="P47" s="132">
        <v>1</v>
      </c>
      <c r="Q47" s="132"/>
      <c r="R47" s="508"/>
      <c r="S47" s="493" t="str">
        <f>$I47</f>
        <v>....1</v>
      </c>
      <c r="T47" s="509" t="s">
        <v>409</v>
      </c>
      <c r="U47" s="495"/>
      <c r="V47" s="440"/>
      <c r="W47" s="510"/>
      <c r="X47" s="510"/>
      <c r="Y47" s="510"/>
      <c r="Z47" s="510"/>
      <c r="AA47" s="510"/>
      <c r="AB47" s="510"/>
      <c r="AC47" s="511"/>
      <c r="AD47" s="440"/>
      <c r="AE47" s="510"/>
      <c r="AF47" s="510"/>
      <c r="AG47" s="510"/>
      <c r="AH47" s="510"/>
      <c r="AI47" s="510"/>
      <c r="AJ47" s="510"/>
      <c r="AK47" s="510"/>
      <c r="AL47" s="511"/>
      <c r="AM47" s="499" t="s">
        <v>410</v>
      </c>
      <c r="AO47" s="129"/>
      <c r="AP47" s="129" t="str">
        <f t="shared" si="5"/>
        <v xml:space="preserve">Схема подключения теплопотребляющей установки к коллектору источника тепловой энергии</v>
      </c>
      <c r="AQ47" s="129"/>
      <c r="AR47" s="129"/>
      <c r="AS47" s="50">
        <v>47</v>
      </c>
    </row>
    <row r="48" ht="22" customHeight="1">
      <c r="A48" s="488" t="s">
        <v>162</v>
      </c>
      <c r="B48" s="488" t="s">
        <v>163</v>
      </c>
      <c r="C48" s="488" t="s">
        <v>164</v>
      </c>
      <c r="D48" s="488" t="s">
        <v>165</v>
      </c>
      <c r="E48" s="500"/>
      <c r="F48" s="500"/>
      <c r="G48" s="500"/>
      <c r="H48" s="500"/>
      <c r="I48" s="512"/>
      <c r="J48" s="507" t="str">
        <f>I47&amp;".1"</f>
        <v>....1.1</v>
      </c>
      <c r="K48" s="488"/>
      <c r="L48" s="490" t="s">
        <v>411</v>
      </c>
      <c r="P48" s="132"/>
      <c r="Q48" s="132">
        <v>1</v>
      </c>
      <c r="R48" s="513"/>
      <c r="S48" s="493" t="str">
        <f>$J48</f>
        <v>....1.1</v>
      </c>
      <c r="T48" s="514" t="s">
        <v>412</v>
      </c>
      <c r="U48" s="495"/>
      <c r="V48" s="440"/>
      <c r="W48" s="510"/>
      <c r="X48" s="510"/>
      <c r="Y48" s="510"/>
      <c r="Z48" s="510"/>
      <c r="AA48" s="510"/>
      <c r="AB48" s="510"/>
      <c r="AC48" s="511"/>
      <c r="AD48" s="440"/>
      <c r="AE48" s="510"/>
      <c r="AF48" s="510"/>
      <c r="AG48" s="510"/>
      <c r="AH48" s="510"/>
      <c r="AI48" s="510"/>
      <c r="AJ48" s="510"/>
      <c r="AK48" s="510"/>
      <c r="AL48" s="511"/>
      <c r="AM48" s="499" t="s">
        <v>413</v>
      </c>
      <c r="AO48" s="129"/>
      <c r="AP48" s="129" t="str">
        <f t="shared" si="5"/>
        <v xml:space="preserve">Группа потребителей</v>
      </c>
      <c r="AQ48" s="129"/>
      <c r="AR48" s="129"/>
      <c r="AS48" s="50">
        <v>21</v>
      </c>
    </row>
    <row r="49" ht="22" customHeight="1">
      <c r="A49" s="488" t="s">
        <v>162</v>
      </c>
      <c r="B49" s="488" t="s">
        <v>163</v>
      </c>
      <c r="C49" s="488" t="s">
        <v>164</v>
      </c>
      <c r="D49" s="488" t="s">
        <v>165</v>
      </c>
      <c r="E49" s="500"/>
      <c r="F49" s="500"/>
      <c r="G49" s="500"/>
      <c r="H49" s="500"/>
      <c r="I49" s="512"/>
      <c r="J49" s="512"/>
      <c r="K49" s="507" t="str">
        <f>J48&amp;".1"</f>
        <v>....1.1.1</v>
      </c>
      <c r="L49" s="490" t="s">
        <v>414</v>
      </c>
      <c r="P49" s="132"/>
      <c r="Q49" s="132"/>
      <c r="R49" s="513">
        <v>1</v>
      </c>
      <c r="S49" s="493" t="str">
        <f>$K49</f>
        <v>....1.1.1</v>
      </c>
      <c r="T49" s="515"/>
      <c r="U49" s="495"/>
      <c r="V49" s="516"/>
      <c r="W49" s="517"/>
      <c r="X49" s="516"/>
      <c r="Y49" s="518"/>
      <c r="Z49" s="519"/>
      <c r="AA49" s="224" t="s">
        <v>67</v>
      </c>
      <c r="AB49" s="519"/>
      <c r="AC49" s="224" t="s">
        <v>67</v>
      </c>
      <c r="AD49" s="516"/>
      <c r="AE49" s="517"/>
      <c r="AF49" s="516"/>
      <c r="AG49" s="518"/>
      <c r="AH49" s="519"/>
      <c r="AI49" s="224" t="s">
        <v>67</v>
      </c>
      <c r="AJ49" s="579"/>
      <c r="AK49" s="224" t="s">
        <v>67</v>
      </c>
      <c r="AL49" s="580"/>
      <c r="AM49" s="520" t="s">
        <v>415</v>
      </c>
      <c r="AN49" s="57" t="e">
        <f>STRCHECKDATE(V50:AL50)</f>
        <v>#NAME?</v>
      </c>
      <c r="AO49" s="129"/>
      <c r="AP49" s="129" t="str">
        <f t="shared" si="5"/>
        <v/>
      </c>
      <c r="AQ49" s="129"/>
      <c r="AR49" s="129"/>
      <c r="AS49" s="50">
        <v>21</v>
      </c>
    </row>
    <row r="50" ht="1.05" customHeight="1">
      <c r="A50" s="488" t="s">
        <v>162</v>
      </c>
      <c r="B50" s="488" t="s">
        <v>163</v>
      </c>
      <c r="C50" s="488" t="s">
        <v>164</v>
      </c>
      <c r="D50" s="488" t="s">
        <v>165</v>
      </c>
      <c r="E50" s="500"/>
      <c r="F50" s="500"/>
      <c r="G50" s="500"/>
      <c r="H50" s="500"/>
      <c r="I50" s="512"/>
      <c r="J50" s="512"/>
      <c r="K50" s="507"/>
      <c r="L50" s="490"/>
      <c r="P50" s="132"/>
      <c r="Q50" s="132"/>
      <c r="R50" s="513"/>
      <c r="S50" s="467"/>
      <c r="T50" s="495"/>
      <c r="U50" s="495"/>
      <c r="V50" s="517"/>
      <c r="W50" s="517"/>
      <c r="X50" s="517"/>
      <c r="Y50" s="521" t="str">
        <f>Z49&amp;"-"&amp;AB49</f>
        <v>-</v>
      </c>
      <c r="Z50" s="522"/>
      <c r="AA50" s="224"/>
      <c r="AB50" s="522"/>
      <c r="AC50" s="224"/>
      <c r="AD50" s="517"/>
      <c r="AE50" s="517"/>
      <c r="AF50" s="517"/>
      <c r="AG50" s="521" t="str">
        <f>AH49&amp;"-"&amp;AJ49</f>
        <v>-</v>
      </c>
      <c r="AH50" s="522"/>
      <c r="AI50" s="224"/>
      <c r="AJ50" s="581"/>
      <c r="AK50" s="224"/>
      <c r="AL50" s="582"/>
      <c r="AM50" s="523"/>
      <c r="AO50" s="129"/>
      <c r="AP50" s="129" t="str">
        <f t="shared" si="5"/>
        <v/>
      </c>
      <c r="AQ50" s="129"/>
      <c r="AR50" s="129"/>
      <c r="AS50" s="50">
        <v>1</v>
      </c>
    </row>
    <row r="51" ht="11.5" customHeight="1">
      <c r="A51" s="488" t="s">
        <v>162</v>
      </c>
      <c r="B51" s="488" t="s">
        <v>163</v>
      </c>
      <c r="C51" s="488" t="s">
        <v>164</v>
      </c>
      <c r="D51" s="488" t="s">
        <v>165</v>
      </c>
      <c r="E51" s="500"/>
      <c r="F51" s="500"/>
      <c r="G51" s="500"/>
      <c r="H51" s="500"/>
      <c r="I51" s="512"/>
      <c r="J51" s="507"/>
      <c r="K51" s="488"/>
      <c r="L51" s="490"/>
      <c r="P51" s="132"/>
      <c r="Q51" s="132"/>
      <c r="R51" s="508"/>
      <c r="S51" s="524"/>
      <c r="T51" s="525" t="s">
        <v>416</v>
      </c>
      <c r="U51" s="214"/>
      <c r="V51" s="214"/>
      <c r="W51" s="214"/>
      <c r="X51" s="214"/>
      <c r="Y51" s="214"/>
      <c r="Z51" s="214"/>
      <c r="AA51" s="214"/>
      <c r="AB51" s="214"/>
      <c r="AC51" s="214"/>
      <c r="AD51" s="214"/>
      <c r="AE51" s="214"/>
      <c r="AF51" s="214"/>
      <c r="AG51" s="214"/>
      <c r="AH51" s="214"/>
      <c r="AI51" s="214"/>
      <c r="AJ51" s="214"/>
      <c r="AK51" s="214"/>
      <c r="AL51" s="526"/>
      <c r="AM51" s="527"/>
      <c r="AO51" s="129"/>
      <c r="AP51" s="129" t="str">
        <f t="shared" si="5"/>
        <v xml:space="preserve">Добавить вид теплоносителя (параметры теплоносителя)</v>
      </c>
      <c r="AQ51" s="129"/>
      <c r="AR51" s="129"/>
      <c r="AS51" s="50">
        <v>11</v>
      </c>
    </row>
    <row r="52" ht="11.5" customHeight="1">
      <c r="A52" s="488" t="s">
        <v>162</v>
      </c>
      <c r="B52" s="488" t="s">
        <v>163</v>
      </c>
      <c r="C52" s="488" t="s">
        <v>164</v>
      </c>
      <c r="D52" s="488" t="s">
        <v>165</v>
      </c>
      <c r="E52" s="500"/>
      <c r="F52" s="500"/>
      <c r="G52" s="500"/>
      <c r="H52" s="500"/>
      <c r="I52" s="507"/>
      <c r="J52" s="488"/>
      <c r="K52" s="488"/>
      <c r="L52" s="490"/>
      <c r="P52" s="132"/>
      <c r="Q52" s="132"/>
      <c r="R52" s="508"/>
      <c r="S52" s="524"/>
      <c r="T52" s="528" t="s">
        <v>417</v>
      </c>
      <c r="U52" s="214"/>
      <c r="V52" s="214"/>
      <c r="W52" s="214"/>
      <c r="X52" s="214"/>
      <c r="Y52" s="214"/>
      <c r="Z52" s="214"/>
      <c r="AA52" s="214"/>
      <c r="AB52" s="214"/>
      <c r="AC52" s="529"/>
      <c r="AD52" s="214"/>
      <c r="AE52" s="214"/>
      <c r="AF52" s="214"/>
      <c r="AG52" s="214"/>
      <c r="AH52" s="214"/>
      <c r="AI52" s="214"/>
      <c r="AJ52" s="214"/>
      <c r="AK52" s="529"/>
      <c r="AL52" s="214"/>
      <c r="AM52" s="530"/>
      <c r="AO52" s="129"/>
      <c r="AP52" s="129" t="str">
        <f t="shared" si="5"/>
        <v xml:space="preserve">Добавить группу потребителей</v>
      </c>
      <c r="AQ52" s="129"/>
      <c r="AR52" s="129"/>
      <c r="AS52" s="50">
        <v>11</v>
      </c>
    </row>
    <row r="53" ht="14.65" customHeight="1">
      <c r="A53" s="488" t="s">
        <v>162</v>
      </c>
      <c r="B53" s="488" t="s">
        <v>163</v>
      </c>
      <c r="C53" s="488" t="s">
        <v>164</v>
      </c>
      <c r="D53" s="488" t="s">
        <v>165</v>
      </c>
      <c r="E53" s="500"/>
      <c r="F53" s="500"/>
      <c r="G53" s="500"/>
      <c r="H53" s="489"/>
      <c r="I53" s="488"/>
      <c r="J53" s="488"/>
      <c r="K53" s="488"/>
      <c r="L53" s="490"/>
      <c r="M53" s="491"/>
      <c r="N53" s="491"/>
      <c r="O53" s="53"/>
      <c r="P53" s="143"/>
      <c r="Q53" s="531"/>
      <c r="R53" s="492"/>
      <c r="S53" s="524"/>
      <c r="T53" s="532" t="s">
        <v>418</v>
      </c>
      <c r="U53" s="214"/>
      <c r="V53" s="214"/>
      <c r="W53" s="214"/>
      <c r="X53" s="214"/>
      <c r="Y53" s="214"/>
      <c r="Z53" s="214"/>
      <c r="AA53" s="214"/>
      <c r="AB53" s="214"/>
      <c r="AC53" s="529"/>
      <c r="AD53" s="214"/>
      <c r="AE53" s="214"/>
      <c r="AF53" s="214"/>
      <c r="AG53" s="214"/>
      <c r="AH53" s="214"/>
      <c r="AI53" s="214"/>
      <c r="AJ53" s="214"/>
      <c r="AK53" s="529"/>
      <c r="AL53" s="214"/>
      <c r="AM53" s="530"/>
      <c r="AO53" s="129"/>
      <c r="AP53" s="129" t="str">
        <f t="shared" si="5"/>
        <v xml:space="preserve">Добавить схему подключения</v>
      </c>
      <c r="AQ53" s="129"/>
      <c r="AR53" s="129"/>
      <c r="AS53" s="50">
        <v>14</v>
      </c>
    </row>
    <row r="54" s="57" customFormat="1" ht="1.05" customHeight="1">
      <c r="A54" s="133" t="s">
        <v>162</v>
      </c>
      <c r="B54" s="133" t="s">
        <v>163</v>
      </c>
      <c r="C54" s="133" t="s">
        <v>164</v>
      </c>
      <c r="D54" s="133"/>
      <c r="E54" s="500"/>
      <c r="F54" s="500"/>
      <c r="G54" s="489"/>
      <c r="H54" s="133"/>
      <c r="I54" s="133"/>
      <c r="J54" s="133"/>
      <c r="K54" s="133"/>
      <c r="L54" s="212"/>
      <c r="M54" s="473"/>
      <c r="N54" s="473"/>
      <c r="P54" s="167"/>
      <c r="Q54" s="533"/>
      <c r="R54" s="167"/>
      <c r="S54" s="538"/>
      <c r="T54" s="541" t="s">
        <v>211</v>
      </c>
      <c r="U54" s="540"/>
      <c r="V54" s="540"/>
      <c r="W54" s="540"/>
      <c r="X54" s="540"/>
      <c r="Y54" s="540"/>
      <c r="Z54" s="540"/>
      <c r="AA54" s="540"/>
      <c r="AB54" s="540"/>
      <c r="AC54" s="540"/>
      <c r="AD54" s="540"/>
      <c r="AE54" s="540"/>
      <c r="AF54" s="540"/>
      <c r="AG54" s="540"/>
      <c r="AH54" s="540"/>
      <c r="AI54" s="540"/>
      <c r="AJ54" s="540"/>
      <c r="AK54" s="540"/>
      <c r="AL54" s="540"/>
      <c r="AM54" s="540"/>
      <c r="AO54" s="129"/>
      <c r="AP54" s="129" t="str">
        <f t="shared" si="5"/>
        <v xml:space="preserve">Добавить источник для дифференциации</v>
      </c>
      <c r="AQ54" s="129"/>
      <c r="AR54" s="129"/>
      <c r="AS54" s="57">
        <v>1</v>
      </c>
    </row>
    <row r="55" s="57" customFormat="1" ht="1.05" customHeight="1">
      <c r="A55" s="133" t="s">
        <v>162</v>
      </c>
      <c r="B55" s="133" t="s">
        <v>163</v>
      </c>
      <c r="C55" s="133"/>
      <c r="D55" s="133"/>
      <c r="E55" s="500"/>
      <c r="F55" s="489"/>
      <c r="G55" s="133"/>
      <c r="H55" s="133"/>
      <c r="I55" s="133"/>
      <c r="J55" s="133"/>
      <c r="K55" s="133"/>
      <c r="L55" s="212"/>
      <c r="M55" s="537"/>
      <c r="N55" s="537"/>
      <c r="P55" s="167"/>
      <c r="Q55" s="533"/>
      <c r="R55" s="167"/>
      <c r="S55" s="538"/>
      <c r="T55" s="541" t="s">
        <v>212</v>
      </c>
      <c r="U55" s="540"/>
      <c r="V55" s="540"/>
      <c r="W55" s="540"/>
      <c r="X55" s="540"/>
      <c r="Y55" s="540"/>
      <c r="Z55" s="540"/>
      <c r="AA55" s="540"/>
      <c r="AB55" s="540"/>
      <c r="AC55" s="540"/>
      <c r="AD55" s="540"/>
      <c r="AE55" s="540"/>
      <c r="AF55" s="540"/>
      <c r="AG55" s="540"/>
      <c r="AH55" s="540"/>
      <c r="AI55" s="540"/>
      <c r="AJ55" s="540"/>
      <c r="AK55" s="540"/>
      <c r="AL55" s="540"/>
      <c r="AM55" s="540"/>
      <c r="AO55" s="129"/>
      <c r="AP55" s="129" t="str">
        <f t="shared" si="5"/>
        <v xml:space="preserve">Добавить централизованную систему для дифференциации</v>
      </c>
      <c r="AQ55" s="129"/>
      <c r="AR55" s="129"/>
      <c r="AS55" s="57">
        <v>1</v>
      </c>
    </row>
    <row r="56" s="57" customFormat="1" ht="1.05" customHeight="1">
      <c r="A56" s="133" t="s">
        <v>162</v>
      </c>
      <c r="B56" s="133"/>
      <c r="C56" s="133"/>
      <c r="D56" s="133"/>
      <c r="E56" s="489"/>
      <c r="F56" s="133"/>
      <c r="G56" s="133"/>
      <c r="H56" s="133"/>
      <c r="I56" s="133"/>
      <c r="J56" s="133"/>
      <c r="K56" s="133"/>
      <c r="L56" s="212"/>
      <c r="M56" s="537"/>
      <c r="N56" s="537"/>
      <c r="O56" s="57"/>
      <c r="P56" s="167"/>
      <c r="Q56" s="533"/>
      <c r="R56" s="167"/>
      <c r="S56" s="538"/>
      <c r="T56" s="541" t="s">
        <v>213</v>
      </c>
      <c r="U56" s="540"/>
      <c r="V56" s="540"/>
      <c r="W56" s="540"/>
      <c r="X56" s="540"/>
      <c r="Y56" s="540"/>
      <c r="Z56" s="540"/>
      <c r="AA56" s="540"/>
      <c r="AB56" s="540"/>
      <c r="AC56" s="540"/>
      <c r="AD56" s="540"/>
      <c r="AE56" s="540"/>
      <c r="AF56" s="540"/>
      <c r="AG56" s="540"/>
      <c r="AH56" s="540"/>
      <c r="AI56" s="540"/>
      <c r="AJ56" s="540"/>
      <c r="AK56" s="540"/>
      <c r="AL56" s="540"/>
      <c r="AM56" s="540"/>
      <c r="AO56" s="129"/>
      <c r="AP56" s="129" t="str">
        <f t="shared" si="5"/>
        <v xml:space="preserve">Добавить территорию для дифференциации</v>
      </c>
      <c r="AQ56" s="129"/>
      <c r="AR56" s="129"/>
      <c r="AS56" s="57">
        <v>1</v>
      </c>
    </row>
    <row r="57" s="57" customFormat="1" ht="1.05" customHeight="1">
      <c r="A57" s="133"/>
      <c r="B57" s="133"/>
      <c r="C57" s="133"/>
      <c r="D57" s="133"/>
      <c r="E57" s="133"/>
      <c r="F57" s="133"/>
      <c r="G57" s="133"/>
      <c r="H57" s="133"/>
      <c r="I57" s="133"/>
      <c r="J57" s="133"/>
      <c r="K57" s="133"/>
      <c r="L57" s="212"/>
      <c r="M57" s="537"/>
      <c r="N57" s="537"/>
      <c r="P57" s="167"/>
      <c r="Q57" s="533"/>
      <c r="R57" s="167"/>
      <c r="S57" s="538"/>
      <c r="T57" s="541" t="s">
        <v>214</v>
      </c>
      <c r="U57" s="540"/>
      <c r="V57" s="540"/>
      <c r="W57" s="540"/>
      <c r="X57" s="540"/>
      <c r="Y57" s="540"/>
      <c r="Z57" s="540"/>
      <c r="AA57" s="540"/>
      <c r="AB57" s="540"/>
      <c r="AC57" s="540"/>
      <c r="AD57" s="540"/>
      <c r="AE57" s="540"/>
      <c r="AF57" s="540"/>
      <c r="AG57" s="540"/>
      <c r="AH57" s="540"/>
      <c r="AI57" s="540"/>
      <c r="AJ57" s="540"/>
      <c r="AK57" s="540"/>
      <c r="AL57" s="540"/>
      <c r="AM57" s="540"/>
      <c r="AO57" s="129"/>
      <c r="AP57" s="129" t="str">
        <f t="shared" si="5"/>
        <v xml:space="preserve">Добавить наименование тарифа</v>
      </c>
      <c r="AQ57" s="129"/>
      <c r="AR57" s="129"/>
      <c r="AS57" s="57">
        <v>1</v>
      </c>
    </row>
    <row r="58" ht="11.5" customHeight="1">
      <c r="M58" s="53"/>
      <c r="N58" s="53"/>
      <c r="O58" s="53"/>
      <c r="P58" s="50"/>
      <c r="Q58" s="50"/>
      <c r="R58" s="50"/>
      <c r="S58" s="50"/>
      <c r="AN58" s="50"/>
      <c r="AO58" s="50"/>
      <c r="AP58" s="50"/>
      <c r="AQ58" s="50"/>
      <c r="AR58" s="50"/>
      <c r="AS58" s="50">
        <v>11</v>
      </c>
    </row>
    <row r="59" ht="28.5" customHeight="1">
      <c r="O59" s="53"/>
      <c r="S59" s="485"/>
      <c r="T59" s="583"/>
      <c r="U59" s="583"/>
      <c r="V59" s="583"/>
      <c r="W59" s="583"/>
      <c r="X59" s="583"/>
      <c r="Y59" s="583"/>
      <c r="Z59" s="583"/>
      <c r="AA59" s="583"/>
      <c r="AB59" s="583"/>
      <c r="AC59" s="583"/>
      <c r="AD59" s="583"/>
      <c r="AE59" s="583"/>
      <c r="AF59" s="583"/>
      <c r="AG59" s="583"/>
      <c r="AH59" s="583"/>
      <c r="AI59" s="583"/>
      <c r="AJ59" s="583"/>
      <c r="AK59" s="583"/>
      <c r="AL59" s="583"/>
      <c r="AM59" s="583"/>
      <c r="AS59" s="50">
        <v>27</v>
      </c>
    </row>
    <row r="60" ht="65.25" customHeight="1">
      <c r="O60" s="53"/>
      <c r="T60" s="583"/>
      <c r="U60" s="583"/>
      <c r="V60" s="583"/>
      <c r="W60" s="583"/>
      <c r="X60" s="583"/>
      <c r="Y60" s="583"/>
      <c r="Z60" s="583"/>
      <c r="AA60" s="583"/>
      <c r="AB60" s="583"/>
      <c r="AC60" s="583"/>
      <c r="AD60" s="583"/>
      <c r="AE60" s="583"/>
      <c r="AF60" s="583"/>
      <c r="AG60" s="583"/>
      <c r="AH60" s="583"/>
      <c r="AI60" s="583"/>
      <c r="AJ60" s="583"/>
      <c r="AK60" s="583"/>
      <c r="AL60" s="583"/>
      <c r="AM60" s="583"/>
      <c r="AS60" s="50">
        <v>62</v>
      </c>
    </row>
    <row r="61" ht="14.65" customHeight="1">
      <c r="O61" s="53"/>
      <c r="AS61" s="50">
        <v>14</v>
      </c>
    </row>
    <row r="62" ht="18.75" customHeight="1">
      <c r="O62" s="53"/>
      <c r="S62" s="485"/>
      <c r="T62" s="583"/>
      <c r="U62" s="583"/>
      <c r="V62" s="583"/>
      <c r="W62" s="583"/>
      <c r="X62" s="583"/>
      <c r="Y62" s="583"/>
      <c r="Z62" s="583"/>
      <c r="AA62" s="583"/>
      <c r="AB62" s="583"/>
      <c r="AC62" s="583"/>
      <c r="AD62" s="583"/>
      <c r="AE62" s="583"/>
      <c r="AF62" s="583"/>
      <c r="AG62" s="583"/>
      <c r="AH62" s="583"/>
      <c r="AI62" s="583"/>
      <c r="AJ62" s="583"/>
      <c r="AK62" s="583"/>
      <c r="AL62" s="583"/>
      <c r="AM62" s="583"/>
      <c r="AS62" s="50">
        <v>18</v>
      </c>
    </row>
    <row r="63" ht="18.75" customHeight="1">
      <c r="O63" s="53"/>
      <c r="T63" s="583"/>
      <c r="U63" s="583"/>
      <c r="V63" s="583"/>
      <c r="W63" s="583"/>
      <c r="X63" s="583"/>
      <c r="Y63" s="583"/>
      <c r="Z63" s="583"/>
      <c r="AA63" s="583"/>
      <c r="AB63" s="583"/>
      <c r="AC63" s="583"/>
      <c r="AD63" s="583"/>
      <c r="AE63" s="583"/>
      <c r="AF63" s="583"/>
      <c r="AG63" s="583"/>
      <c r="AH63" s="583"/>
      <c r="AI63" s="583"/>
      <c r="AJ63" s="583"/>
      <c r="AK63" s="583"/>
      <c r="AL63" s="583"/>
      <c r="AM63" s="583"/>
      <c r="AS63" s="50">
        <v>18</v>
      </c>
    </row>
    <row r="64" ht="29.25" customHeight="1">
      <c r="O64" s="53"/>
      <c r="S64" s="485"/>
      <c r="T64" s="583"/>
      <c r="U64" s="583"/>
      <c r="V64" s="583"/>
      <c r="W64" s="583"/>
      <c r="X64" s="583"/>
      <c r="Y64" s="583"/>
      <c r="Z64" s="583"/>
      <c r="AA64" s="583"/>
      <c r="AB64" s="583"/>
      <c r="AC64" s="583"/>
      <c r="AD64" s="583"/>
      <c r="AE64" s="583"/>
      <c r="AF64" s="583"/>
      <c r="AG64" s="583"/>
      <c r="AH64" s="583"/>
      <c r="AI64" s="583"/>
      <c r="AJ64" s="583"/>
      <c r="AK64" s="583"/>
      <c r="AL64" s="583"/>
      <c r="AM64" s="583"/>
      <c r="AS64" s="50">
        <v>28</v>
      </c>
    </row>
    <row r="65" ht="22.5" hidden="1" customHeight="1">
      <c r="A65" s="53" t="s">
        <v>83</v>
      </c>
      <c r="B65" s="53">
        <v>0</v>
      </c>
      <c r="C65" s="53">
        <v>0</v>
      </c>
      <c r="D65" s="53">
        <v>0</v>
      </c>
      <c r="E65" s="53">
        <v>0</v>
      </c>
      <c r="F65" s="53">
        <v>0</v>
      </c>
      <c r="G65" s="53">
        <v>0</v>
      </c>
      <c r="H65" s="53">
        <v>0</v>
      </c>
      <c r="I65" s="53">
        <v>0</v>
      </c>
      <c r="J65" s="53">
        <v>0</v>
      </c>
      <c r="K65" s="53">
        <v>0</v>
      </c>
      <c r="L65" s="113">
        <v>0</v>
      </c>
      <c r="M65" s="61">
        <v>0</v>
      </c>
      <c r="N65" s="61">
        <v>0</v>
      </c>
      <c r="O65" s="61">
        <v>0</v>
      </c>
      <c r="P65" s="60">
        <v>3</v>
      </c>
      <c r="Q65" s="487">
        <v>3</v>
      </c>
      <c r="R65" s="487">
        <v>3</v>
      </c>
      <c r="S65" s="86">
        <v>12</v>
      </c>
      <c r="T65" s="50">
        <v>31</v>
      </c>
      <c r="U65" s="50">
        <v>0</v>
      </c>
      <c r="V65" s="50">
        <v>0</v>
      </c>
      <c r="W65" s="50">
        <v>0</v>
      </c>
      <c r="X65" s="50">
        <v>0</v>
      </c>
      <c r="Y65" s="50">
        <v>0</v>
      </c>
      <c r="Z65" s="50">
        <v>0</v>
      </c>
      <c r="AA65" s="50">
        <v>0</v>
      </c>
      <c r="AB65" s="50">
        <v>0</v>
      </c>
      <c r="AC65" s="50">
        <v>0</v>
      </c>
      <c r="AD65" s="50">
        <v>24</v>
      </c>
      <c r="AE65" s="50">
        <v>0</v>
      </c>
      <c r="AF65" s="50">
        <v>24</v>
      </c>
      <c r="AG65" s="50">
        <v>24</v>
      </c>
      <c r="AH65" s="50">
        <v>11</v>
      </c>
      <c r="AI65" s="50">
        <v>3</v>
      </c>
      <c r="AJ65" s="50">
        <v>11</v>
      </c>
      <c r="AK65" s="50">
        <v>0</v>
      </c>
      <c r="AL65" s="50">
        <v>4</v>
      </c>
      <c r="AM65" s="50">
        <v>115</v>
      </c>
      <c r="AN65" s="57">
        <v>10</v>
      </c>
      <c r="AO65" s="57">
        <v>10</v>
      </c>
      <c r="AP65" s="57">
        <v>10</v>
      </c>
      <c r="AQ65" s="57">
        <v>10</v>
      </c>
      <c r="AR65" s="57">
        <v>10</v>
      </c>
      <c r="AS65" s="50">
        <v>23</v>
      </c>
    </row>
  </sheetData>
  <sheetProtection autoFilter="0" deleteColumns="1" deleteRows="1" formatCells="1" formatColumns="0" formatRows="0" insertColumns="1" insertHyperlinks="1" insertRows="1" objects="0" pivotTables="1" scenarios="0" selectLockedCells="0" selectUnlockedCells="0" sheet="1" sort="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K8:K9"/>
    <mergeCell ref="Z8:Z9"/>
    <mergeCell ref="AA8:AA9"/>
    <mergeCell ref="AB8:AB9"/>
    <mergeCell ref="AC8:AC9"/>
    <mergeCell ref="AH8:AH9"/>
    <mergeCell ref="AI8:AI9"/>
    <mergeCell ref="AJ8:AJ9"/>
    <mergeCell ref="AK8:AK9"/>
    <mergeCell ref="AM8:AM10"/>
    <mergeCell ref="AH17:AH18"/>
    <mergeCell ref="AI17:AI18"/>
    <mergeCell ref="AJ17:AJ18"/>
    <mergeCell ref="AK17:AK18"/>
    <mergeCell ref="S26:AJ26"/>
    <mergeCell ref="S27:AJ27"/>
    <mergeCell ref="S29:T29"/>
    <mergeCell ref="V29:AB29"/>
    <mergeCell ref="AD29:AJ29"/>
    <mergeCell ref="S30:T30"/>
    <mergeCell ref="V30:AB30"/>
    <mergeCell ref="AD30:AJ30"/>
    <mergeCell ref="S31:T31"/>
    <mergeCell ref="V31:AB31"/>
    <mergeCell ref="AD31:AJ31"/>
    <mergeCell ref="S32:T32"/>
    <mergeCell ref="V32:AB32"/>
    <mergeCell ref="AD32:AJ32"/>
    <mergeCell ref="S34:T34"/>
    <mergeCell ref="V34:AB34"/>
    <mergeCell ref="AD34:AJ34"/>
    <mergeCell ref="S35:T35"/>
    <mergeCell ref="V35:AB35"/>
    <mergeCell ref="AD35:AJ35"/>
    <mergeCell ref="V37:AC37"/>
    <mergeCell ref="AD37:AK37"/>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AH40:AJ40"/>
    <mergeCell ref="AA41:AB41"/>
    <mergeCell ref="AI41:AJ41"/>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AM49:AM51"/>
    <mergeCell ref="T59:AM59"/>
    <mergeCell ref="T60:AM60"/>
    <mergeCell ref="T62:AM62"/>
    <mergeCell ref="T63:AM63"/>
    <mergeCell ref="T64:AM64"/>
  </mergeCells>
  <dataValidations count="4" disablePrompts="0">
    <dataValidation sqref="S131123:AM131129 S196659:AM196665 S262195:AM262201 S327731:AM327737 S393267:AM393273 S458803:AM458809 S524339:AM524345 S589875:AM589881 S655411:AM655417 S720947:AM720953 S786483:AM786489 S852019:AM852025 S917555:AM917561 S983091:AM983097 S65587:AM65593" type="none" allowBlank="1" errorStyle="stop" imeMode="noControl" operator="between" showDropDown="0" showErrorMessage="0" showInputMessage="0"/>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type="none" allowBlank="1" errorStyle="stop" imeMode="noControl" operator="between" promptTitle="checkPeriodRange"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3F00B4-00F6-4AC6-A1E7-008000990046}"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 xr:uid="{005700B8-00E1-427B-B525-0063007B0089}" type="list" allowBlank="1" error="Выберите значение из списка" errorStyle="stop" errorTitle="Ошибка" imeMode="noControl" operator="between" showDropDown="0"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 xr:uid="{00E200AC-0042-4ED1-BE35-0053001D0056}" type="textLength" allowBlank="1" error="Допускается ввод не более 900 символов!" errorStyle="stop" errorTitle="Ошибка" imeMode="noControl" operator="lessThanOrEqual" showDropDown="0"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 xr:uid="{00F70028-0073-4FB1-A231-006C00AF00AA}" type="list" allowBlank="1" error="Выберите значение из списка" errorStyle="stop" errorTitle="Ошибка" imeMode="noControl" operator="between" showDropDown="0" showErrorMessage="1" showInputMessage="1">
          <x14:formula1>
            <xm:f>kind_of_heat_transfer</xm:f>
          </x14:formula1>
          <xm:sqref>T65585 T131121 T196657 T262193 T327729 T393265 T458801 T524337 T589873 T655409 T720945 T786481 T852017 T917553 T983089</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zoomScale="90" workbookViewId="0">
      <pane xSplit="29" ySplit="42" topLeftCell="AD43" activePane="bottomRight" state="frozen"/>
      <selection activeCell="A1" activeCellId="0" sqref="A1"/>
    </sheetView>
  </sheetViews>
  <sheetFormatPr defaultColWidth="10.57421875" defaultRowHeight="14.25" customHeight="1"/>
  <cols>
    <col hidden="1" min="1" max="1" style="50" width="10.57421875"/>
    <col customWidth="1" hidden="1" min="2" max="2" style="50" width="11.00390625"/>
    <col hidden="1" min="3" max="3" style="50" width="10.57421875"/>
    <col customWidth="1" hidden="1" min="4" max="4" style="50" width="11.8515625"/>
    <col customWidth="1" hidden="1" min="5" max="5" style="50" width="10.00390625"/>
    <col customWidth="1" hidden="1" min="6" max="6" style="50" width="8.7109375"/>
    <col customWidth="1" hidden="1" min="7" max="7" style="50" width="7.57421875"/>
    <col customWidth="1" hidden="1" min="8" max="8" style="50" width="11.421875"/>
    <col customWidth="1" hidden="1" min="9" max="9" style="50" width="12.00390625"/>
    <col customWidth="1" hidden="1" min="10" max="10" style="50" width="9.8515625"/>
    <col customWidth="1" hidden="1" min="11" max="11" style="50" width="11.421875"/>
    <col customWidth="1" hidden="1" min="12" max="12" style="51" width="19.140625"/>
    <col customWidth="1" hidden="1" min="13" max="14" style="60" width="12.28125"/>
    <col customWidth="1" hidden="1" min="15" max="15" style="60" width="23.421875"/>
    <col customWidth="1" min="16" max="16" style="60" width="3.00390625"/>
    <col customWidth="1" min="17" max="18" style="487" width="3.00390625"/>
    <col customWidth="1" min="19" max="19" style="86" width="12.00390625"/>
    <col customWidth="1" min="20" max="20" style="50" width="31.00390625"/>
    <col customWidth="1" min="21" max="21" style="50" width="0.140625"/>
    <col customWidth="1" hidden="1" min="22" max="22" style="50" width="24.7109375"/>
    <col customWidth="1" hidden="1" min="23" max="23" style="50" width="0.140625"/>
    <col customWidth="1" hidden="1" min="24" max="25" style="50" width="24.7109375"/>
    <col customWidth="1" hidden="1" min="26" max="26" style="50" width="11.7109375"/>
    <col customWidth="1" hidden="1" min="27" max="27" style="50" width="3.7109375"/>
    <col customWidth="1" hidden="1" min="28" max="28" style="50" width="11.7109375"/>
    <col customWidth="1" hidden="1" min="29" max="29" style="50" width="8.57421875"/>
    <col customWidth="1" min="30" max="30" style="50" width="24.7109375"/>
    <col customWidth="1" min="31" max="31" style="50" width="0.140625"/>
    <col customWidth="1" min="32" max="33" style="50" width="24.00390625"/>
    <col customWidth="1" min="34" max="34" style="50" width="11.00390625"/>
    <col customWidth="1" min="35" max="35" style="50" width="3.7109375"/>
    <col customWidth="1" min="36" max="36" style="50" width="11.00390625"/>
    <col customWidth="1" hidden="1" min="37" max="37" style="50" width="8.57421875"/>
    <col customWidth="1" min="38" max="38" style="50" width="4.00390625"/>
    <col customWidth="1" min="39" max="39" style="50" width="115.00390625"/>
    <col customWidth="1" min="40" max="44" style="57" width="10.00390625"/>
    <col hidden="1" min="45" max="45" style="50" width="10.57421875"/>
  </cols>
  <sheetData>
    <row r="1" ht="22.5" hidden="1" customHeight="1">
      <c r="AS1" s="50" t="s">
        <v>14</v>
      </c>
    </row>
    <row r="2" ht="21" hidden="1" customHeight="1">
      <c r="A2" s="264"/>
      <c r="B2" s="264"/>
      <c r="C2" s="264"/>
      <c r="D2" s="264"/>
      <c r="E2" s="584">
        <v>1</v>
      </c>
      <c r="F2" s="264"/>
      <c r="G2" s="264"/>
      <c r="H2" s="264"/>
      <c r="I2" s="264"/>
      <c r="J2" s="264"/>
      <c r="K2" s="264"/>
      <c r="L2" s="333"/>
      <c r="M2" s="86"/>
      <c r="N2" s="86"/>
      <c r="O2" s="86"/>
      <c r="P2" s="60"/>
      <c r="Q2" s="143"/>
      <c r="R2" s="492"/>
      <c r="S2" s="493" t="e">
        <f>INDEX(PT_DIFFERENTIATION_NUM_NTAR,MATCH(A2,PT_DIFFERENTIATION_NTAR_ID,0))</f>
        <v>#VALUE!</v>
      </c>
      <c r="T2" s="494" t="s">
        <v>123</v>
      </c>
      <c r="U2" s="495"/>
      <c r="V2" s="496"/>
      <c r="W2" s="497"/>
      <c r="X2" s="497"/>
      <c r="Y2" s="497"/>
      <c r="Z2" s="497"/>
      <c r="AA2" s="497"/>
      <c r="AB2" s="497"/>
      <c r="AC2" s="498"/>
      <c r="AD2" s="496" t="e">
        <f>INDEX(PT_DIFFERENTIATION_NTAR,MATCH(A2,PT_DIFFERENTIATION_NTAR_ID,0))</f>
        <v>#VALUE!</v>
      </c>
      <c r="AE2" s="497"/>
      <c r="AF2" s="497"/>
      <c r="AG2" s="497"/>
      <c r="AH2" s="497"/>
      <c r="AI2" s="497"/>
      <c r="AJ2" s="497"/>
      <c r="AK2" s="497"/>
      <c r="AL2" s="498"/>
      <c r="AM2" s="499" t="s">
        <v>401</v>
      </c>
      <c r="AO2" s="129"/>
      <c r="AP2" s="129" t="str">
        <f t="shared" ref="AP2:AP9" si="6">IF(T2="","",T2)</f>
        <v xml:space="preserve">Наименование тарифа</v>
      </c>
      <c r="AQ2" s="129"/>
      <c r="AR2" s="129"/>
      <c r="AS2" s="50">
        <v>0</v>
      </c>
    </row>
    <row r="3" ht="21" hidden="1" customHeight="1">
      <c r="A3" s="264"/>
      <c r="B3" s="264"/>
      <c r="C3" s="264"/>
      <c r="D3" s="264"/>
      <c r="E3" s="585"/>
      <c r="F3" s="584">
        <v>1</v>
      </c>
      <c r="G3" s="264"/>
      <c r="H3" s="264"/>
      <c r="I3" s="264"/>
      <c r="J3" s="264"/>
      <c r="K3" s="264"/>
      <c r="L3" s="333"/>
      <c r="M3" s="86"/>
      <c r="N3" s="86"/>
      <c r="O3" s="86"/>
      <c r="P3" s="51"/>
      <c r="Q3" s="501"/>
      <c r="R3" s="502"/>
      <c r="S3" s="493" t="e">
        <f>INDEX(PT_DIFFERENTIATION_NUM_TER,MATCH(B3,PT_DIFFERENTIATION_TER_ID,0))</f>
        <v>#VALUE!</v>
      </c>
      <c r="T3" s="503" t="s">
        <v>402</v>
      </c>
      <c r="U3" s="495"/>
      <c r="V3" s="496"/>
      <c r="W3" s="497"/>
      <c r="X3" s="497"/>
      <c r="Y3" s="497"/>
      <c r="Z3" s="497"/>
      <c r="AA3" s="497"/>
      <c r="AB3" s="497"/>
      <c r="AC3" s="498"/>
      <c r="AD3" s="496" t="e">
        <f>INDEX(PT_DIFFERENTIATION_TER,MATCH(B3,PT_DIFFERENTIATION_TER_ID,0))</f>
        <v>#VALUE!</v>
      </c>
      <c r="AE3" s="497"/>
      <c r="AF3" s="497"/>
      <c r="AG3" s="497"/>
      <c r="AH3" s="497"/>
      <c r="AI3" s="497"/>
      <c r="AJ3" s="497"/>
      <c r="AK3" s="497"/>
      <c r="AL3" s="498"/>
      <c r="AM3" s="499" t="s">
        <v>403</v>
      </c>
      <c r="AO3" s="129"/>
      <c r="AP3" s="129" t="str">
        <f t="shared" si="6"/>
        <v xml:space="preserve">Территория действия тарифа</v>
      </c>
      <c r="AQ3" s="129"/>
      <c r="AR3" s="129"/>
      <c r="AS3" s="50">
        <v>0</v>
      </c>
    </row>
    <row r="4" ht="23.25" hidden="1" customHeight="1">
      <c r="A4" s="264"/>
      <c r="B4" s="264"/>
      <c r="C4" s="264"/>
      <c r="D4" s="264"/>
      <c r="E4" s="585"/>
      <c r="F4" s="585"/>
      <c r="G4" s="584">
        <v>1</v>
      </c>
      <c r="H4" s="264"/>
      <c r="I4" s="264"/>
      <c r="J4" s="264"/>
      <c r="K4" s="264"/>
      <c r="L4" s="333"/>
      <c r="M4" s="86"/>
      <c r="N4" s="86"/>
      <c r="O4" s="86"/>
      <c r="P4" s="504"/>
      <c r="Q4" s="501"/>
      <c r="R4" s="502"/>
      <c r="S4" s="493" t="e">
        <f>INDEX(PT_DIFFERENTIATION_NUM_CS,MATCH(C4,PT_DIFFERENTIATION_CS_ID,0))</f>
        <v>#VALUE!</v>
      </c>
      <c r="T4" s="505" t="s">
        <v>404</v>
      </c>
      <c r="U4" s="495"/>
      <c r="V4" s="496"/>
      <c r="W4" s="497"/>
      <c r="X4" s="497"/>
      <c r="Y4" s="497"/>
      <c r="Z4" s="497"/>
      <c r="AA4" s="497"/>
      <c r="AB4" s="497"/>
      <c r="AC4" s="498"/>
      <c r="AD4" s="496" t="e">
        <f>INDEX(PT_DIFFERENTIATION_CS,MATCH(C4,PT_DIFFERENTIATION_CS_ID,0))</f>
        <v>#VALUE!</v>
      </c>
      <c r="AE4" s="497"/>
      <c r="AF4" s="497"/>
      <c r="AG4" s="497"/>
      <c r="AH4" s="497"/>
      <c r="AI4" s="497"/>
      <c r="AJ4" s="497"/>
      <c r="AK4" s="497"/>
      <c r="AL4" s="498"/>
      <c r="AM4" s="499" t="s">
        <v>405</v>
      </c>
      <c r="AO4" s="129"/>
      <c r="AP4" s="129" t="str">
        <f t="shared" si="6"/>
        <v xml:space="preserve">Наименование системы теплоснабжения </v>
      </c>
      <c r="AQ4" s="129"/>
      <c r="AR4" s="129"/>
      <c r="AS4" s="50">
        <v>0</v>
      </c>
    </row>
    <row r="5" ht="21" hidden="1" customHeight="1">
      <c r="A5" s="264"/>
      <c r="B5" s="264"/>
      <c r="C5" s="264"/>
      <c r="D5" s="264"/>
      <c r="E5" s="585"/>
      <c r="F5" s="585"/>
      <c r="G5" s="585"/>
      <c r="H5" s="584">
        <v>1</v>
      </c>
      <c r="I5" s="264"/>
      <c r="J5" s="264"/>
      <c r="K5" s="264"/>
      <c r="L5" s="333"/>
      <c r="M5" s="86"/>
      <c r="N5" s="86"/>
      <c r="O5" s="86"/>
      <c r="P5" s="504"/>
      <c r="Q5" s="501"/>
      <c r="R5" s="502"/>
      <c r="S5" s="493" t="e">
        <f>INDEX(PT_DIFFERENTIATION_NUM_IST_TE,MATCH(D5,PT_DIFFERENTIATION_IST_TE_ID,0))</f>
        <v>#VALUE!</v>
      </c>
      <c r="T5" s="506" t="s">
        <v>406</v>
      </c>
      <c r="U5" s="495"/>
      <c r="V5" s="496"/>
      <c r="W5" s="497"/>
      <c r="X5" s="497"/>
      <c r="Y5" s="497"/>
      <c r="Z5" s="497"/>
      <c r="AA5" s="497"/>
      <c r="AB5" s="497"/>
      <c r="AC5" s="498"/>
      <c r="AD5" s="496" t="e">
        <f>INDEX(PT_DIFFERENTIATION_IST_TE,MATCH(D5,PT_DIFFERENTIATION_IST_TE_ID,0))</f>
        <v>#VALUE!</v>
      </c>
      <c r="AE5" s="497"/>
      <c r="AF5" s="497"/>
      <c r="AG5" s="497"/>
      <c r="AH5" s="497"/>
      <c r="AI5" s="497"/>
      <c r="AJ5" s="497"/>
      <c r="AK5" s="497"/>
      <c r="AL5" s="498"/>
      <c r="AM5" s="499" t="s">
        <v>407</v>
      </c>
      <c r="AO5" s="129"/>
      <c r="AP5" s="129" t="str">
        <f t="shared" si="6"/>
        <v xml:space="preserve">Источник тепловой энергии  </v>
      </c>
      <c r="AQ5" s="129"/>
      <c r="AR5" s="129"/>
      <c r="AS5" s="50">
        <v>0</v>
      </c>
    </row>
    <row r="6" ht="47.25" hidden="1" customHeight="1">
      <c r="A6" s="264"/>
      <c r="B6" s="264"/>
      <c r="C6" s="264"/>
      <c r="D6" s="264"/>
      <c r="E6" s="585"/>
      <c r="F6" s="585"/>
      <c r="G6" s="585"/>
      <c r="H6" s="585"/>
      <c r="I6" s="157" t="e">
        <f>S5&amp;".1"</f>
        <v>#VALUE!</v>
      </c>
      <c r="J6" s="264"/>
      <c r="K6" s="264"/>
      <c r="L6" s="333" t="s">
        <v>408</v>
      </c>
      <c r="M6" s="50"/>
      <c r="P6" s="132">
        <v>1</v>
      </c>
      <c r="Q6" s="132"/>
      <c r="R6" s="508"/>
      <c r="S6" s="493" t="e">
        <f>$I6</f>
        <v>#VALUE!</v>
      </c>
      <c r="T6" s="509" t="s">
        <v>409</v>
      </c>
      <c r="U6" s="495"/>
      <c r="V6" s="440"/>
      <c r="W6" s="510"/>
      <c r="X6" s="510"/>
      <c r="Y6" s="510"/>
      <c r="Z6" s="510"/>
      <c r="AA6" s="510"/>
      <c r="AB6" s="510"/>
      <c r="AC6" s="511"/>
      <c r="AD6" s="440"/>
      <c r="AE6" s="510"/>
      <c r="AF6" s="510"/>
      <c r="AG6" s="510"/>
      <c r="AH6" s="510"/>
      <c r="AI6" s="510"/>
      <c r="AJ6" s="510"/>
      <c r="AK6" s="510"/>
      <c r="AL6" s="511"/>
      <c r="AM6" s="499" t="s">
        <v>410</v>
      </c>
      <c r="AO6" s="129"/>
      <c r="AP6" s="129" t="str">
        <f t="shared" si="6"/>
        <v xml:space="preserve">Схема подключения теплопотребляющей установки к коллектору источника тепловой энергии</v>
      </c>
      <c r="AQ6" s="129"/>
      <c r="AR6" s="129"/>
      <c r="AS6" s="50">
        <v>0</v>
      </c>
    </row>
    <row r="7" ht="21" hidden="1" customHeight="1">
      <c r="A7" s="264"/>
      <c r="B7" s="264"/>
      <c r="C7" s="264"/>
      <c r="D7" s="264"/>
      <c r="E7" s="585"/>
      <c r="F7" s="585"/>
      <c r="G7" s="585"/>
      <c r="H7" s="585"/>
      <c r="I7" s="73"/>
      <c r="J7" s="157" t="e">
        <f>I6&amp;".1"</f>
        <v>#VALUE!</v>
      </c>
      <c r="K7" s="264"/>
      <c r="L7" s="333" t="s">
        <v>411</v>
      </c>
      <c r="M7" s="50"/>
      <c r="N7" s="50"/>
      <c r="P7" s="132"/>
      <c r="Q7" s="132">
        <v>1</v>
      </c>
      <c r="R7" s="513"/>
      <c r="S7" s="493" t="e">
        <f>$J7</f>
        <v>#VALUE!</v>
      </c>
      <c r="T7" s="514" t="s">
        <v>412</v>
      </c>
      <c r="U7" s="495"/>
      <c r="V7" s="440"/>
      <c r="W7" s="510"/>
      <c r="X7" s="510"/>
      <c r="Y7" s="510"/>
      <c r="Z7" s="510"/>
      <c r="AA7" s="510"/>
      <c r="AB7" s="510"/>
      <c r="AC7" s="511"/>
      <c r="AD7" s="440"/>
      <c r="AE7" s="510"/>
      <c r="AF7" s="510"/>
      <c r="AG7" s="510"/>
      <c r="AH7" s="510"/>
      <c r="AI7" s="510"/>
      <c r="AJ7" s="510"/>
      <c r="AK7" s="510"/>
      <c r="AL7" s="511"/>
      <c r="AM7" s="499" t="s">
        <v>413</v>
      </c>
      <c r="AO7" s="129"/>
      <c r="AP7" s="129" t="str">
        <f t="shared" si="6"/>
        <v xml:space="preserve">Группа потребителей</v>
      </c>
      <c r="AQ7" s="129"/>
      <c r="AR7" s="129"/>
      <c r="AS7" s="50">
        <v>0</v>
      </c>
    </row>
    <row r="8" ht="21" hidden="1" customHeight="1">
      <c r="A8" s="264"/>
      <c r="B8" s="264"/>
      <c r="C8" s="264"/>
      <c r="D8" s="264"/>
      <c r="E8" s="585"/>
      <c r="F8" s="585"/>
      <c r="G8" s="585"/>
      <c r="H8" s="585"/>
      <c r="I8" s="73"/>
      <c r="J8" s="73"/>
      <c r="K8" s="157" t="e">
        <f>J7&amp;".1"</f>
        <v>#VALUE!</v>
      </c>
      <c r="L8" s="333" t="s">
        <v>414</v>
      </c>
      <c r="M8" s="50"/>
      <c r="N8" s="50"/>
      <c r="O8" s="50"/>
      <c r="P8" s="132"/>
      <c r="Q8" s="132"/>
      <c r="R8" s="513">
        <v>1</v>
      </c>
      <c r="S8" s="493" t="e">
        <f>$K8</f>
        <v>#VALUE!</v>
      </c>
      <c r="T8" s="515"/>
      <c r="U8" s="495"/>
      <c r="V8" s="516"/>
      <c r="W8" s="517"/>
      <c r="X8" s="516"/>
      <c r="Y8" s="518"/>
      <c r="Z8" s="519"/>
      <c r="AA8" s="224" t="s">
        <v>67</v>
      </c>
      <c r="AB8" s="519"/>
      <c r="AC8" s="224" t="s">
        <v>67</v>
      </c>
      <c r="AD8" s="516"/>
      <c r="AE8" s="517"/>
      <c r="AF8" s="516"/>
      <c r="AG8" s="518"/>
      <c r="AH8" s="519"/>
      <c r="AI8" s="224" t="s">
        <v>67</v>
      </c>
      <c r="AJ8" s="519"/>
      <c r="AK8" s="224" t="s">
        <v>67</v>
      </c>
      <c r="AL8" s="517"/>
      <c r="AM8" s="520" t="s">
        <v>415</v>
      </c>
      <c r="AN8" s="57" t="e">
        <f>STRCHECKDATE(V9:AL9)</f>
        <v>#NAME?</v>
      </c>
      <c r="AO8" s="129"/>
      <c r="AP8" s="129" t="str">
        <f t="shared" si="6"/>
        <v/>
      </c>
      <c r="AQ8" s="129"/>
      <c r="AR8" s="129"/>
      <c r="AS8" s="50">
        <v>0</v>
      </c>
    </row>
    <row r="9" ht="0.75" hidden="1" customHeight="1">
      <c r="A9" s="264"/>
      <c r="B9" s="264"/>
      <c r="C9" s="264"/>
      <c r="D9" s="264"/>
      <c r="E9" s="585"/>
      <c r="F9" s="585"/>
      <c r="G9" s="585"/>
      <c r="H9" s="585"/>
      <c r="I9" s="73"/>
      <c r="J9" s="73"/>
      <c r="K9" s="157"/>
      <c r="L9" s="333"/>
      <c r="M9" s="50"/>
      <c r="N9" s="50"/>
      <c r="O9" s="50"/>
      <c r="P9" s="132"/>
      <c r="Q9" s="132"/>
      <c r="R9" s="513"/>
      <c r="S9" s="467"/>
      <c r="T9" s="495"/>
      <c r="U9" s="495"/>
      <c r="V9" s="517"/>
      <c r="W9" s="517"/>
      <c r="X9" s="517"/>
      <c r="Y9" s="521" t="str">
        <f>Z8&amp;"-"&amp;AB8</f>
        <v>-</v>
      </c>
      <c r="Z9" s="522"/>
      <c r="AA9" s="224"/>
      <c r="AB9" s="522"/>
      <c r="AC9" s="224"/>
      <c r="AD9" s="517"/>
      <c r="AE9" s="517"/>
      <c r="AF9" s="517"/>
      <c r="AG9" s="521" t="str">
        <f>AH8&amp;"-"&amp;AJ8</f>
        <v>-</v>
      </c>
      <c r="AH9" s="522"/>
      <c r="AI9" s="224"/>
      <c r="AJ9" s="522"/>
      <c r="AK9" s="224"/>
      <c r="AL9" s="517"/>
      <c r="AM9" s="523"/>
      <c r="AO9" s="129"/>
      <c r="AP9" s="129" t="str">
        <f t="shared" si="6"/>
        <v/>
      </c>
      <c r="AQ9" s="129"/>
      <c r="AR9" s="129"/>
      <c r="AS9" s="50">
        <v>0</v>
      </c>
    </row>
    <row r="10" ht="15" hidden="1" customHeight="1">
      <c r="A10" s="264"/>
      <c r="B10" s="264"/>
      <c r="C10" s="264"/>
      <c r="D10" s="264"/>
      <c r="E10" s="585"/>
      <c r="F10" s="585"/>
      <c r="G10" s="585"/>
      <c r="H10" s="585"/>
      <c r="I10" s="73"/>
      <c r="J10" s="157"/>
      <c r="K10" s="264"/>
      <c r="L10" s="333"/>
      <c r="M10" s="50"/>
      <c r="N10" s="50"/>
      <c r="P10" s="132"/>
      <c r="Q10" s="132"/>
      <c r="R10" s="508"/>
      <c r="S10" s="524"/>
      <c r="T10" s="525" t="s">
        <v>416</v>
      </c>
      <c r="U10" s="214"/>
      <c r="V10" s="214"/>
      <c r="W10" s="214"/>
      <c r="X10" s="214"/>
      <c r="Y10" s="214"/>
      <c r="Z10" s="214"/>
      <c r="AA10" s="214"/>
      <c r="AB10" s="214"/>
      <c r="AC10" s="214"/>
      <c r="AD10" s="214"/>
      <c r="AE10" s="214"/>
      <c r="AF10" s="214"/>
      <c r="AG10" s="214"/>
      <c r="AH10" s="214"/>
      <c r="AI10" s="214"/>
      <c r="AJ10" s="214"/>
      <c r="AK10" s="214"/>
      <c r="AL10" s="526"/>
      <c r="AM10" s="527"/>
      <c r="AO10" s="129"/>
      <c r="AP10" s="129" t="str">
        <f t="shared" ref="AP10:AP57" si="7">IF(T10="","",T10)</f>
        <v xml:space="preserve">Добавить вид теплоносителя (параметры теплоносителя)</v>
      </c>
      <c r="AQ10" s="129"/>
      <c r="AR10" s="129"/>
      <c r="AS10" s="50">
        <v>0</v>
      </c>
    </row>
    <row r="11" ht="15" hidden="1" customHeight="1">
      <c r="A11" s="264"/>
      <c r="B11" s="264"/>
      <c r="C11" s="264"/>
      <c r="D11" s="264"/>
      <c r="E11" s="585"/>
      <c r="F11" s="585"/>
      <c r="G11" s="585"/>
      <c r="H11" s="585"/>
      <c r="I11" s="157"/>
      <c r="J11" s="264"/>
      <c r="K11" s="264"/>
      <c r="L11" s="333"/>
      <c r="M11" s="50"/>
      <c r="P11" s="132"/>
      <c r="Q11" s="132"/>
      <c r="R11" s="508"/>
      <c r="S11" s="524"/>
      <c r="T11" s="528" t="s">
        <v>417</v>
      </c>
      <c r="U11" s="214"/>
      <c r="V11" s="214"/>
      <c r="W11" s="214"/>
      <c r="X11" s="214"/>
      <c r="Y11" s="214"/>
      <c r="Z11" s="214"/>
      <c r="AA11" s="214"/>
      <c r="AB11" s="214"/>
      <c r="AC11" s="529"/>
      <c r="AD11" s="214"/>
      <c r="AE11" s="214"/>
      <c r="AF11" s="214"/>
      <c r="AG11" s="214"/>
      <c r="AH11" s="214"/>
      <c r="AI11" s="214"/>
      <c r="AJ11" s="214"/>
      <c r="AK11" s="529"/>
      <c r="AL11" s="214"/>
      <c r="AM11" s="530"/>
      <c r="AO11" s="129"/>
      <c r="AP11" s="129" t="str">
        <f t="shared" si="7"/>
        <v xml:space="preserve">Добавить группу потребителей</v>
      </c>
      <c r="AQ11" s="129"/>
      <c r="AR11" s="129"/>
      <c r="AS11" s="50">
        <v>0</v>
      </c>
    </row>
    <row r="12" ht="14.25" hidden="1" customHeight="1">
      <c r="A12" s="264"/>
      <c r="B12" s="264"/>
      <c r="C12" s="264"/>
      <c r="D12" s="264"/>
      <c r="E12" s="585"/>
      <c r="F12" s="585"/>
      <c r="G12" s="585"/>
      <c r="H12" s="584"/>
      <c r="I12" s="264"/>
      <c r="J12" s="264"/>
      <c r="K12" s="264"/>
      <c r="L12" s="333"/>
      <c r="M12" s="86"/>
      <c r="N12" s="86"/>
      <c r="O12" s="50"/>
      <c r="P12" s="143"/>
      <c r="Q12" s="531"/>
      <c r="R12" s="492"/>
      <c r="S12" s="524"/>
      <c r="T12" s="532" t="s">
        <v>418</v>
      </c>
      <c r="U12" s="214"/>
      <c r="V12" s="214"/>
      <c r="W12" s="214"/>
      <c r="X12" s="214"/>
      <c r="Y12" s="214"/>
      <c r="Z12" s="214"/>
      <c r="AA12" s="214"/>
      <c r="AB12" s="214"/>
      <c r="AC12" s="529"/>
      <c r="AD12" s="214"/>
      <c r="AE12" s="214"/>
      <c r="AF12" s="214"/>
      <c r="AG12" s="214"/>
      <c r="AH12" s="214"/>
      <c r="AI12" s="214"/>
      <c r="AJ12" s="214"/>
      <c r="AK12" s="529"/>
      <c r="AL12" s="214"/>
      <c r="AM12" s="530"/>
      <c r="AO12" s="129"/>
      <c r="AP12" s="129" t="str">
        <f t="shared" si="7"/>
        <v xml:space="preserve">Добавить схему подключения</v>
      </c>
      <c r="AQ12" s="129"/>
      <c r="AR12" s="129"/>
      <c r="AS12" s="50">
        <v>0</v>
      </c>
    </row>
    <row r="13" s="57" customFormat="1" ht="0.75" hidden="1" customHeight="1">
      <c r="A13" s="586"/>
      <c r="B13" s="586"/>
      <c r="C13" s="586"/>
      <c r="D13" s="586"/>
      <c r="E13" s="585"/>
      <c r="F13" s="585"/>
      <c r="G13" s="584"/>
      <c r="H13" s="586"/>
      <c r="I13" s="586"/>
      <c r="J13" s="586"/>
      <c r="K13" s="586"/>
      <c r="L13" s="587"/>
      <c r="M13" s="588"/>
      <c r="N13" s="588"/>
      <c r="O13" s="131"/>
      <c r="P13" s="167"/>
      <c r="Q13" s="533"/>
      <c r="R13" s="167"/>
      <c r="S13" s="534"/>
      <c r="T13" s="535" t="s">
        <v>211</v>
      </c>
      <c r="U13" s="536"/>
      <c r="V13" s="536"/>
      <c r="W13" s="536"/>
      <c r="X13" s="536"/>
      <c r="Y13" s="536"/>
      <c r="Z13" s="536"/>
      <c r="AA13" s="536"/>
      <c r="AB13" s="536"/>
      <c r="AC13" s="536"/>
      <c r="AD13" s="536"/>
      <c r="AE13" s="536"/>
      <c r="AF13" s="536"/>
      <c r="AG13" s="536"/>
      <c r="AH13" s="536"/>
      <c r="AI13" s="536"/>
      <c r="AJ13" s="536"/>
      <c r="AK13" s="536"/>
      <c r="AL13" s="536"/>
      <c r="AM13" s="536"/>
      <c r="AO13" s="129"/>
      <c r="AP13" s="129" t="str">
        <f t="shared" si="7"/>
        <v xml:space="preserve">Добавить источник для дифференциации</v>
      </c>
      <c r="AQ13" s="129"/>
      <c r="AR13" s="129"/>
      <c r="AS13" s="57">
        <v>0</v>
      </c>
    </row>
    <row r="14" s="57" customFormat="1" ht="0.75" hidden="1" customHeight="1">
      <c r="A14" s="586"/>
      <c r="B14" s="586"/>
      <c r="C14" s="586"/>
      <c r="D14" s="586"/>
      <c r="E14" s="585"/>
      <c r="F14" s="584"/>
      <c r="G14" s="586"/>
      <c r="H14" s="586"/>
      <c r="I14" s="586"/>
      <c r="J14" s="586"/>
      <c r="K14" s="586"/>
      <c r="L14" s="587"/>
      <c r="M14" s="589"/>
      <c r="N14" s="589"/>
      <c r="O14" s="131"/>
      <c r="P14" s="167"/>
      <c r="Q14" s="533"/>
      <c r="R14" s="167"/>
      <c r="S14" s="538"/>
      <c r="T14" s="539" t="s">
        <v>212</v>
      </c>
      <c r="U14" s="540"/>
      <c r="V14" s="540"/>
      <c r="W14" s="540"/>
      <c r="X14" s="540"/>
      <c r="Y14" s="540"/>
      <c r="Z14" s="540"/>
      <c r="AA14" s="540"/>
      <c r="AB14" s="540"/>
      <c r="AC14" s="540"/>
      <c r="AD14" s="540"/>
      <c r="AE14" s="540"/>
      <c r="AF14" s="540"/>
      <c r="AG14" s="540"/>
      <c r="AH14" s="540"/>
      <c r="AI14" s="540"/>
      <c r="AJ14" s="540"/>
      <c r="AK14" s="540"/>
      <c r="AL14" s="540"/>
      <c r="AM14" s="540"/>
      <c r="AO14" s="129"/>
      <c r="AP14" s="129" t="str">
        <f t="shared" si="7"/>
        <v xml:space="preserve">Добавить централизованную систему для дифференциации</v>
      </c>
      <c r="AQ14" s="129"/>
      <c r="AR14" s="129"/>
      <c r="AS14" s="57">
        <v>0</v>
      </c>
    </row>
    <row r="15" s="57" customFormat="1" ht="0.75" hidden="1" customHeight="1">
      <c r="A15" s="586"/>
      <c r="B15" s="586"/>
      <c r="C15" s="586"/>
      <c r="D15" s="586"/>
      <c r="E15" s="584"/>
      <c r="F15" s="586"/>
      <c r="G15" s="586"/>
      <c r="H15" s="586"/>
      <c r="I15" s="586"/>
      <c r="J15" s="586"/>
      <c r="K15" s="586"/>
      <c r="L15" s="587"/>
      <c r="M15" s="589"/>
      <c r="N15" s="589"/>
      <c r="O15" s="131"/>
      <c r="P15" s="167"/>
      <c r="Q15" s="533"/>
      <c r="R15" s="167"/>
      <c r="S15" s="538"/>
      <c r="T15" s="541" t="s">
        <v>213</v>
      </c>
      <c r="U15" s="540"/>
      <c r="V15" s="540"/>
      <c r="W15" s="540"/>
      <c r="X15" s="540"/>
      <c r="Y15" s="540"/>
      <c r="Z15" s="540"/>
      <c r="AA15" s="540"/>
      <c r="AB15" s="540"/>
      <c r="AC15" s="540"/>
      <c r="AD15" s="540"/>
      <c r="AE15" s="540"/>
      <c r="AF15" s="540"/>
      <c r="AG15" s="540"/>
      <c r="AH15" s="540"/>
      <c r="AI15" s="540"/>
      <c r="AJ15" s="540"/>
      <c r="AK15" s="540"/>
      <c r="AL15" s="540"/>
      <c r="AM15" s="540"/>
      <c r="AO15" s="129"/>
      <c r="AP15" s="129" t="str">
        <f t="shared" si="7"/>
        <v xml:space="preserve">Добавить территорию для дифференциации</v>
      </c>
      <c r="AQ15" s="129"/>
      <c r="AR15" s="129"/>
      <c r="AS15" s="57">
        <v>0</v>
      </c>
    </row>
    <row r="16" ht="14.25" hidden="1" customHeight="1">
      <c r="AS16" s="50">
        <v>0</v>
      </c>
    </row>
    <row r="17" ht="14.25" hidden="1" customHeight="1">
      <c r="AD17" s="542"/>
      <c r="AE17" s="542"/>
      <c r="AF17" s="542"/>
      <c r="AG17" s="543"/>
      <c r="AH17" s="544"/>
      <c r="AI17" s="545" t="s">
        <v>67</v>
      </c>
      <c r="AJ17" s="544"/>
      <c r="AK17" s="545" t="s">
        <v>67</v>
      </c>
      <c r="AS17" s="50">
        <v>0</v>
      </c>
    </row>
    <row r="18" ht="14.25" hidden="1" customHeight="1">
      <c r="AD18" s="542"/>
      <c r="AE18" s="542"/>
      <c r="AF18" s="542"/>
      <c r="AG18" s="521" t="str">
        <f>AH17&amp;"-"&amp;AJ17</f>
        <v>-</v>
      </c>
      <c r="AH18" s="545"/>
      <c r="AI18" s="545"/>
      <c r="AJ18" s="545"/>
      <c r="AK18" s="545"/>
      <c r="AS18" s="50">
        <v>0</v>
      </c>
    </row>
    <row r="19" ht="14.25" hidden="1" customHeight="1">
      <c r="AS19" s="50">
        <v>0</v>
      </c>
    </row>
    <row r="20" s="53" customFormat="1" ht="14.25" hidden="1" customHeight="1">
      <c r="A20" s="50"/>
      <c r="B20" s="50"/>
      <c r="C20" s="50"/>
      <c r="D20" s="50"/>
      <c r="E20" s="50"/>
      <c r="F20" s="50"/>
      <c r="G20" s="50"/>
      <c r="H20" s="50"/>
      <c r="I20" s="50"/>
      <c r="J20" s="50"/>
      <c r="K20" s="50"/>
      <c r="L20" s="51"/>
      <c r="M20" s="60"/>
      <c r="N20" s="60"/>
      <c r="O20" s="590" t="s">
        <v>419</v>
      </c>
      <c r="P20" s="61"/>
      <c r="Q20" s="547"/>
      <c r="R20" s="547"/>
      <c r="S20" s="491"/>
      <c r="Z20" s="546"/>
      <c r="AB20" s="546"/>
      <c r="AH20" s="546"/>
      <c r="AJ20" s="546"/>
      <c r="AN20" s="57"/>
      <c r="AO20" s="57"/>
      <c r="AP20" s="57"/>
      <c r="AQ20" s="57"/>
      <c r="AR20" s="57"/>
      <c r="AS20" s="53">
        <v>0</v>
      </c>
    </row>
    <row r="21" s="53" customFormat="1" ht="14.25" hidden="1" customHeight="1">
      <c r="A21" s="50"/>
      <c r="B21" s="50"/>
      <c r="C21" s="50"/>
      <c r="D21" s="50"/>
      <c r="E21" s="50"/>
      <c r="F21" s="50"/>
      <c r="G21" s="50"/>
      <c r="H21" s="50"/>
      <c r="I21" s="50"/>
      <c r="J21" s="50"/>
      <c r="K21" s="50"/>
      <c r="L21" s="51"/>
      <c r="M21" s="60"/>
      <c r="N21" s="60"/>
      <c r="O21" s="60"/>
      <c r="P21" s="61"/>
      <c r="Q21" s="547"/>
      <c r="R21" s="547"/>
      <c r="S21" s="491"/>
      <c r="AN21" s="57"/>
      <c r="AO21" s="57"/>
      <c r="AP21" s="57"/>
      <c r="AQ21" s="57"/>
      <c r="AR21" s="57"/>
      <c r="AS21" s="53">
        <v>0</v>
      </c>
    </row>
    <row r="22" s="53" customFormat="1" ht="14.25" hidden="1" customHeight="1">
      <c r="A22" s="50"/>
      <c r="B22" s="50"/>
      <c r="C22" s="50"/>
      <c r="D22" s="50"/>
      <c r="E22" s="50"/>
      <c r="F22" s="50"/>
      <c r="G22" s="50"/>
      <c r="H22" s="50"/>
      <c r="I22" s="50"/>
      <c r="J22" s="50"/>
      <c r="K22" s="50"/>
      <c r="L22" s="51"/>
      <c r="M22" s="60"/>
      <c r="N22" s="60"/>
      <c r="O22" s="333" t="s">
        <v>420</v>
      </c>
      <c r="P22" s="61"/>
      <c r="Q22" s="547"/>
      <c r="R22" s="547"/>
      <c r="S22" s="491"/>
      <c r="T22" s="53" t="s">
        <v>421</v>
      </c>
      <c r="AA22" s="151" t="s">
        <v>422</v>
      </c>
      <c r="AC22" s="151" t="s">
        <v>423</v>
      </c>
      <c r="AD22" s="53" t="s">
        <v>421</v>
      </c>
      <c r="AI22" s="151" t="s">
        <v>424</v>
      </c>
      <c r="AK22" s="151" t="s">
        <v>423</v>
      </c>
      <c r="AN22" s="57"/>
      <c r="AO22" s="57"/>
      <c r="AP22" s="57"/>
      <c r="AQ22" s="57"/>
      <c r="AR22" s="57"/>
      <c r="AS22" s="53">
        <v>0</v>
      </c>
    </row>
    <row r="23" ht="14.25" hidden="1" customHeight="1">
      <c r="O23" s="333"/>
      <c r="AS23" s="50">
        <v>0</v>
      </c>
    </row>
    <row r="24" ht="14.25" hidden="1" customHeight="1">
      <c r="O24" s="333"/>
      <c r="AS24" s="50">
        <v>0</v>
      </c>
    </row>
    <row r="25" ht="14.65" customHeight="1">
      <c r="Q25" s="548"/>
      <c r="R25" s="548"/>
      <c r="S25" s="549"/>
      <c r="T25" s="91"/>
      <c r="U25" s="91"/>
      <c r="V25" s="50"/>
      <c r="W25" s="50"/>
      <c r="X25" s="50"/>
      <c r="Y25" s="50"/>
      <c r="Z25" s="50"/>
      <c r="AA25" s="50"/>
      <c r="AB25" s="50"/>
      <c r="AC25" s="50"/>
      <c r="AD25" s="50"/>
      <c r="AE25" s="50"/>
      <c r="AF25" s="50"/>
      <c r="AG25" s="50"/>
      <c r="AH25" s="50"/>
      <c r="AI25" s="50"/>
      <c r="AJ25" s="50"/>
      <c r="AK25" s="50"/>
      <c r="AS25" s="50">
        <v>14</v>
      </c>
    </row>
    <row r="26" ht="14.65" customHeight="1">
      <c r="Q26" s="548"/>
      <c r="R26" s="548"/>
      <c r="S26" s="461" t="str">
        <f>IF(TEMPLATE_GROUP="P",PT_P_FORM_HEAT_4_NAME_FORM,PT_R_FORM_HEAT_21_NAME_FORM)</f>
        <v xml:space="preserve">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461"/>
      <c r="U26" s="461"/>
      <c r="V26" s="461"/>
      <c r="W26" s="461"/>
      <c r="X26" s="461"/>
      <c r="Y26" s="461"/>
      <c r="Z26" s="461"/>
      <c r="AA26" s="461"/>
      <c r="AB26" s="461"/>
      <c r="AC26" s="461"/>
      <c r="AD26" s="461"/>
      <c r="AE26" s="461"/>
      <c r="AF26" s="461"/>
      <c r="AG26" s="461"/>
      <c r="AH26" s="461"/>
      <c r="AI26" s="461"/>
      <c r="AJ26" s="461"/>
      <c r="AK26" s="240"/>
      <c r="AS26" s="50">
        <v>14</v>
      </c>
    </row>
    <row r="27" ht="14.65" customHeight="1">
      <c r="Q27" s="548"/>
      <c r="R27" s="548"/>
      <c r="S27" s="316" t="str">
        <f>IF(org=0,"Не определено",org)</f>
        <v xml:space="preserve">АО "ДГК"</v>
      </c>
      <c r="T27" s="316"/>
      <c r="U27" s="316"/>
      <c r="V27" s="316"/>
      <c r="W27" s="316"/>
      <c r="X27" s="316"/>
      <c r="Y27" s="316"/>
      <c r="Z27" s="316"/>
      <c r="AA27" s="316"/>
      <c r="AB27" s="316"/>
      <c r="AC27" s="316"/>
      <c r="AD27" s="316"/>
      <c r="AE27" s="316"/>
      <c r="AF27" s="316"/>
      <c r="AG27" s="316"/>
      <c r="AH27" s="316"/>
      <c r="AI27" s="316"/>
      <c r="AJ27" s="316"/>
      <c r="AK27" s="240"/>
      <c r="AS27" s="50">
        <v>14</v>
      </c>
    </row>
    <row r="28" ht="14.25" hidden="1" customHeight="1">
      <c r="Q28" s="548"/>
      <c r="R28" s="548"/>
      <c r="S28" s="549"/>
      <c r="T28" s="91"/>
      <c r="U28" s="91"/>
      <c r="V28" s="550"/>
      <c r="W28" s="550"/>
      <c r="X28" s="550"/>
      <c r="Y28" s="550"/>
      <c r="Z28" s="550"/>
      <c r="AA28" s="550"/>
      <c r="AB28" s="550"/>
      <c r="AC28" s="550"/>
      <c r="AD28" s="550"/>
      <c r="AE28" s="550"/>
      <c r="AF28" s="550"/>
      <c r="AG28" s="550"/>
      <c r="AH28" s="550"/>
      <c r="AI28" s="550"/>
      <c r="AJ28" s="550"/>
      <c r="AK28" s="550"/>
      <c r="AL28" s="50"/>
      <c r="AS28" s="50">
        <v>0</v>
      </c>
    </row>
    <row r="29" s="184" customFormat="1" ht="25.5" hidden="1" customHeight="1">
      <c r="A29" s="106"/>
      <c r="B29" s="106"/>
      <c r="C29" s="106"/>
      <c r="D29" s="106"/>
      <c r="E29" s="106"/>
      <c r="F29" s="106"/>
      <c r="G29" s="106"/>
      <c r="H29" s="106"/>
      <c r="I29" s="106"/>
      <c r="J29" s="106"/>
      <c r="K29" s="106"/>
      <c r="L29" s="333"/>
      <c r="M29" s="106"/>
      <c r="N29" s="106"/>
      <c r="O29" s="106"/>
      <c r="S29" s="551" t="s">
        <v>42</v>
      </c>
      <c r="T29" s="551"/>
      <c r="U29" s="552"/>
      <c r="V29" s="553" t="str">
        <f>IF(TITLE_NAME_OR_PR_CHANGE="",IF(TITLE_NAME_OR_PR="","",TITLE_NAME_OR_PR),TITLE_NAME_OR_PR_CHANGE)</f>
        <v/>
      </c>
      <c r="W29" s="553"/>
      <c r="X29" s="553"/>
      <c r="Y29" s="553"/>
      <c r="Z29" s="553"/>
      <c r="AA29" s="553"/>
      <c r="AB29" s="553"/>
      <c r="AC29" s="50"/>
      <c r="AD29" s="553" t="str">
        <f>IF(TITLE_NAME_OR_PR_CHANGE="",IF(TITLE_NAME_OR_PR="","",TITLE_NAME_OR_PR),TITLE_NAME_OR_PR_CHANGE)</f>
        <v/>
      </c>
      <c r="AE29" s="553"/>
      <c r="AF29" s="553"/>
      <c r="AG29" s="553"/>
      <c r="AH29" s="553"/>
      <c r="AI29" s="553"/>
      <c r="AJ29" s="553"/>
      <c r="AK29" s="50"/>
      <c r="AL29" s="50"/>
      <c r="AM29" s="554"/>
      <c r="AN29" s="129"/>
      <c r="AO29" s="129"/>
      <c r="AP29" s="129"/>
      <c r="AQ29" s="129"/>
      <c r="AR29" s="129"/>
      <c r="AS29" s="184">
        <v>0</v>
      </c>
    </row>
    <row r="30" s="184" customFormat="1" ht="18.75" hidden="1" customHeight="1">
      <c r="A30" s="106"/>
      <c r="B30" s="106"/>
      <c r="C30" s="106"/>
      <c r="D30" s="106"/>
      <c r="E30" s="106"/>
      <c r="F30" s="106"/>
      <c r="G30" s="106"/>
      <c r="H30" s="106"/>
      <c r="I30" s="106"/>
      <c r="J30" s="106"/>
      <c r="K30" s="106"/>
      <c r="L30" s="333"/>
      <c r="M30" s="106"/>
      <c r="N30" s="106"/>
      <c r="O30" s="106"/>
      <c r="S30" s="551" t="s">
        <v>425</v>
      </c>
      <c r="T30" s="551"/>
      <c r="U30" s="552"/>
      <c r="V30" s="555">
        <f>IF(TITLE_DATE_PR_CHANGE="",IF(TITLE_DATE_PR="","",TITLE_DATE_PR),TITLE_DATE_PR_CHANGE)</f>
        <v>46212.428518518522</v>
      </c>
      <c r="W30" s="555"/>
      <c r="X30" s="555"/>
      <c r="Y30" s="555"/>
      <c r="Z30" s="555"/>
      <c r="AA30" s="555"/>
      <c r="AB30" s="555"/>
      <c r="AC30" s="50"/>
      <c r="AD30" s="555">
        <f>IF(TITLE_DATE_PR_CHANGE="",IF(TITLE_DATE_PR="","",TITLE_DATE_PR),TITLE_DATE_PR_CHANGE)</f>
        <v>46212.428518518522</v>
      </c>
      <c r="AE30" s="555"/>
      <c r="AF30" s="555"/>
      <c r="AG30" s="555"/>
      <c r="AH30" s="555"/>
      <c r="AI30" s="555"/>
      <c r="AJ30" s="555"/>
      <c r="AK30" s="50"/>
      <c r="AL30" s="50"/>
      <c r="AM30" s="554"/>
      <c r="AN30" s="129"/>
      <c r="AO30" s="129"/>
      <c r="AP30" s="129"/>
      <c r="AQ30" s="129"/>
      <c r="AR30" s="129"/>
      <c r="AS30" s="184">
        <v>0</v>
      </c>
    </row>
    <row r="31" s="184" customFormat="1" ht="18.75" hidden="1" customHeight="1">
      <c r="A31" s="106"/>
      <c r="B31" s="106"/>
      <c r="C31" s="106"/>
      <c r="D31" s="106"/>
      <c r="E31" s="106"/>
      <c r="F31" s="106"/>
      <c r="G31" s="106"/>
      <c r="H31" s="106"/>
      <c r="I31" s="106"/>
      <c r="J31" s="106"/>
      <c r="K31" s="106"/>
      <c r="L31" s="333"/>
      <c r="M31" s="106"/>
      <c r="N31" s="106"/>
      <c r="O31" s="106"/>
      <c r="S31" s="551" t="s">
        <v>426</v>
      </c>
      <c r="T31" s="551"/>
      <c r="U31" s="552"/>
      <c r="V31" s="553" t="str">
        <f>IF(TITLE_NUMBER_PR_CHANGE="",IF(TITLE_NUMBER_PR="","",TITLE_NUMBER_PR),TITLE_NUMBER_PR_CHANGE)</f>
        <v>Исх-260/1397</v>
      </c>
      <c r="W31" s="553"/>
      <c r="X31" s="553"/>
      <c r="Y31" s="553"/>
      <c r="Z31" s="553"/>
      <c r="AA31" s="553"/>
      <c r="AB31" s="553"/>
      <c r="AC31" s="50"/>
      <c r="AD31" s="553" t="str">
        <f>IF(TITLE_NUMBER_PR_CHANGE="",IF(TITLE_NUMBER_PR="","",TITLE_NUMBER_PR),TITLE_NUMBER_PR_CHANGE)</f>
        <v>Исх-260/1397</v>
      </c>
      <c r="AE31" s="553"/>
      <c r="AF31" s="553"/>
      <c r="AG31" s="553"/>
      <c r="AH31" s="553"/>
      <c r="AI31" s="553"/>
      <c r="AJ31" s="553"/>
      <c r="AK31" s="50"/>
      <c r="AL31" s="50"/>
      <c r="AM31" s="554"/>
      <c r="AN31" s="129"/>
      <c r="AO31" s="129"/>
      <c r="AP31" s="129"/>
      <c r="AQ31" s="129"/>
      <c r="AR31" s="129"/>
      <c r="AS31" s="184">
        <v>0</v>
      </c>
    </row>
    <row r="32" s="184" customFormat="1" ht="18.75" hidden="1" customHeight="1">
      <c r="A32" s="106"/>
      <c r="B32" s="106"/>
      <c r="C32" s="106"/>
      <c r="D32" s="106"/>
      <c r="E32" s="106"/>
      <c r="F32" s="106"/>
      <c r="G32" s="106"/>
      <c r="H32" s="106"/>
      <c r="I32" s="106"/>
      <c r="J32" s="106"/>
      <c r="K32" s="106"/>
      <c r="L32" s="333"/>
      <c r="M32" s="106"/>
      <c r="N32" s="106"/>
      <c r="O32" s="106"/>
      <c r="S32" s="551" t="s">
        <v>43</v>
      </c>
      <c r="T32" s="551"/>
      <c r="U32" s="552"/>
      <c r="V32" s="553" t="str">
        <f>IF(TITLE_IST_PUB_CHANGE="",IF(TITLE_IST_PUB="","",TITLE_IST_PUB),TITLE_IST_PUB_CHANGE)</f>
        <v/>
      </c>
      <c r="W32" s="553"/>
      <c r="X32" s="553"/>
      <c r="Y32" s="553"/>
      <c r="Z32" s="553"/>
      <c r="AA32" s="553"/>
      <c r="AB32" s="553"/>
      <c r="AC32" s="50"/>
      <c r="AD32" s="553" t="str">
        <f>IF(TITLE_IST_PUB_CHANGE="",IF(TITLE_IST_PUB="","",TITLE_IST_PUB),TITLE_IST_PUB_CHANGE)</f>
        <v/>
      </c>
      <c r="AE32" s="553"/>
      <c r="AF32" s="553"/>
      <c r="AG32" s="553"/>
      <c r="AH32" s="553"/>
      <c r="AI32" s="553"/>
      <c r="AJ32" s="553"/>
      <c r="AK32" s="50"/>
      <c r="AL32" s="50"/>
      <c r="AM32" s="554"/>
      <c r="AN32" s="129"/>
      <c r="AO32" s="129"/>
      <c r="AP32" s="129"/>
      <c r="AQ32" s="129"/>
      <c r="AR32" s="129"/>
      <c r="AS32" s="184">
        <v>0</v>
      </c>
    </row>
    <row r="33" ht="14.25" hidden="1" customHeight="1">
      <c r="Q33" s="548"/>
      <c r="R33" s="548"/>
      <c r="S33" s="549"/>
      <c r="T33" s="91"/>
      <c r="U33" s="91"/>
      <c r="V33" s="550"/>
      <c r="W33" s="550"/>
      <c r="X33" s="550"/>
      <c r="Y33" s="550"/>
      <c r="Z33" s="550"/>
      <c r="AA33" s="550"/>
      <c r="AB33" s="550"/>
      <c r="AC33" s="550"/>
      <c r="AD33" s="550"/>
      <c r="AE33" s="550"/>
      <c r="AF33" s="550"/>
      <c r="AG33" s="550"/>
      <c r="AH33" s="550"/>
      <c r="AI33" s="550"/>
      <c r="AJ33" s="550"/>
      <c r="AK33" s="550"/>
      <c r="AL33" s="50"/>
      <c r="AS33" s="50">
        <v>0</v>
      </c>
    </row>
    <row r="34" s="184" customFormat="1" ht="18.75" hidden="1" customHeight="1">
      <c r="A34" s="106"/>
      <c r="B34" s="106"/>
      <c r="C34" s="106"/>
      <c r="D34" s="106"/>
      <c r="E34" s="106"/>
      <c r="F34" s="106"/>
      <c r="G34" s="106"/>
      <c r="H34" s="106"/>
      <c r="I34" s="106"/>
      <c r="J34" s="106"/>
      <c r="K34" s="106"/>
      <c r="L34" s="333"/>
      <c r="M34" s="106"/>
      <c r="N34" s="106"/>
      <c r="O34" s="106"/>
      <c r="S34" s="551" t="s">
        <v>427</v>
      </c>
      <c r="T34" s="551"/>
      <c r="U34" s="552"/>
      <c r="V34" s="555">
        <f>IF(TITLE_DATE_PR_CHANGE="",IF(TITLE_DATE_PR="","",TITLE_DATE_PR),TITLE_DATE_PR_CHANGE)</f>
        <v>46212.428518518522</v>
      </c>
      <c r="W34" s="555"/>
      <c r="X34" s="555"/>
      <c r="Y34" s="555"/>
      <c r="Z34" s="555"/>
      <c r="AA34" s="555"/>
      <c r="AB34" s="555"/>
      <c r="AC34" s="50"/>
      <c r="AD34" s="555">
        <f>IF(TITLE_DATE_PR_CHANGE="",IF(TITLE_DATE_PR="","",TITLE_DATE_PR),TITLE_DATE_PR_CHANGE)</f>
        <v>46212.428518518522</v>
      </c>
      <c r="AE34" s="555"/>
      <c r="AF34" s="555"/>
      <c r="AG34" s="555"/>
      <c r="AH34" s="555"/>
      <c r="AI34" s="555"/>
      <c r="AJ34" s="555"/>
      <c r="AK34" s="50"/>
      <c r="AL34" s="50"/>
      <c r="AM34" s="554"/>
      <c r="AN34" s="129"/>
      <c r="AO34" s="129"/>
      <c r="AP34" s="129"/>
      <c r="AQ34" s="129"/>
      <c r="AR34" s="129"/>
      <c r="AS34" s="184">
        <v>0</v>
      </c>
    </row>
    <row r="35" s="184" customFormat="1" ht="18.75" hidden="1" customHeight="1">
      <c r="A35" s="106"/>
      <c r="B35" s="106"/>
      <c r="C35" s="106"/>
      <c r="D35" s="106"/>
      <c r="E35" s="106"/>
      <c r="F35" s="106"/>
      <c r="G35" s="106"/>
      <c r="H35" s="106"/>
      <c r="I35" s="106"/>
      <c r="J35" s="106"/>
      <c r="K35" s="106"/>
      <c r="L35" s="333"/>
      <c r="M35" s="106"/>
      <c r="N35" s="106"/>
      <c r="O35" s="106"/>
      <c r="S35" s="551" t="s">
        <v>428</v>
      </c>
      <c r="T35" s="551"/>
      <c r="U35" s="552"/>
      <c r="V35" s="553" t="str">
        <f>IF(TITLE_NUMBER_PR_CHANGE="",IF(TITLE_NUMBER_PR="","",TITLE_NUMBER_PR),TITLE_NUMBER_PR_CHANGE)</f>
        <v>Исх-260/1397</v>
      </c>
      <c r="W35" s="553"/>
      <c r="X35" s="553"/>
      <c r="Y35" s="553"/>
      <c r="Z35" s="553"/>
      <c r="AA35" s="553"/>
      <c r="AB35" s="553"/>
      <c r="AC35" s="50"/>
      <c r="AD35" s="553" t="str">
        <f>IF(TITLE_NUMBER_PR_CHANGE="",IF(TITLE_NUMBER_PR="","",TITLE_NUMBER_PR),TITLE_NUMBER_PR_CHANGE)</f>
        <v>Исх-260/1397</v>
      </c>
      <c r="AE35" s="553"/>
      <c r="AF35" s="553"/>
      <c r="AG35" s="553"/>
      <c r="AH35" s="553"/>
      <c r="AI35" s="553"/>
      <c r="AJ35" s="553"/>
      <c r="AK35" s="50"/>
      <c r="AL35" s="50"/>
      <c r="AM35" s="554"/>
      <c r="AN35" s="129"/>
      <c r="AO35" s="129"/>
      <c r="AP35" s="129"/>
      <c r="AQ35" s="129"/>
      <c r="AR35" s="129"/>
      <c r="AS35" s="184">
        <v>0</v>
      </c>
    </row>
    <row r="36" s="184" customFormat="1" ht="0" customHeight="1">
      <c r="A36" s="106"/>
      <c r="B36" s="106"/>
      <c r="C36" s="106"/>
      <c r="D36" s="106"/>
      <c r="E36" s="106"/>
      <c r="F36" s="106"/>
      <c r="G36" s="106"/>
      <c r="H36" s="106"/>
      <c r="I36" s="106"/>
      <c r="J36" s="106"/>
      <c r="K36" s="106"/>
      <c r="L36" s="333"/>
      <c r="M36" s="106"/>
      <c r="N36" s="106"/>
      <c r="O36" s="106"/>
      <c r="S36" s="50"/>
      <c r="T36" s="50"/>
      <c r="U36" s="140"/>
      <c r="V36" s="50"/>
      <c r="W36" s="50"/>
      <c r="X36" s="50"/>
      <c r="Y36" s="50"/>
      <c r="Z36" s="50"/>
      <c r="AA36" s="50"/>
      <c r="AB36" s="50"/>
      <c r="AC36" s="57" t="s">
        <v>429</v>
      </c>
      <c r="AD36" s="50"/>
      <c r="AE36" s="50"/>
      <c r="AF36" s="50"/>
      <c r="AG36" s="50"/>
      <c r="AH36" s="50"/>
      <c r="AI36" s="50"/>
      <c r="AJ36" s="50"/>
      <c r="AK36" s="57" t="s">
        <v>429</v>
      </c>
      <c r="AN36" s="129"/>
      <c r="AO36" s="129"/>
      <c r="AP36" s="129"/>
      <c r="AQ36" s="129"/>
      <c r="AR36" s="129"/>
      <c r="AS36" s="184">
        <v>0</v>
      </c>
    </row>
    <row r="37" ht="14.65" customHeight="1">
      <c r="Q37" s="548"/>
      <c r="R37" s="548"/>
      <c r="S37" s="549"/>
      <c r="T37" s="91"/>
      <c r="U37" s="556"/>
      <c r="V37" s="557"/>
      <c r="W37" s="557"/>
      <c r="X37" s="557"/>
      <c r="Y37" s="557"/>
      <c r="Z37" s="557"/>
      <c r="AA37" s="557"/>
      <c r="AB37" s="557"/>
      <c r="AC37" s="557"/>
      <c r="AD37" s="557"/>
      <c r="AE37" s="557"/>
      <c r="AF37" s="557"/>
      <c r="AG37" s="557"/>
      <c r="AH37" s="557"/>
      <c r="AI37" s="557"/>
      <c r="AJ37" s="557"/>
      <c r="AK37" s="557"/>
      <c r="AS37" s="50">
        <v>14</v>
      </c>
    </row>
    <row r="38" ht="14.65" customHeight="1">
      <c r="Q38" s="548"/>
      <c r="R38" s="548"/>
      <c r="S38" s="157" t="s">
        <v>305</v>
      </c>
      <c r="T38" s="157"/>
      <c r="U38" s="157"/>
      <c r="V38" s="157"/>
      <c r="W38" s="157"/>
      <c r="X38" s="157"/>
      <c r="Y38" s="157"/>
      <c r="Z38" s="157"/>
      <c r="AA38" s="157"/>
      <c r="AB38" s="157"/>
      <c r="AC38" s="157"/>
      <c r="AD38" s="157"/>
      <c r="AE38" s="157"/>
      <c r="AF38" s="157"/>
      <c r="AG38" s="157"/>
      <c r="AH38" s="157"/>
      <c r="AI38" s="157"/>
      <c r="AJ38" s="157"/>
      <c r="AK38" s="157"/>
      <c r="AL38" s="157"/>
      <c r="AM38" s="157" t="s">
        <v>306</v>
      </c>
      <c r="AS38" s="50">
        <v>14</v>
      </c>
    </row>
    <row r="39" ht="14.65" customHeight="1">
      <c r="Q39" s="548"/>
      <c r="R39" s="548"/>
      <c r="S39" s="493" t="s">
        <v>89</v>
      </c>
      <c r="T39" s="358" t="s">
        <v>430</v>
      </c>
      <c r="U39" s="558"/>
      <c r="V39" s="559" t="s">
        <v>431</v>
      </c>
      <c r="W39" s="560"/>
      <c r="X39" s="560"/>
      <c r="Y39" s="560"/>
      <c r="Z39" s="560"/>
      <c r="AA39" s="560"/>
      <c r="AB39" s="561"/>
      <c r="AC39" s="562" t="s">
        <v>432</v>
      </c>
      <c r="AD39" s="559" t="s">
        <v>431</v>
      </c>
      <c r="AE39" s="560"/>
      <c r="AF39" s="560"/>
      <c r="AG39" s="560"/>
      <c r="AH39" s="560"/>
      <c r="AI39" s="560"/>
      <c r="AJ39" s="561"/>
      <c r="AK39" s="562" t="s">
        <v>433</v>
      </c>
      <c r="AL39" s="563" t="s">
        <v>434</v>
      </c>
      <c r="AM39" s="157"/>
      <c r="AS39" s="50">
        <v>14</v>
      </c>
    </row>
    <row r="40" ht="35.649999999999999" customHeight="1">
      <c r="Q40" s="548"/>
      <c r="R40" s="548"/>
      <c r="S40" s="493"/>
      <c r="T40" s="358"/>
      <c r="U40" s="564"/>
      <c r="V40" s="320" t="s">
        <v>435</v>
      </c>
      <c r="W40" s="565" t="s">
        <v>436</v>
      </c>
      <c r="X40" s="73" t="s">
        <v>437</v>
      </c>
      <c r="Y40" s="72"/>
      <c r="Z40" s="73" t="s">
        <v>450</v>
      </c>
      <c r="AA40" s="145"/>
      <c r="AB40" s="72"/>
      <c r="AC40" s="566"/>
      <c r="AD40" s="320" t="s">
        <v>435</v>
      </c>
      <c r="AE40" s="565" t="s">
        <v>436</v>
      </c>
      <c r="AF40" s="73" t="s">
        <v>437</v>
      </c>
      <c r="AG40" s="72"/>
      <c r="AH40" s="73" t="s">
        <v>438</v>
      </c>
      <c r="AI40" s="145"/>
      <c r="AJ40" s="72"/>
      <c r="AK40" s="566"/>
      <c r="AL40" s="567"/>
      <c r="AM40" s="157"/>
      <c r="AS40" s="50">
        <v>34</v>
      </c>
    </row>
    <row r="41" ht="35.649999999999999" customHeight="1">
      <c r="A41" s="106"/>
      <c r="B41" s="106" t="s">
        <v>135</v>
      </c>
      <c r="C41" s="106" t="s">
        <v>136</v>
      </c>
      <c r="D41" s="106" t="s">
        <v>137</v>
      </c>
      <c r="E41" s="333" t="s">
        <v>439</v>
      </c>
      <c r="F41" s="333" t="s">
        <v>440</v>
      </c>
      <c r="G41" s="333" t="s">
        <v>441</v>
      </c>
      <c r="H41" s="333" t="s">
        <v>442</v>
      </c>
      <c r="I41" s="333" t="s">
        <v>443</v>
      </c>
      <c r="J41" s="333" t="s">
        <v>444</v>
      </c>
      <c r="K41" s="333" t="s">
        <v>445</v>
      </c>
      <c r="L41" s="333" t="s">
        <v>420</v>
      </c>
      <c r="Q41" s="548"/>
      <c r="R41" s="548"/>
      <c r="S41" s="493"/>
      <c r="T41" s="358"/>
      <c r="U41" s="568"/>
      <c r="V41" s="162"/>
      <c r="W41" s="569"/>
      <c r="X41" s="246" t="s">
        <v>446</v>
      </c>
      <c r="Y41" s="246" t="s">
        <v>447</v>
      </c>
      <c r="Z41" s="246" t="s">
        <v>448</v>
      </c>
      <c r="AA41" s="424" t="s">
        <v>449</v>
      </c>
      <c r="AB41" s="426"/>
      <c r="AC41" s="570"/>
      <c r="AD41" s="162"/>
      <c r="AE41" s="569"/>
      <c r="AF41" s="246" t="s">
        <v>446</v>
      </c>
      <c r="AG41" s="246" t="s">
        <v>447</v>
      </c>
      <c r="AH41" s="246" t="s">
        <v>448</v>
      </c>
      <c r="AI41" s="424" t="s">
        <v>449</v>
      </c>
      <c r="AJ41" s="426"/>
      <c r="AK41" s="570"/>
      <c r="AL41" s="571"/>
      <c r="AM41" s="157"/>
      <c r="AS41" s="50">
        <v>34</v>
      </c>
    </row>
    <row r="42" s="131" customFormat="1" ht="11.25" hidden="1" customHeight="1">
      <c r="A42" s="106"/>
      <c r="B42" s="106"/>
      <c r="C42" s="106"/>
      <c r="D42" s="106"/>
      <c r="E42" s="106"/>
      <c r="F42" s="106"/>
      <c r="G42" s="106"/>
      <c r="H42" s="106"/>
      <c r="I42" s="106"/>
      <c r="J42" s="106"/>
      <c r="K42" s="106"/>
      <c r="L42" s="333"/>
      <c r="M42" s="60"/>
      <c r="N42" s="60"/>
      <c r="O42" s="60"/>
      <c r="P42" s="572"/>
      <c r="Q42" s="573"/>
      <c r="R42" s="574">
        <v>1</v>
      </c>
      <c r="S42" s="575" t="s">
        <v>109</v>
      </c>
      <c r="T42" s="576" t="s">
        <v>110</v>
      </c>
      <c r="U42" s="577" t="str">
        <f ca="1">OFFSET(U42,0,-1)</f>
        <v>2</v>
      </c>
      <c r="V42" s="578">
        <f ca="1">OFFSET(V42,0,-1)+1</f>
        <v>3</v>
      </c>
      <c r="W42" s="578"/>
      <c r="X42" s="578">
        <f ca="1">OFFSET(X42,0,-1)+1</f>
        <v>1</v>
      </c>
      <c r="Y42" s="578">
        <f ca="1">OFFSET(Y42,0,-1)+1</f>
        <v>2</v>
      </c>
      <c r="Z42" s="578">
        <f ca="1">OFFSET(Z42,0,-1)+1</f>
        <v>3</v>
      </c>
      <c r="AA42" s="578">
        <f ca="1">OFFSET(AA42,0,-1)+1</f>
        <v>4</v>
      </c>
      <c r="AB42" s="578"/>
      <c r="AC42" s="578">
        <f ca="1">OFFSET(AC42,0,-2)+1</f>
        <v>5</v>
      </c>
      <c r="AD42" s="578">
        <f ca="1">OFFSET(AD42,0,-1)+1</f>
        <v>6</v>
      </c>
      <c r="AE42" s="578"/>
      <c r="AF42" s="578">
        <f ca="1">OFFSET(AF42,0,-1)+1</f>
        <v>1</v>
      </c>
      <c r="AG42" s="578">
        <f ca="1">OFFSET(AG42,0,-1)+1</f>
        <v>2</v>
      </c>
      <c r="AH42" s="578">
        <f ca="1">OFFSET(AH42,0,-1)+1</f>
        <v>3</v>
      </c>
      <c r="AI42" s="578">
        <f ca="1">OFFSET(AI42,0,-1)+1</f>
        <v>4</v>
      </c>
      <c r="AJ42" s="578"/>
      <c r="AK42" s="578">
        <f ca="1">OFFSET(AK42,0,-2)+1</f>
        <v>5</v>
      </c>
      <c r="AL42" s="577">
        <f ca="1">OFFSET(AL42,0,-1)</f>
        <v>5</v>
      </c>
      <c r="AM42" s="578">
        <f ca="1">OFFSET(AM42,0,-1)+1</f>
        <v>6</v>
      </c>
      <c r="AN42" s="57"/>
      <c r="AO42" s="57"/>
      <c r="AP42" s="57"/>
      <c r="AQ42" s="57"/>
      <c r="AR42" s="57"/>
      <c r="AS42" s="131">
        <v>0</v>
      </c>
    </row>
    <row r="43" ht="22" customHeight="1">
      <c r="A43" s="264" t="s">
        <v>217</v>
      </c>
      <c r="B43" s="264"/>
      <c r="C43" s="264"/>
      <c r="D43" s="264"/>
      <c r="E43" s="584">
        <v>1</v>
      </c>
      <c r="F43" s="264"/>
      <c r="G43" s="264"/>
      <c r="H43" s="264"/>
      <c r="I43" s="264"/>
      <c r="J43" s="264"/>
      <c r="K43" s="264"/>
      <c r="L43" s="333"/>
      <c r="M43" s="86"/>
      <c r="N43" s="86"/>
      <c r="O43" s="86"/>
      <c r="P43" s="60"/>
      <c r="Q43" s="143"/>
      <c r="R43" s="492"/>
      <c r="S43" s="493">
        <f>INDEX(PT_DIFFERENTIATION_NUM_NTAR,MATCH(A43,PT_DIFFERENTIATION_NTAR_ID,0))</f>
        <v>0</v>
      </c>
      <c r="T43" s="494" t="s">
        <v>123</v>
      </c>
      <c r="U43" s="495"/>
      <c r="V43" s="496"/>
      <c r="W43" s="497"/>
      <c r="X43" s="497"/>
      <c r="Y43" s="497"/>
      <c r="Z43" s="497"/>
      <c r="AA43" s="497"/>
      <c r="AB43" s="497"/>
      <c r="AC43" s="498"/>
      <c r="AD43" s="496" t="str">
        <f>INDEX(PT_DIFFERENTIATION_NTAR,MATCH(A43,PT_DIFFERENTIATION_NTAR_ID,0))</f>
        <v/>
      </c>
      <c r="AE43" s="497"/>
      <c r="AF43" s="497"/>
      <c r="AG43" s="497"/>
      <c r="AH43" s="497"/>
      <c r="AI43" s="497"/>
      <c r="AJ43" s="497"/>
      <c r="AK43" s="497"/>
      <c r="AL43" s="498"/>
      <c r="AM43" s="49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29"/>
      <c r="AP43" s="129" t="str">
        <f t="shared" si="7"/>
        <v xml:space="preserve">Наименование тарифа</v>
      </c>
      <c r="AQ43" s="129"/>
      <c r="AR43" s="129"/>
      <c r="AS43" s="50">
        <v>21</v>
      </c>
    </row>
    <row r="44" ht="22" customHeight="1">
      <c r="A44" s="264" t="s">
        <v>217</v>
      </c>
      <c r="B44" s="264" t="s">
        <v>218</v>
      </c>
      <c r="C44" s="264"/>
      <c r="D44" s="264"/>
      <c r="E44" s="585"/>
      <c r="F44" s="584">
        <v>1</v>
      </c>
      <c r="G44" s="264"/>
      <c r="H44" s="264"/>
      <c r="I44" s="264"/>
      <c r="J44" s="264"/>
      <c r="K44" s="264"/>
      <c r="L44" s="333"/>
      <c r="M44" s="86"/>
      <c r="N44" s="86"/>
      <c r="O44" s="86"/>
      <c r="P44" s="51"/>
      <c r="Q44" s="501"/>
      <c r="R44" s="502"/>
      <c r="S44" s="493" t="str">
        <f>INDEX(PT_DIFFERENTIATION_NUM_TER,MATCH(B44,PT_DIFFERENTIATION_TER_ID,0))</f>
        <v>.</v>
      </c>
      <c r="T44" s="503" t="s">
        <v>402</v>
      </c>
      <c r="U44" s="495"/>
      <c r="V44" s="496"/>
      <c r="W44" s="497"/>
      <c r="X44" s="497"/>
      <c r="Y44" s="497"/>
      <c r="Z44" s="497"/>
      <c r="AA44" s="497"/>
      <c r="AB44" s="497"/>
      <c r="AC44" s="498"/>
      <c r="AD44" s="496" t="str">
        <f>INDEX(PT_DIFFERENTIATION_TER,MATCH(B44,PT_DIFFERENTIATION_TER_ID,0))</f>
        <v/>
      </c>
      <c r="AE44" s="497"/>
      <c r="AF44" s="497"/>
      <c r="AG44" s="497"/>
      <c r="AH44" s="497"/>
      <c r="AI44" s="497"/>
      <c r="AJ44" s="497"/>
      <c r="AK44" s="497"/>
      <c r="AL44" s="498"/>
      <c r="AM44" s="499" t="s">
        <v>403</v>
      </c>
      <c r="AO44" s="129"/>
      <c r="AP44" s="129" t="str">
        <f t="shared" si="7"/>
        <v xml:space="preserve">Территория действия тарифа</v>
      </c>
      <c r="AQ44" s="129"/>
      <c r="AR44" s="129"/>
      <c r="AS44" s="50">
        <v>21</v>
      </c>
    </row>
    <row r="45" ht="24" customHeight="1">
      <c r="A45" s="264" t="s">
        <v>217</v>
      </c>
      <c r="B45" s="264" t="s">
        <v>218</v>
      </c>
      <c r="C45" s="264" t="s">
        <v>219</v>
      </c>
      <c r="D45" s="264"/>
      <c r="E45" s="585"/>
      <c r="F45" s="585"/>
      <c r="G45" s="584">
        <v>1</v>
      </c>
      <c r="H45" s="264"/>
      <c r="I45" s="264"/>
      <c r="J45" s="264"/>
      <c r="K45" s="264"/>
      <c r="L45" s="333"/>
      <c r="M45" s="86"/>
      <c r="N45" s="86"/>
      <c r="O45" s="86"/>
      <c r="P45" s="504"/>
      <c r="Q45" s="501"/>
      <c r="R45" s="502"/>
      <c r="S45" s="493" t="str">
        <f>INDEX(PT_DIFFERENTIATION_NUM_CS,MATCH(C45,PT_DIFFERENTIATION_CS_ID,0))</f>
        <v>..</v>
      </c>
      <c r="T45" s="505" t="s">
        <v>404</v>
      </c>
      <c r="U45" s="495"/>
      <c r="V45" s="496"/>
      <c r="W45" s="497"/>
      <c r="X45" s="497"/>
      <c r="Y45" s="497"/>
      <c r="Z45" s="497"/>
      <c r="AA45" s="497"/>
      <c r="AB45" s="497"/>
      <c r="AC45" s="498"/>
      <c r="AD45" s="496" t="str">
        <f>INDEX(PT_DIFFERENTIATION_CS,MATCH(C45,PT_DIFFERENTIATION_CS_ID,0))</f>
        <v/>
      </c>
      <c r="AE45" s="497"/>
      <c r="AF45" s="497"/>
      <c r="AG45" s="497"/>
      <c r="AH45" s="497"/>
      <c r="AI45" s="497"/>
      <c r="AJ45" s="497"/>
      <c r="AK45" s="497"/>
      <c r="AL45" s="498"/>
      <c r="AM45" s="499" t="s">
        <v>405</v>
      </c>
      <c r="AO45" s="129"/>
      <c r="AP45" s="129" t="str">
        <f t="shared" si="7"/>
        <v xml:space="preserve">Наименование системы теплоснабжения </v>
      </c>
      <c r="AQ45" s="129"/>
      <c r="AR45" s="129"/>
      <c r="AS45" s="50">
        <v>23</v>
      </c>
    </row>
    <row r="46" ht="22" customHeight="1">
      <c r="A46" s="264" t="s">
        <v>217</v>
      </c>
      <c r="B46" s="264" t="s">
        <v>218</v>
      </c>
      <c r="C46" s="264" t="s">
        <v>219</v>
      </c>
      <c r="D46" s="264" t="s">
        <v>220</v>
      </c>
      <c r="E46" s="585"/>
      <c r="F46" s="585"/>
      <c r="G46" s="585"/>
      <c r="H46" s="584">
        <v>1</v>
      </c>
      <c r="I46" s="264"/>
      <c r="J46" s="264"/>
      <c r="K46" s="264"/>
      <c r="L46" s="333"/>
      <c r="M46" s="86"/>
      <c r="N46" s="86"/>
      <c r="O46" s="86"/>
      <c r="P46" s="504"/>
      <c r="Q46" s="501"/>
      <c r="R46" s="502"/>
      <c r="S46" s="493" t="str">
        <f>INDEX(PT_DIFFERENTIATION_NUM_IST_TE,MATCH(D46,PT_DIFFERENTIATION_IST_TE_ID,0))</f>
        <v>...</v>
      </c>
      <c r="T46" s="506" t="s">
        <v>406</v>
      </c>
      <c r="U46" s="495"/>
      <c r="V46" s="496"/>
      <c r="W46" s="497"/>
      <c r="X46" s="497"/>
      <c r="Y46" s="497"/>
      <c r="Z46" s="497"/>
      <c r="AA46" s="497"/>
      <c r="AB46" s="497"/>
      <c r="AC46" s="498"/>
      <c r="AD46" s="496" t="str">
        <f>INDEX(PT_DIFFERENTIATION_IST_TE,MATCH(D46,PT_DIFFERENTIATION_IST_TE_ID,0))</f>
        <v/>
      </c>
      <c r="AE46" s="497"/>
      <c r="AF46" s="497"/>
      <c r="AG46" s="497"/>
      <c r="AH46" s="497"/>
      <c r="AI46" s="497"/>
      <c r="AJ46" s="497"/>
      <c r="AK46" s="497"/>
      <c r="AL46" s="498"/>
      <c r="AM46" s="499" t="s">
        <v>407</v>
      </c>
      <c r="AO46" s="129"/>
      <c r="AP46" s="129" t="str">
        <f t="shared" si="7"/>
        <v xml:space="preserve">Источник тепловой энергии  </v>
      </c>
      <c r="AQ46" s="129"/>
      <c r="AR46" s="129"/>
      <c r="AS46" s="50">
        <v>21</v>
      </c>
    </row>
    <row r="47" ht="49.5" customHeight="1">
      <c r="A47" s="264" t="s">
        <v>217</v>
      </c>
      <c r="B47" s="264" t="s">
        <v>218</v>
      </c>
      <c r="C47" s="264" t="s">
        <v>219</v>
      </c>
      <c r="D47" s="264" t="s">
        <v>220</v>
      </c>
      <c r="E47" s="585"/>
      <c r="F47" s="585"/>
      <c r="G47" s="585"/>
      <c r="H47" s="585"/>
      <c r="I47" s="157" t="str">
        <f>S46&amp;".1"</f>
        <v>....1</v>
      </c>
      <c r="J47" s="264"/>
      <c r="K47" s="264"/>
      <c r="L47" s="333" t="s">
        <v>408</v>
      </c>
      <c r="P47" s="132">
        <v>1</v>
      </c>
      <c r="Q47" s="132"/>
      <c r="R47" s="508"/>
      <c r="S47" s="493" t="str">
        <f>$I47</f>
        <v>....1</v>
      </c>
      <c r="T47" s="509" t="s">
        <v>409</v>
      </c>
      <c r="U47" s="495"/>
      <c r="V47" s="440"/>
      <c r="W47" s="510"/>
      <c r="X47" s="510"/>
      <c r="Y47" s="510"/>
      <c r="Z47" s="510"/>
      <c r="AA47" s="510"/>
      <c r="AB47" s="510"/>
      <c r="AC47" s="511"/>
      <c r="AD47" s="440"/>
      <c r="AE47" s="510"/>
      <c r="AF47" s="510"/>
      <c r="AG47" s="510"/>
      <c r="AH47" s="510"/>
      <c r="AI47" s="510"/>
      <c r="AJ47" s="510"/>
      <c r="AK47" s="510"/>
      <c r="AL47" s="511"/>
      <c r="AM47" s="499" t="s">
        <v>410</v>
      </c>
      <c r="AO47" s="129"/>
      <c r="AP47" s="129" t="str">
        <f t="shared" si="7"/>
        <v xml:space="preserve">Схема подключения теплопотребляющей установки к коллектору источника тепловой энергии</v>
      </c>
      <c r="AQ47" s="129"/>
      <c r="AR47" s="129"/>
      <c r="AS47" s="50">
        <v>47</v>
      </c>
    </row>
    <row r="48" ht="22" customHeight="1">
      <c r="A48" s="264" t="s">
        <v>217</v>
      </c>
      <c r="B48" s="264" t="s">
        <v>218</v>
      </c>
      <c r="C48" s="264" t="s">
        <v>219</v>
      </c>
      <c r="D48" s="264" t="s">
        <v>220</v>
      </c>
      <c r="E48" s="585"/>
      <c r="F48" s="585"/>
      <c r="G48" s="585"/>
      <c r="H48" s="585"/>
      <c r="I48" s="73"/>
      <c r="J48" s="157" t="str">
        <f>I47&amp;".1"</f>
        <v>....1.1</v>
      </c>
      <c r="K48" s="264"/>
      <c r="L48" s="333" t="s">
        <v>411</v>
      </c>
      <c r="P48" s="132"/>
      <c r="Q48" s="132">
        <v>1</v>
      </c>
      <c r="R48" s="513"/>
      <c r="S48" s="493" t="str">
        <f>$J48</f>
        <v>....1.1</v>
      </c>
      <c r="T48" s="514" t="s">
        <v>412</v>
      </c>
      <c r="U48" s="495"/>
      <c r="V48" s="440"/>
      <c r="W48" s="510"/>
      <c r="X48" s="510"/>
      <c r="Y48" s="510"/>
      <c r="Z48" s="510"/>
      <c r="AA48" s="510"/>
      <c r="AB48" s="510"/>
      <c r="AC48" s="511"/>
      <c r="AD48" s="440"/>
      <c r="AE48" s="510"/>
      <c r="AF48" s="510"/>
      <c r="AG48" s="510"/>
      <c r="AH48" s="510"/>
      <c r="AI48" s="510"/>
      <c r="AJ48" s="510"/>
      <c r="AK48" s="510"/>
      <c r="AL48" s="511"/>
      <c r="AM48" s="499" t="s">
        <v>413</v>
      </c>
      <c r="AO48" s="129"/>
      <c r="AP48" s="129" t="str">
        <f t="shared" si="7"/>
        <v xml:space="preserve">Группа потребителей</v>
      </c>
      <c r="AQ48" s="129"/>
      <c r="AR48" s="129"/>
      <c r="AS48" s="50">
        <v>21</v>
      </c>
    </row>
    <row r="49" ht="22" customHeight="1">
      <c r="A49" s="264" t="s">
        <v>217</v>
      </c>
      <c r="B49" s="264" t="s">
        <v>218</v>
      </c>
      <c r="C49" s="264" t="s">
        <v>219</v>
      </c>
      <c r="D49" s="264" t="s">
        <v>220</v>
      </c>
      <c r="E49" s="585"/>
      <c r="F49" s="585"/>
      <c r="G49" s="585"/>
      <c r="H49" s="585"/>
      <c r="I49" s="73"/>
      <c r="J49" s="73"/>
      <c r="K49" s="157" t="str">
        <f>J48&amp;".1"</f>
        <v>....1.1.1</v>
      </c>
      <c r="L49" s="333" t="s">
        <v>414</v>
      </c>
      <c r="P49" s="132"/>
      <c r="Q49" s="132"/>
      <c r="R49" s="513">
        <v>1</v>
      </c>
      <c r="S49" s="493" t="str">
        <f>$K49</f>
        <v>....1.1.1</v>
      </c>
      <c r="T49" s="515"/>
      <c r="U49" s="495"/>
      <c r="V49" s="516"/>
      <c r="W49" s="517"/>
      <c r="X49" s="516"/>
      <c r="Y49" s="518"/>
      <c r="Z49" s="519"/>
      <c r="AA49" s="224" t="s">
        <v>67</v>
      </c>
      <c r="AB49" s="519"/>
      <c r="AC49" s="224" t="s">
        <v>67</v>
      </c>
      <c r="AD49" s="516"/>
      <c r="AE49" s="517"/>
      <c r="AF49" s="516"/>
      <c r="AG49" s="518"/>
      <c r="AH49" s="519"/>
      <c r="AI49" s="224" t="s">
        <v>67</v>
      </c>
      <c r="AJ49" s="579"/>
      <c r="AK49" s="224" t="s">
        <v>67</v>
      </c>
      <c r="AL49" s="580"/>
      <c r="AM49" s="520" t="s">
        <v>415</v>
      </c>
      <c r="AN49" s="57" t="e">
        <f>STRCHECKDATE(V50:AL50)</f>
        <v>#NAME?</v>
      </c>
      <c r="AO49" s="129"/>
      <c r="AP49" s="129" t="str">
        <f t="shared" si="7"/>
        <v/>
      </c>
      <c r="AQ49" s="129"/>
      <c r="AR49" s="129"/>
      <c r="AS49" s="50">
        <v>21</v>
      </c>
    </row>
    <row r="50" ht="1.05" customHeight="1">
      <c r="A50" s="264" t="s">
        <v>217</v>
      </c>
      <c r="B50" s="264" t="s">
        <v>218</v>
      </c>
      <c r="C50" s="264" t="s">
        <v>219</v>
      </c>
      <c r="D50" s="264" t="s">
        <v>220</v>
      </c>
      <c r="E50" s="585"/>
      <c r="F50" s="585"/>
      <c r="G50" s="585"/>
      <c r="H50" s="585"/>
      <c r="I50" s="73"/>
      <c r="J50" s="73"/>
      <c r="K50" s="157"/>
      <c r="L50" s="333"/>
      <c r="P50" s="132"/>
      <c r="Q50" s="132"/>
      <c r="R50" s="513"/>
      <c r="S50" s="467"/>
      <c r="T50" s="495"/>
      <c r="U50" s="495"/>
      <c r="V50" s="517"/>
      <c r="W50" s="517"/>
      <c r="X50" s="517"/>
      <c r="Y50" s="521" t="str">
        <f>Z49&amp;"-"&amp;AB49</f>
        <v>-</v>
      </c>
      <c r="Z50" s="522"/>
      <c r="AA50" s="224"/>
      <c r="AB50" s="522"/>
      <c r="AC50" s="224"/>
      <c r="AD50" s="517"/>
      <c r="AE50" s="517"/>
      <c r="AF50" s="517"/>
      <c r="AG50" s="521" t="str">
        <f>AH49&amp;"-"&amp;AJ49</f>
        <v>-</v>
      </c>
      <c r="AH50" s="522"/>
      <c r="AI50" s="224"/>
      <c r="AJ50" s="581"/>
      <c r="AK50" s="224"/>
      <c r="AL50" s="582"/>
      <c r="AM50" s="523"/>
      <c r="AO50" s="129"/>
      <c r="AP50" s="129" t="str">
        <f t="shared" si="7"/>
        <v/>
      </c>
      <c r="AQ50" s="129"/>
      <c r="AR50" s="129"/>
      <c r="AS50" s="50">
        <v>1</v>
      </c>
    </row>
    <row r="51" ht="11.5" customHeight="1">
      <c r="A51" s="264" t="s">
        <v>217</v>
      </c>
      <c r="B51" s="264" t="s">
        <v>218</v>
      </c>
      <c r="C51" s="264" t="s">
        <v>219</v>
      </c>
      <c r="D51" s="264" t="s">
        <v>220</v>
      </c>
      <c r="E51" s="585"/>
      <c r="F51" s="585"/>
      <c r="G51" s="585"/>
      <c r="H51" s="585"/>
      <c r="I51" s="73"/>
      <c r="J51" s="157"/>
      <c r="K51" s="264"/>
      <c r="L51" s="333"/>
      <c r="P51" s="132"/>
      <c r="Q51" s="132"/>
      <c r="R51" s="508"/>
      <c r="S51" s="524"/>
      <c r="T51" s="525" t="s">
        <v>416</v>
      </c>
      <c r="U51" s="214"/>
      <c r="V51" s="214"/>
      <c r="W51" s="214"/>
      <c r="X51" s="214"/>
      <c r="Y51" s="214"/>
      <c r="Z51" s="214"/>
      <c r="AA51" s="214"/>
      <c r="AB51" s="214"/>
      <c r="AC51" s="214"/>
      <c r="AD51" s="214"/>
      <c r="AE51" s="214"/>
      <c r="AF51" s="214"/>
      <c r="AG51" s="214"/>
      <c r="AH51" s="214"/>
      <c r="AI51" s="214"/>
      <c r="AJ51" s="214"/>
      <c r="AK51" s="214"/>
      <c r="AL51" s="526"/>
      <c r="AM51" s="527"/>
      <c r="AO51" s="129"/>
      <c r="AP51" s="129" t="str">
        <f t="shared" si="7"/>
        <v xml:space="preserve">Добавить вид теплоносителя (параметры теплоносителя)</v>
      </c>
      <c r="AQ51" s="129"/>
      <c r="AR51" s="129"/>
      <c r="AS51" s="50">
        <v>11</v>
      </c>
    </row>
    <row r="52" ht="11.5" customHeight="1">
      <c r="A52" s="264" t="s">
        <v>217</v>
      </c>
      <c r="B52" s="264" t="s">
        <v>218</v>
      </c>
      <c r="C52" s="264" t="s">
        <v>219</v>
      </c>
      <c r="D52" s="264" t="s">
        <v>220</v>
      </c>
      <c r="E52" s="585"/>
      <c r="F52" s="585"/>
      <c r="G52" s="585"/>
      <c r="H52" s="585"/>
      <c r="I52" s="157"/>
      <c r="J52" s="264"/>
      <c r="K52" s="264"/>
      <c r="L52" s="333"/>
      <c r="P52" s="132"/>
      <c r="Q52" s="132"/>
      <c r="R52" s="508"/>
      <c r="S52" s="524"/>
      <c r="T52" s="528" t="s">
        <v>417</v>
      </c>
      <c r="U52" s="214"/>
      <c r="V52" s="214"/>
      <c r="W52" s="214"/>
      <c r="X52" s="214"/>
      <c r="Y52" s="214"/>
      <c r="Z52" s="214"/>
      <c r="AA52" s="214"/>
      <c r="AB52" s="214"/>
      <c r="AC52" s="529"/>
      <c r="AD52" s="214"/>
      <c r="AE52" s="214"/>
      <c r="AF52" s="214"/>
      <c r="AG52" s="214"/>
      <c r="AH52" s="214"/>
      <c r="AI52" s="214"/>
      <c r="AJ52" s="214"/>
      <c r="AK52" s="529"/>
      <c r="AL52" s="214"/>
      <c r="AM52" s="530"/>
      <c r="AO52" s="129"/>
      <c r="AP52" s="129" t="str">
        <f t="shared" si="7"/>
        <v xml:space="preserve">Добавить группу потребителей</v>
      </c>
      <c r="AQ52" s="129"/>
      <c r="AR52" s="129"/>
      <c r="AS52" s="50">
        <v>11</v>
      </c>
    </row>
    <row r="53" ht="14.65" customHeight="1">
      <c r="A53" s="264" t="s">
        <v>217</v>
      </c>
      <c r="B53" s="264" t="s">
        <v>218</v>
      </c>
      <c r="C53" s="264" t="s">
        <v>219</v>
      </c>
      <c r="D53" s="264" t="s">
        <v>220</v>
      </c>
      <c r="E53" s="585"/>
      <c r="F53" s="585"/>
      <c r="G53" s="585"/>
      <c r="H53" s="584"/>
      <c r="I53" s="264"/>
      <c r="J53" s="264"/>
      <c r="K53" s="264"/>
      <c r="L53" s="333"/>
      <c r="M53" s="86"/>
      <c r="N53" s="86"/>
      <c r="O53" s="50"/>
      <c r="P53" s="143"/>
      <c r="Q53" s="531"/>
      <c r="R53" s="492"/>
      <c r="S53" s="524"/>
      <c r="T53" s="532" t="s">
        <v>418</v>
      </c>
      <c r="U53" s="214"/>
      <c r="V53" s="214"/>
      <c r="W53" s="214"/>
      <c r="X53" s="214"/>
      <c r="Y53" s="214"/>
      <c r="Z53" s="214"/>
      <c r="AA53" s="214"/>
      <c r="AB53" s="214"/>
      <c r="AC53" s="529"/>
      <c r="AD53" s="214"/>
      <c r="AE53" s="214"/>
      <c r="AF53" s="214"/>
      <c r="AG53" s="214"/>
      <c r="AH53" s="214"/>
      <c r="AI53" s="214"/>
      <c r="AJ53" s="214"/>
      <c r="AK53" s="529"/>
      <c r="AL53" s="214"/>
      <c r="AM53" s="530"/>
      <c r="AO53" s="129"/>
      <c r="AP53" s="129" t="str">
        <f t="shared" si="7"/>
        <v xml:space="preserve">Добавить схему подключения</v>
      </c>
      <c r="AQ53" s="129"/>
      <c r="AR53" s="129"/>
      <c r="AS53" s="50">
        <v>14</v>
      </c>
    </row>
    <row r="54" s="57" customFormat="1" ht="4.2000000000000002" customHeight="1">
      <c r="A54" s="586" t="s">
        <v>217</v>
      </c>
      <c r="B54" s="586" t="s">
        <v>218</v>
      </c>
      <c r="C54" s="586" t="s">
        <v>219</v>
      </c>
      <c r="D54" s="586"/>
      <c r="E54" s="585"/>
      <c r="F54" s="585"/>
      <c r="G54" s="584"/>
      <c r="H54" s="586"/>
      <c r="I54" s="586"/>
      <c r="J54" s="586"/>
      <c r="K54" s="586"/>
      <c r="L54" s="587"/>
      <c r="M54" s="588"/>
      <c r="N54" s="588"/>
      <c r="O54" s="131"/>
      <c r="P54" s="167"/>
      <c r="Q54" s="533"/>
      <c r="R54" s="167"/>
      <c r="S54" s="538"/>
      <c r="T54" s="541" t="s">
        <v>211</v>
      </c>
      <c r="U54" s="540"/>
      <c r="V54" s="540"/>
      <c r="W54" s="540"/>
      <c r="X54" s="540"/>
      <c r="Y54" s="540"/>
      <c r="Z54" s="540"/>
      <c r="AA54" s="540"/>
      <c r="AB54" s="540"/>
      <c r="AC54" s="540"/>
      <c r="AD54" s="540"/>
      <c r="AE54" s="540"/>
      <c r="AF54" s="540"/>
      <c r="AG54" s="540"/>
      <c r="AH54" s="540"/>
      <c r="AI54" s="540"/>
      <c r="AJ54" s="540"/>
      <c r="AK54" s="540"/>
      <c r="AL54" s="540"/>
      <c r="AM54" s="540"/>
      <c r="AO54" s="129"/>
      <c r="AP54" s="129" t="str">
        <f t="shared" si="7"/>
        <v xml:space="preserve">Добавить источник для дифференциации</v>
      </c>
      <c r="AQ54" s="129"/>
      <c r="AR54" s="129"/>
      <c r="AS54" s="57">
        <v>4</v>
      </c>
    </row>
    <row r="55" s="57" customFormat="1" ht="4.2000000000000002" customHeight="1">
      <c r="A55" s="586" t="s">
        <v>217</v>
      </c>
      <c r="B55" s="586" t="s">
        <v>218</v>
      </c>
      <c r="C55" s="586"/>
      <c r="D55" s="586"/>
      <c r="E55" s="585"/>
      <c r="F55" s="584"/>
      <c r="G55" s="586"/>
      <c r="H55" s="586"/>
      <c r="I55" s="586"/>
      <c r="J55" s="586"/>
      <c r="K55" s="586"/>
      <c r="L55" s="587"/>
      <c r="M55" s="589"/>
      <c r="N55" s="589"/>
      <c r="O55" s="131"/>
      <c r="P55" s="167"/>
      <c r="Q55" s="533"/>
      <c r="R55" s="167"/>
      <c r="S55" s="538"/>
      <c r="T55" s="541" t="s">
        <v>212</v>
      </c>
      <c r="U55" s="540"/>
      <c r="V55" s="540"/>
      <c r="W55" s="540"/>
      <c r="X55" s="540"/>
      <c r="Y55" s="540"/>
      <c r="Z55" s="540"/>
      <c r="AA55" s="540"/>
      <c r="AB55" s="540"/>
      <c r="AC55" s="540"/>
      <c r="AD55" s="540"/>
      <c r="AE55" s="540"/>
      <c r="AF55" s="540"/>
      <c r="AG55" s="540"/>
      <c r="AH55" s="540"/>
      <c r="AI55" s="540"/>
      <c r="AJ55" s="540"/>
      <c r="AK55" s="540"/>
      <c r="AL55" s="540"/>
      <c r="AM55" s="540"/>
      <c r="AO55" s="129"/>
      <c r="AP55" s="129" t="str">
        <f t="shared" si="7"/>
        <v xml:space="preserve">Добавить централизованную систему для дифференциации</v>
      </c>
      <c r="AQ55" s="129"/>
      <c r="AR55" s="129"/>
      <c r="AS55" s="57">
        <v>4</v>
      </c>
    </row>
    <row r="56" s="57" customFormat="1" ht="4.2000000000000002" customHeight="1">
      <c r="A56" s="586" t="s">
        <v>217</v>
      </c>
      <c r="B56" s="586"/>
      <c r="C56" s="586"/>
      <c r="D56" s="586"/>
      <c r="E56" s="584"/>
      <c r="F56" s="586"/>
      <c r="G56" s="586"/>
      <c r="H56" s="586"/>
      <c r="I56" s="586"/>
      <c r="J56" s="586"/>
      <c r="K56" s="586"/>
      <c r="L56" s="587"/>
      <c r="M56" s="589"/>
      <c r="N56" s="589"/>
      <c r="O56" s="131"/>
      <c r="P56" s="167"/>
      <c r="Q56" s="533"/>
      <c r="R56" s="167"/>
      <c r="S56" s="538"/>
      <c r="T56" s="541" t="s">
        <v>213</v>
      </c>
      <c r="U56" s="540"/>
      <c r="V56" s="540"/>
      <c r="W56" s="540"/>
      <c r="X56" s="540"/>
      <c r="Y56" s="540"/>
      <c r="Z56" s="540"/>
      <c r="AA56" s="540"/>
      <c r="AB56" s="540"/>
      <c r="AC56" s="540"/>
      <c r="AD56" s="540"/>
      <c r="AE56" s="540"/>
      <c r="AF56" s="540"/>
      <c r="AG56" s="540"/>
      <c r="AH56" s="540"/>
      <c r="AI56" s="540"/>
      <c r="AJ56" s="540"/>
      <c r="AK56" s="540"/>
      <c r="AL56" s="540"/>
      <c r="AM56" s="540"/>
      <c r="AO56" s="129"/>
      <c r="AP56" s="129" t="str">
        <f t="shared" si="7"/>
        <v xml:space="preserve">Добавить территорию для дифференциации</v>
      </c>
      <c r="AQ56" s="129"/>
      <c r="AR56" s="129"/>
      <c r="AS56" s="57">
        <v>4</v>
      </c>
    </row>
    <row r="57" s="57" customFormat="1" ht="4.2000000000000002" customHeight="1">
      <c r="A57" s="586"/>
      <c r="B57" s="586"/>
      <c r="C57" s="586"/>
      <c r="D57" s="586"/>
      <c r="E57" s="586"/>
      <c r="F57" s="586"/>
      <c r="G57" s="586"/>
      <c r="H57" s="586"/>
      <c r="I57" s="586"/>
      <c r="J57" s="586"/>
      <c r="K57" s="586"/>
      <c r="L57" s="587"/>
      <c r="M57" s="589"/>
      <c r="N57" s="589"/>
      <c r="O57" s="131"/>
      <c r="P57" s="167"/>
      <c r="Q57" s="533"/>
      <c r="R57" s="167"/>
      <c r="S57" s="538"/>
      <c r="T57" s="541" t="s">
        <v>214</v>
      </c>
      <c r="U57" s="540"/>
      <c r="V57" s="540"/>
      <c r="W57" s="540"/>
      <c r="X57" s="540"/>
      <c r="Y57" s="540"/>
      <c r="Z57" s="540"/>
      <c r="AA57" s="540"/>
      <c r="AB57" s="540"/>
      <c r="AC57" s="540"/>
      <c r="AD57" s="540"/>
      <c r="AE57" s="540"/>
      <c r="AF57" s="540"/>
      <c r="AG57" s="540"/>
      <c r="AH57" s="540"/>
      <c r="AI57" s="540"/>
      <c r="AJ57" s="540"/>
      <c r="AK57" s="540"/>
      <c r="AL57" s="540"/>
      <c r="AM57" s="540"/>
      <c r="AO57" s="129"/>
      <c r="AP57" s="129" t="str">
        <f t="shared" si="7"/>
        <v xml:space="preserve">Добавить наименование тарифа</v>
      </c>
      <c r="AQ57" s="129"/>
      <c r="AR57" s="129"/>
      <c r="AS57" s="57">
        <v>4</v>
      </c>
    </row>
    <row r="58" ht="11.5" customHeight="1">
      <c r="M58" s="50"/>
      <c r="N58" s="50"/>
      <c r="O58" s="50"/>
      <c r="P58" s="50"/>
      <c r="Q58" s="50"/>
      <c r="R58" s="50"/>
      <c r="S58" s="50"/>
      <c r="AN58" s="50"/>
      <c r="AO58" s="50"/>
      <c r="AP58" s="50"/>
      <c r="AQ58" s="50"/>
      <c r="AR58" s="50"/>
      <c r="AS58" s="50">
        <v>11</v>
      </c>
    </row>
    <row r="59" ht="28.5" customHeight="1">
      <c r="O59" s="50"/>
      <c r="S59" s="485"/>
      <c r="T59" s="583"/>
      <c r="U59" s="583"/>
      <c r="V59" s="583"/>
      <c r="W59" s="583"/>
      <c r="X59" s="583"/>
      <c r="Y59" s="583"/>
      <c r="Z59" s="583"/>
      <c r="AA59" s="583"/>
      <c r="AB59" s="583"/>
      <c r="AC59" s="583"/>
      <c r="AD59" s="583"/>
      <c r="AE59" s="583"/>
      <c r="AF59" s="583"/>
      <c r="AG59" s="583"/>
      <c r="AH59" s="583"/>
      <c r="AI59" s="583"/>
      <c r="AJ59" s="583"/>
      <c r="AK59" s="583"/>
      <c r="AL59" s="583"/>
      <c r="AM59" s="583"/>
      <c r="AS59" s="50">
        <v>27</v>
      </c>
    </row>
    <row r="60" ht="65.25" customHeight="1">
      <c r="O60" s="50"/>
      <c r="T60" s="583"/>
      <c r="U60" s="583"/>
      <c r="V60" s="583"/>
      <c r="W60" s="583"/>
      <c r="X60" s="583"/>
      <c r="Y60" s="583"/>
      <c r="Z60" s="583"/>
      <c r="AA60" s="583"/>
      <c r="AB60" s="583"/>
      <c r="AC60" s="583"/>
      <c r="AD60" s="583"/>
      <c r="AE60" s="583"/>
      <c r="AF60" s="583"/>
      <c r="AG60" s="583"/>
      <c r="AH60" s="583"/>
      <c r="AI60" s="583"/>
      <c r="AJ60" s="583"/>
      <c r="AK60" s="583"/>
      <c r="AL60" s="583"/>
      <c r="AM60" s="583"/>
      <c r="AS60" s="50">
        <v>62</v>
      </c>
    </row>
    <row r="61" ht="14.65" customHeight="1">
      <c r="O61" s="50"/>
      <c r="AS61" s="50">
        <v>14</v>
      </c>
    </row>
    <row r="62" ht="18.75" customHeight="1">
      <c r="O62" s="50"/>
      <c r="S62" s="485"/>
      <c r="T62" s="583"/>
      <c r="U62" s="583"/>
      <c r="V62" s="583"/>
      <c r="W62" s="583"/>
      <c r="X62" s="583"/>
      <c r="Y62" s="583"/>
      <c r="Z62" s="583"/>
      <c r="AA62" s="583"/>
      <c r="AB62" s="583"/>
      <c r="AC62" s="583"/>
      <c r="AD62" s="583"/>
      <c r="AE62" s="583"/>
      <c r="AF62" s="583"/>
      <c r="AG62" s="583"/>
      <c r="AH62" s="583"/>
      <c r="AI62" s="583"/>
      <c r="AJ62" s="583"/>
      <c r="AK62" s="583"/>
      <c r="AL62" s="583"/>
      <c r="AM62" s="583"/>
      <c r="AS62" s="50">
        <v>18</v>
      </c>
    </row>
    <row r="63" ht="18.75" customHeight="1">
      <c r="O63" s="50"/>
      <c r="T63" s="583"/>
      <c r="U63" s="583"/>
      <c r="V63" s="583"/>
      <c r="W63" s="583"/>
      <c r="X63" s="583"/>
      <c r="Y63" s="583"/>
      <c r="Z63" s="583"/>
      <c r="AA63" s="583"/>
      <c r="AB63" s="583"/>
      <c r="AC63" s="583"/>
      <c r="AD63" s="583"/>
      <c r="AE63" s="583"/>
      <c r="AF63" s="583"/>
      <c r="AG63" s="583"/>
      <c r="AH63" s="583"/>
      <c r="AI63" s="583"/>
      <c r="AJ63" s="583"/>
      <c r="AK63" s="583"/>
      <c r="AL63" s="583"/>
      <c r="AM63" s="583"/>
      <c r="AS63" s="50">
        <v>18</v>
      </c>
    </row>
    <row r="64" ht="29.25" customHeight="1">
      <c r="O64" s="50"/>
      <c r="S64" s="485"/>
      <c r="T64" s="583"/>
      <c r="U64" s="583"/>
      <c r="V64" s="583"/>
      <c r="W64" s="583"/>
      <c r="X64" s="583"/>
      <c r="Y64" s="583"/>
      <c r="Z64" s="583"/>
      <c r="AA64" s="583"/>
      <c r="AB64" s="583"/>
      <c r="AC64" s="583"/>
      <c r="AD64" s="583"/>
      <c r="AE64" s="583"/>
      <c r="AF64" s="583"/>
      <c r="AG64" s="583"/>
      <c r="AH64" s="583"/>
      <c r="AI64" s="583"/>
      <c r="AJ64" s="583"/>
      <c r="AK64" s="583"/>
      <c r="AL64" s="583"/>
      <c r="AM64" s="583"/>
      <c r="AS64" s="50">
        <v>28</v>
      </c>
    </row>
    <row r="65" ht="22.5" hidden="1" customHeight="1">
      <c r="A65" s="50" t="s">
        <v>83</v>
      </c>
      <c r="B65" s="50">
        <v>0</v>
      </c>
      <c r="C65" s="50">
        <v>0</v>
      </c>
      <c r="D65" s="50">
        <v>0</v>
      </c>
      <c r="E65" s="50">
        <v>0</v>
      </c>
      <c r="F65" s="50">
        <v>0</v>
      </c>
      <c r="G65" s="50">
        <v>0</v>
      </c>
      <c r="H65" s="50">
        <v>0</v>
      </c>
      <c r="I65" s="50">
        <v>0</v>
      </c>
      <c r="J65" s="50">
        <v>0</v>
      </c>
      <c r="K65" s="50">
        <v>0</v>
      </c>
      <c r="L65" s="51">
        <v>0</v>
      </c>
      <c r="M65" s="60">
        <v>0</v>
      </c>
      <c r="N65" s="60">
        <v>0</v>
      </c>
      <c r="O65" s="60">
        <v>0</v>
      </c>
      <c r="P65" s="60">
        <v>3</v>
      </c>
      <c r="Q65" s="487">
        <v>3</v>
      </c>
      <c r="R65" s="487">
        <v>3</v>
      </c>
      <c r="S65" s="86">
        <v>12</v>
      </c>
      <c r="T65" s="50">
        <v>31</v>
      </c>
      <c r="U65" s="50">
        <v>0</v>
      </c>
      <c r="V65" s="50">
        <v>0</v>
      </c>
      <c r="W65" s="50">
        <v>0</v>
      </c>
      <c r="X65" s="50">
        <v>0</v>
      </c>
      <c r="Y65" s="50">
        <v>0</v>
      </c>
      <c r="Z65" s="50">
        <v>0</v>
      </c>
      <c r="AA65" s="50">
        <v>0</v>
      </c>
      <c r="AB65" s="50">
        <v>0</v>
      </c>
      <c r="AC65" s="50">
        <v>0</v>
      </c>
      <c r="AD65" s="50">
        <v>24</v>
      </c>
      <c r="AE65" s="50">
        <v>0</v>
      </c>
      <c r="AF65" s="50">
        <v>24</v>
      </c>
      <c r="AG65" s="50">
        <v>24</v>
      </c>
      <c r="AH65" s="50">
        <v>11</v>
      </c>
      <c r="AI65" s="50">
        <v>3</v>
      </c>
      <c r="AJ65" s="50">
        <v>11</v>
      </c>
      <c r="AK65" s="50">
        <v>0</v>
      </c>
      <c r="AL65" s="50">
        <v>4</v>
      </c>
      <c r="AM65" s="50">
        <v>115</v>
      </c>
      <c r="AN65" s="57">
        <v>10</v>
      </c>
      <c r="AO65" s="57">
        <v>10</v>
      </c>
      <c r="AP65" s="57">
        <v>10</v>
      </c>
      <c r="AQ65" s="57">
        <v>10</v>
      </c>
      <c r="AR65" s="57">
        <v>10</v>
      </c>
      <c r="AS65" s="50">
        <v>23</v>
      </c>
    </row>
  </sheetData>
  <sheetProtection autoFilter="0" deleteColumns="1" deleteRows="1" formatCells="1" formatColumns="1" formatRows="1" insertColumns="1" insertHyperlinks="1" insertRows="1" objects="0" pivotTables="1" scenarios="0" selectLockedCells="0" selectUnlockedCells="0" sheet="1" sort="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K8:K9"/>
    <mergeCell ref="Z8:Z9"/>
    <mergeCell ref="AA8:AA9"/>
    <mergeCell ref="AB8:AB9"/>
    <mergeCell ref="AC8:AC9"/>
    <mergeCell ref="AH8:AH9"/>
    <mergeCell ref="AI8:AI9"/>
    <mergeCell ref="AJ8:AJ9"/>
    <mergeCell ref="AK8:AK9"/>
    <mergeCell ref="AM8:AM10"/>
    <mergeCell ref="AH17:AH18"/>
    <mergeCell ref="AI17:AI18"/>
    <mergeCell ref="AJ17:AJ18"/>
    <mergeCell ref="AK17:AK18"/>
    <mergeCell ref="S26:AJ26"/>
    <mergeCell ref="S27:AJ27"/>
    <mergeCell ref="S29:T29"/>
    <mergeCell ref="V29:AB29"/>
    <mergeCell ref="AD29:AJ29"/>
    <mergeCell ref="S30:T30"/>
    <mergeCell ref="V30:AB30"/>
    <mergeCell ref="AD30:AJ30"/>
    <mergeCell ref="S31:T31"/>
    <mergeCell ref="V31:AB31"/>
    <mergeCell ref="AD31:AJ31"/>
    <mergeCell ref="S32:T32"/>
    <mergeCell ref="V32:AB32"/>
    <mergeCell ref="AD32:AJ32"/>
    <mergeCell ref="S34:T34"/>
    <mergeCell ref="V34:AB34"/>
    <mergeCell ref="AD34:AJ34"/>
    <mergeCell ref="S35:T35"/>
    <mergeCell ref="V35:AB35"/>
    <mergeCell ref="AD35:AJ35"/>
    <mergeCell ref="V37:AC37"/>
    <mergeCell ref="AD37:AK37"/>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AH40:AJ40"/>
    <mergeCell ref="AA41:AB41"/>
    <mergeCell ref="AI41:AJ41"/>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AM49:AM51"/>
    <mergeCell ref="T59:AM59"/>
    <mergeCell ref="T60:AM60"/>
    <mergeCell ref="T62:AM62"/>
    <mergeCell ref="T63:AM63"/>
    <mergeCell ref="T64:AM64"/>
  </mergeCells>
  <dataValidations count="4" disablePrompts="0">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type="none" allowBlank="1" errorStyle="stop" imeMode="noControl" operator="between" promptTitle="checkPeriodRange" showDropDown="0" showErrorMessage="0" showInputMessage="0"/>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S131123:AM131129 S196659:AM196665 S262195:AM262201 S327731:AM327737 S393267:AM393273 S458803:AM458809 S524339:AM524345 S589875:AM589881 S655411:AM655417 S720947:AM720953 S786483:AM786489 S852019:AM852025 S917555:AM917561 S983091:AM983097 S65587:AM65593" type="none" allowBlank="1" errorStyle="stop" imeMode="noControl" operator="between"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280011-004B-409F-A2B1-009600A9000C}" type="list" allowBlank="1" error="Выберите значение из списка" errorStyle="stop" errorTitle="Ошибка" imeMode="noControl" operator="between" showDropDown="0" showErrorMessage="1" showInputMessage="1">
          <x14:formula1>
            <xm:f>kind_of_heat_transfer</xm:f>
          </x14:formula1>
          <xm:sqref>T65585 T131121 T196657 T262193 T327729 T393265 T458801 T524337 T589873 T655409 T720945 T786481 T852017 T917553 T983089</xm:sqref>
        </x14:dataValidation>
        <x14:dataValidation xr:uid="{00AB0098-003F-4F55-9726-0086007400C6}" type="textLength" allowBlank="1" error="Допускается ввод не более 900 символов!" errorStyle="stop" errorTitle="Ошибка" imeMode="noControl" operator="lessThanOrEqual" showDropDown="0"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 xr:uid="{00D80010-0025-432E-AFC8-007900EB005C}" type="list" allowBlank="1" error="Выберите значение из списка" errorStyle="stop" errorTitle="Ошибка" imeMode="noControl" operator="between" showDropDown="0"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 xr:uid="{00FC007D-0003-42EF-BF36-00DB007C00D5}"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zoomScale="90" workbookViewId="0">
      <pane xSplit="29" ySplit="42" topLeftCell="AD43" activePane="bottomRight" state="frozen"/>
      <selection activeCell="A1" activeCellId="0" sqref="A1"/>
    </sheetView>
  </sheetViews>
  <sheetFormatPr defaultColWidth="10.57421875" defaultRowHeight="14.25" customHeight="1"/>
  <cols>
    <col hidden="1" min="1" max="1" style="50" width="10.57421875"/>
    <col customWidth="1" hidden="1" min="2" max="2" style="50" width="11.00390625"/>
    <col hidden="1" min="3" max="3" style="50" width="10.57421875"/>
    <col customWidth="1" hidden="1" min="4" max="4" style="50" width="11.8515625"/>
    <col customWidth="1" hidden="1" min="5" max="5" style="50" width="10.00390625"/>
    <col customWidth="1" hidden="1" min="6" max="6" style="50" width="8.7109375"/>
    <col customWidth="1" hidden="1" min="7" max="7" style="50" width="7.57421875"/>
    <col customWidth="1" hidden="1" min="8" max="8" style="50" width="11.421875"/>
    <col customWidth="1" hidden="1" min="9" max="9" style="50" width="12.00390625"/>
    <col customWidth="1" hidden="1" min="10" max="10" style="50" width="9.8515625"/>
    <col customWidth="1" hidden="1" min="11" max="11" style="50" width="11.421875"/>
    <col customWidth="1" hidden="1" min="12" max="12" style="51" width="19.140625"/>
    <col customWidth="1" hidden="1" min="13" max="14" style="60" width="12.28125"/>
    <col customWidth="1" hidden="1" min="15" max="15" style="60" width="23.421875"/>
    <col customWidth="1" min="16" max="16" style="60" width="3.00390625"/>
    <col customWidth="1" min="17" max="18" style="487" width="3.00390625"/>
    <col customWidth="1" min="19" max="19" style="86" width="12.00390625"/>
    <col customWidth="1" min="20" max="20" style="50" width="31.00390625"/>
    <col customWidth="1" min="21" max="21" style="50" width="0.140625"/>
    <col customWidth="1" hidden="1" min="22" max="22" style="50" width="24.7109375"/>
    <col customWidth="1" hidden="1" min="23" max="23" style="50" width="0.140625"/>
    <col customWidth="1" hidden="1" min="24" max="25" style="50" width="24.7109375"/>
    <col customWidth="1" hidden="1" min="26" max="26" style="50" width="11.7109375"/>
    <col customWidth="1" hidden="1" min="27" max="27" style="50" width="3.7109375"/>
    <col customWidth="1" hidden="1" min="28" max="28" style="50" width="11.7109375"/>
    <col customWidth="1" hidden="1" min="29" max="29" style="50" width="8.57421875"/>
    <col customWidth="1" min="30" max="30" style="50" width="24.7109375"/>
    <col customWidth="1" min="31" max="31" style="50" width="0.140625"/>
    <col customWidth="1" min="32" max="33" style="50" width="24.00390625"/>
    <col customWidth="1" min="34" max="34" style="50" width="11.00390625"/>
    <col customWidth="1" min="35" max="35" style="50" width="3.7109375"/>
    <col customWidth="1" min="36" max="36" style="50" width="11.00390625"/>
    <col customWidth="1" hidden="1" min="37" max="37" style="50" width="8.57421875"/>
    <col customWidth="1" min="38" max="38" style="50" width="4.00390625"/>
    <col customWidth="1" min="39" max="39" style="50" width="115.00390625"/>
    <col customWidth="1" min="40" max="44" style="57" width="10.00390625"/>
    <col hidden="1" min="45" max="45" style="50" width="10.57421875"/>
  </cols>
  <sheetData>
    <row r="1" ht="22.5" hidden="1" customHeight="1">
      <c r="AS1" s="50" t="s">
        <v>14</v>
      </c>
    </row>
    <row r="2" ht="21" hidden="1" customHeight="1">
      <c r="A2" s="264"/>
      <c r="B2" s="264"/>
      <c r="C2" s="264"/>
      <c r="D2" s="264"/>
      <c r="E2" s="584">
        <v>1</v>
      </c>
      <c r="F2" s="264"/>
      <c r="G2" s="264"/>
      <c r="H2" s="264"/>
      <c r="I2" s="264"/>
      <c r="J2" s="264"/>
      <c r="K2" s="264"/>
      <c r="L2" s="333"/>
      <c r="M2" s="86"/>
      <c r="N2" s="86"/>
      <c r="O2" s="86"/>
      <c r="P2" s="60"/>
      <c r="Q2" s="143"/>
      <c r="R2" s="492"/>
      <c r="S2" s="493" t="e">
        <f>INDEX(PT_DIFFERENTIATION_NUM_NTAR,MATCH(A2,PT_DIFFERENTIATION_NTAR_ID,0))</f>
        <v>#VALUE!</v>
      </c>
      <c r="T2" s="494" t="s">
        <v>123</v>
      </c>
      <c r="U2" s="495"/>
      <c r="V2" s="496"/>
      <c r="W2" s="497"/>
      <c r="X2" s="497"/>
      <c r="Y2" s="497"/>
      <c r="Z2" s="497"/>
      <c r="AA2" s="497"/>
      <c r="AB2" s="497"/>
      <c r="AC2" s="498"/>
      <c r="AD2" s="496" t="e">
        <f>INDEX(PT_DIFFERENTIATION_NTAR,MATCH(A2,PT_DIFFERENTIATION_NTAR_ID,0))</f>
        <v>#VALUE!</v>
      </c>
      <c r="AE2" s="497"/>
      <c r="AF2" s="497"/>
      <c r="AG2" s="497"/>
      <c r="AH2" s="497"/>
      <c r="AI2" s="497"/>
      <c r="AJ2" s="497"/>
      <c r="AK2" s="497"/>
      <c r="AL2" s="498"/>
      <c r="AM2" s="499" t="s">
        <v>401</v>
      </c>
      <c r="AO2" s="129"/>
      <c r="AP2" s="129" t="str">
        <f t="shared" ref="AP2:AP9" si="8">IF(T2="","",T2)</f>
        <v xml:space="preserve">Наименование тарифа</v>
      </c>
      <c r="AQ2" s="129"/>
      <c r="AR2" s="129"/>
      <c r="AS2" s="50">
        <v>0</v>
      </c>
    </row>
    <row r="3" ht="21" hidden="1" customHeight="1">
      <c r="A3" s="264"/>
      <c r="B3" s="264"/>
      <c r="C3" s="264"/>
      <c r="D3" s="264"/>
      <c r="E3" s="585"/>
      <c r="F3" s="584">
        <v>1</v>
      </c>
      <c r="G3" s="264"/>
      <c r="H3" s="264"/>
      <c r="I3" s="264"/>
      <c r="J3" s="264"/>
      <c r="K3" s="264"/>
      <c r="L3" s="333"/>
      <c r="M3" s="86"/>
      <c r="N3" s="86"/>
      <c r="O3" s="86"/>
      <c r="P3" s="51"/>
      <c r="Q3" s="501"/>
      <c r="R3" s="502"/>
      <c r="S3" s="493" t="e">
        <f>INDEX(PT_DIFFERENTIATION_NUM_TER,MATCH(B3,PT_DIFFERENTIATION_TER_ID,0))</f>
        <v>#VALUE!</v>
      </c>
      <c r="T3" s="503" t="s">
        <v>402</v>
      </c>
      <c r="U3" s="495"/>
      <c r="V3" s="496"/>
      <c r="W3" s="497"/>
      <c r="X3" s="497"/>
      <c r="Y3" s="497"/>
      <c r="Z3" s="497"/>
      <c r="AA3" s="497"/>
      <c r="AB3" s="497"/>
      <c r="AC3" s="498"/>
      <c r="AD3" s="496" t="e">
        <f>INDEX(PT_DIFFERENTIATION_TER,MATCH(B3,PT_DIFFERENTIATION_TER_ID,0))</f>
        <v>#VALUE!</v>
      </c>
      <c r="AE3" s="497"/>
      <c r="AF3" s="497"/>
      <c r="AG3" s="497"/>
      <c r="AH3" s="497"/>
      <c r="AI3" s="497"/>
      <c r="AJ3" s="497"/>
      <c r="AK3" s="497"/>
      <c r="AL3" s="498"/>
      <c r="AM3" s="499" t="s">
        <v>403</v>
      </c>
      <c r="AO3" s="129"/>
      <c r="AP3" s="129" t="str">
        <f t="shared" si="8"/>
        <v xml:space="preserve">Территория действия тарифа</v>
      </c>
      <c r="AQ3" s="129"/>
      <c r="AR3" s="129"/>
      <c r="AS3" s="50">
        <v>0</v>
      </c>
    </row>
    <row r="4" ht="23.25" hidden="1" customHeight="1">
      <c r="A4" s="264"/>
      <c r="B4" s="264"/>
      <c r="C4" s="264"/>
      <c r="D4" s="264"/>
      <c r="E4" s="585"/>
      <c r="F4" s="585"/>
      <c r="G4" s="584">
        <v>1</v>
      </c>
      <c r="H4" s="264"/>
      <c r="I4" s="264"/>
      <c r="J4" s="264"/>
      <c r="K4" s="264"/>
      <c r="L4" s="333"/>
      <c r="M4" s="86"/>
      <c r="N4" s="86"/>
      <c r="O4" s="86"/>
      <c r="P4" s="504"/>
      <c r="Q4" s="501"/>
      <c r="R4" s="502"/>
      <c r="S4" s="493" t="e">
        <f>INDEX(PT_DIFFERENTIATION_NUM_CS,MATCH(C4,PT_DIFFERENTIATION_CS_ID,0))</f>
        <v>#VALUE!</v>
      </c>
      <c r="T4" s="505" t="s">
        <v>404</v>
      </c>
      <c r="U4" s="495"/>
      <c r="V4" s="496"/>
      <c r="W4" s="497"/>
      <c r="X4" s="497"/>
      <c r="Y4" s="497"/>
      <c r="Z4" s="497"/>
      <c r="AA4" s="497"/>
      <c r="AB4" s="497"/>
      <c r="AC4" s="498"/>
      <c r="AD4" s="496" t="e">
        <f>INDEX(PT_DIFFERENTIATION_CS,MATCH(C4,PT_DIFFERENTIATION_CS_ID,0))</f>
        <v>#VALUE!</v>
      </c>
      <c r="AE4" s="497"/>
      <c r="AF4" s="497"/>
      <c r="AG4" s="497"/>
      <c r="AH4" s="497"/>
      <c r="AI4" s="497"/>
      <c r="AJ4" s="497"/>
      <c r="AK4" s="497"/>
      <c r="AL4" s="498"/>
      <c r="AM4" s="499" t="s">
        <v>405</v>
      </c>
      <c r="AO4" s="129"/>
      <c r="AP4" s="129" t="str">
        <f t="shared" si="8"/>
        <v xml:space="preserve">Наименование системы теплоснабжения </v>
      </c>
      <c r="AQ4" s="129"/>
      <c r="AR4" s="129"/>
      <c r="AS4" s="50">
        <v>0</v>
      </c>
    </row>
    <row r="5" ht="21" hidden="1" customHeight="1">
      <c r="A5" s="264"/>
      <c r="B5" s="264"/>
      <c r="C5" s="264"/>
      <c r="D5" s="264"/>
      <c r="E5" s="585"/>
      <c r="F5" s="585"/>
      <c r="G5" s="585"/>
      <c r="H5" s="584">
        <v>1</v>
      </c>
      <c r="I5" s="264"/>
      <c r="J5" s="264"/>
      <c r="K5" s="264"/>
      <c r="L5" s="333"/>
      <c r="M5" s="86"/>
      <c r="N5" s="86"/>
      <c r="O5" s="86"/>
      <c r="P5" s="504"/>
      <c r="Q5" s="501"/>
      <c r="R5" s="502"/>
      <c r="S5" s="493" t="e">
        <f>INDEX(PT_DIFFERENTIATION_NUM_IST_TE,MATCH(D5,PT_DIFFERENTIATION_IST_TE_ID,0))</f>
        <v>#VALUE!</v>
      </c>
      <c r="T5" s="506" t="s">
        <v>406</v>
      </c>
      <c r="U5" s="495"/>
      <c r="V5" s="496"/>
      <c r="W5" s="497"/>
      <c r="X5" s="497"/>
      <c r="Y5" s="497"/>
      <c r="Z5" s="497"/>
      <c r="AA5" s="497"/>
      <c r="AB5" s="497"/>
      <c r="AC5" s="498"/>
      <c r="AD5" s="496" t="e">
        <f>INDEX(PT_DIFFERENTIATION_IST_TE,MATCH(D5,PT_DIFFERENTIATION_IST_TE_ID,0))</f>
        <v>#VALUE!</v>
      </c>
      <c r="AE5" s="497"/>
      <c r="AF5" s="497"/>
      <c r="AG5" s="497"/>
      <c r="AH5" s="497"/>
      <c r="AI5" s="497"/>
      <c r="AJ5" s="497"/>
      <c r="AK5" s="497"/>
      <c r="AL5" s="498"/>
      <c r="AM5" s="499" t="s">
        <v>407</v>
      </c>
      <c r="AO5" s="129"/>
      <c r="AP5" s="129" t="str">
        <f t="shared" si="8"/>
        <v xml:space="preserve">Источник тепловой энергии  </v>
      </c>
      <c r="AQ5" s="129"/>
      <c r="AR5" s="129"/>
      <c r="AS5" s="50">
        <v>0</v>
      </c>
    </row>
    <row r="6" ht="47.25" hidden="1" customHeight="1">
      <c r="A6" s="264"/>
      <c r="B6" s="264"/>
      <c r="C6" s="264"/>
      <c r="D6" s="264"/>
      <c r="E6" s="585"/>
      <c r="F6" s="585"/>
      <c r="G6" s="585"/>
      <c r="H6" s="585"/>
      <c r="I6" s="157" t="e">
        <f>S5&amp;".1"</f>
        <v>#VALUE!</v>
      </c>
      <c r="J6" s="264"/>
      <c r="K6" s="264"/>
      <c r="L6" s="333" t="s">
        <v>408</v>
      </c>
      <c r="M6" s="50"/>
      <c r="P6" s="132">
        <v>1</v>
      </c>
      <c r="Q6" s="132"/>
      <c r="R6" s="508"/>
      <c r="S6" s="493" t="e">
        <f>$I6</f>
        <v>#VALUE!</v>
      </c>
      <c r="T6" s="509" t="s">
        <v>409</v>
      </c>
      <c r="U6" s="495"/>
      <c r="V6" s="440"/>
      <c r="W6" s="510"/>
      <c r="X6" s="510"/>
      <c r="Y6" s="510"/>
      <c r="Z6" s="510"/>
      <c r="AA6" s="510"/>
      <c r="AB6" s="510"/>
      <c r="AC6" s="511"/>
      <c r="AD6" s="440"/>
      <c r="AE6" s="510"/>
      <c r="AF6" s="510"/>
      <c r="AG6" s="510"/>
      <c r="AH6" s="510"/>
      <c r="AI6" s="510"/>
      <c r="AJ6" s="510"/>
      <c r="AK6" s="510"/>
      <c r="AL6" s="511"/>
      <c r="AM6" s="499" t="s">
        <v>410</v>
      </c>
      <c r="AO6" s="129"/>
      <c r="AP6" s="129" t="str">
        <f t="shared" si="8"/>
        <v xml:space="preserve">Схема подключения теплопотребляющей установки к коллектору источника тепловой энергии</v>
      </c>
      <c r="AQ6" s="129"/>
      <c r="AR6" s="129"/>
      <c r="AS6" s="50">
        <v>0</v>
      </c>
    </row>
    <row r="7" ht="21" hidden="1" customHeight="1">
      <c r="A7" s="264"/>
      <c r="B7" s="264"/>
      <c r="C7" s="264"/>
      <c r="D7" s="264"/>
      <c r="E7" s="585"/>
      <c r="F7" s="585"/>
      <c r="G7" s="585"/>
      <c r="H7" s="585"/>
      <c r="I7" s="73"/>
      <c r="J7" s="157" t="e">
        <f>I6&amp;".1"</f>
        <v>#VALUE!</v>
      </c>
      <c r="K7" s="264"/>
      <c r="L7" s="333" t="s">
        <v>411</v>
      </c>
      <c r="M7" s="50"/>
      <c r="N7" s="50"/>
      <c r="P7" s="132"/>
      <c r="Q7" s="132">
        <v>1</v>
      </c>
      <c r="R7" s="513"/>
      <c r="S7" s="493" t="e">
        <f>$J7</f>
        <v>#VALUE!</v>
      </c>
      <c r="T7" s="514" t="s">
        <v>412</v>
      </c>
      <c r="U7" s="495"/>
      <c r="V7" s="440"/>
      <c r="W7" s="510"/>
      <c r="X7" s="510"/>
      <c r="Y7" s="510"/>
      <c r="Z7" s="510"/>
      <c r="AA7" s="510"/>
      <c r="AB7" s="510"/>
      <c r="AC7" s="511"/>
      <c r="AD7" s="440"/>
      <c r="AE7" s="510"/>
      <c r="AF7" s="510"/>
      <c r="AG7" s="510"/>
      <c r="AH7" s="510"/>
      <c r="AI7" s="510"/>
      <c r="AJ7" s="510"/>
      <c r="AK7" s="510"/>
      <c r="AL7" s="511"/>
      <c r="AM7" s="499" t="s">
        <v>413</v>
      </c>
      <c r="AO7" s="129"/>
      <c r="AP7" s="129" t="str">
        <f t="shared" si="8"/>
        <v xml:space="preserve">Группа потребителей</v>
      </c>
      <c r="AQ7" s="129"/>
      <c r="AR7" s="129"/>
      <c r="AS7" s="50">
        <v>0</v>
      </c>
    </row>
    <row r="8" ht="21" hidden="1" customHeight="1">
      <c r="A8" s="264"/>
      <c r="B8" s="264"/>
      <c r="C8" s="264"/>
      <c r="D8" s="264"/>
      <c r="E8" s="585"/>
      <c r="F8" s="585"/>
      <c r="G8" s="585"/>
      <c r="H8" s="585"/>
      <c r="I8" s="73"/>
      <c r="J8" s="73"/>
      <c r="K8" s="157" t="e">
        <f>J7&amp;".1"</f>
        <v>#VALUE!</v>
      </c>
      <c r="L8" s="333" t="s">
        <v>414</v>
      </c>
      <c r="M8" s="50"/>
      <c r="N8" s="50"/>
      <c r="O8" s="50"/>
      <c r="P8" s="132"/>
      <c r="Q8" s="132"/>
      <c r="R8" s="513">
        <v>1</v>
      </c>
      <c r="S8" s="493" t="e">
        <f>$K8</f>
        <v>#VALUE!</v>
      </c>
      <c r="T8" s="515"/>
      <c r="U8" s="495"/>
      <c r="V8" s="516"/>
      <c r="W8" s="517"/>
      <c r="X8" s="516"/>
      <c r="Y8" s="518"/>
      <c r="Z8" s="519"/>
      <c r="AA8" s="224" t="s">
        <v>67</v>
      </c>
      <c r="AB8" s="519"/>
      <c r="AC8" s="224" t="s">
        <v>67</v>
      </c>
      <c r="AD8" s="516"/>
      <c r="AE8" s="517"/>
      <c r="AF8" s="516"/>
      <c r="AG8" s="518"/>
      <c r="AH8" s="519"/>
      <c r="AI8" s="224" t="s">
        <v>67</v>
      </c>
      <c r="AJ8" s="519"/>
      <c r="AK8" s="224" t="s">
        <v>67</v>
      </c>
      <c r="AL8" s="517"/>
      <c r="AM8" s="520" t="s">
        <v>415</v>
      </c>
      <c r="AN8" s="57" t="e">
        <f>STRCHECKDATE(V9:AL9)</f>
        <v>#NAME?</v>
      </c>
      <c r="AO8" s="129"/>
      <c r="AP8" s="129" t="str">
        <f t="shared" si="8"/>
        <v/>
      </c>
      <c r="AQ8" s="129"/>
      <c r="AR8" s="129"/>
      <c r="AS8" s="50">
        <v>0</v>
      </c>
    </row>
    <row r="9" ht="0.75" hidden="1" customHeight="1">
      <c r="A9" s="264"/>
      <c r="B9" s="264"/>
      <c r="C9" s="264"/>
      <c r="D9" s="264"/>
      <c r="E9" s="585"/>
      <c r="F9" s="585"/>
      <c r="G9" s="585"/>
      <c r="H9" s="585"/>
      <c r="I9" s="73"/>
      <c r="J9" s="73"/>
      <c r="K9" s="157"/>
      <c r="L9" s="333"/>
      <c r="M9" s="50"/>
      <c r="N9" s="50"/>
      <c r="O9" s="50"/>
      <c r="P9" s="132"/>
      <c r="Q9" s="132"/>
      <c r="R9" s="513"/>
      <c r="S9" s="467"/>
      <c r="T9" s="495"/>
      <c r="U9" s="495"/>
      <c r="V9" s="517"/>
      <c r="W9" s="517"/>
      <c r="X9" s="517"/>
      <c r="Y9" s="521" t="str">
        <f>Z8&amp;"-"&amp;AB8</f>
        <v>-</v>
      </c>
      <c r="Z9" s="522"/>
      <c r="AA9" s="224"/>
      <c r="AB9" s="522"/>
      <c r="AC9" s="224"/>
      <c r="AD9" s="517"/>
      <c r="AE9" s="517"/>
      <c r="AF9" s="517"/>
      <c r="AG9" s="521" t="str">
        <f>AH8&amp;"-"&amp;AJ8</f>
        <v>-</v>
      </c>
      <c r="AH9" s="522"/>
      <c r="AI9" s="224"/>
      <c r="AJ9" s="522"/>
      <c r="AK9" s="224"/>
      <c r="AL9" s="517"/>
      <c r="AM9" s="523"/>
      <c r="AO9" s="129"/>
      <c r="AP9" s="129" t="str">
        <f t="shared" si="8"/>
        <v/>
      </c>
      <c r="AQ9" s="129"/>
      <c r="AR9" s="129"/>
      <c r="AS9" s="50">
        <v>0</v>
      </c>
    </row>
    <row r="10" ht="15" hidden="1" customHeight="1">
      <c r="A10" s="264"/>
      <c r="B10" s="264"/>
      <c r="C10" s="264"/>
      <c r="D10" s="264"/>
      <c r="E10" s="585"/>
      <c r="F10" s="585"/>
      <c r="G10" s="585"/>
      <c r="H10" s="585"/>
      <c r="I10" s="73"/>
      <c r="J10" s="157"/>
      <c r="K10" s="264"/>
      <c r="L10" s="333"/>
      <c r="M10" s="50"/>
      <c r="N10" s="50"/>
      <c r="P10" s="132"/>
      <c r="Q10" s="132"/>
      <c r="R10" s="508"/>
      <c r="S10" s="524"/>
      <c r="T10" s="525" t="s">
        <v>416</v>
      </c>
      <c r="U10" s="214"/>
      <c r="V10" s="214"/>
      <c r="W10" s="214"/>
      <c r="X10" s="214"/>
      <c r="Y10" s="214"/>
      <c r="Z10" s="214"/>
      <c r="AA10" s="214"/>
      <c r="AB10" s="214"/>
      <c r="AC10" s="214"/>
      <c r="AD10" s="214"/>
      <c r="AE10" s="214"/>
      <c r="AF10" s="214"/>
      <c r="AG10" s="214"/>
      <c r="AH10" s="214"/>
      <c r="AI10" s="214"/>
      <c r="AJ10" s="214"/>
      <c r="AK10" s="214"/>
      <c r="AL10" s="526"/>
      <c r="AM10" s="527"/>
      <c r="AO10" s="129"/>
      <c r="AP10" s="129" t="str">
        <f t="shared" ref="AP10:AP57" si="9">IF(T10="","",T10)</f>
        <v xml:space="preserve">Добавить вид теплоносителя (параметры теплоносителя)</v>
      </c>
      <c r="AQ10" s="129"/>
      <c r="AR10" s="129"/>
      <c r="AS10" s="50">
        <v>0</v>
      </c>
    </row>
    <row r="11" ht="15" hidden="1" customHeight="1">
      <c r="A11" s="264"/>
      <c r="B11" s="264"/>
      <c r="C11" s="264"/>
      <c r="D11" s="264"/>
      <c r="E11" s="585"/>
      <c r="F11" s="585"/>
      <c r="G11" s="585"/>
      <c r="H11" s="585"/>
      <c r="I11" s="157"/>
      <c r="J11" s="264"/>
      <c r="K11" s="264"/>
      <c r="L11" s="333"/>
      <c r="M11" s="50"/>
      <c r="P11" s="132"/>
      <c r="Q11" s="132"/>
      <c r="R11" s="508"/>
      <c r="S11" s="524"/>
      <c r="T11" s="528" t="s">
        <v>417</v>
      </c>
      <c r="U11" s="214"/>
      <c r="V11" s="214"/>
      <c r="W11" s="214"/>
      <c r="X11" s="214"/>
      <c r="Y11" s="214"/>
      <c r="Z11" s="214"/>
      <c r="AA11" s="214"/>
      <c r="AB11" s="214"/>
      <c r="AC11" s="529"/>
      <c r="AD11" s="214"/>
      <c r="AE11" s="214"/>
      <c r="AF11" s="214"/>
      <c r="AG11" s="214"/>
      <c r="AH11" s="214"/>
      <c r="AI11" s="214"/>
      <c r="AJ11" s="214"/>
      <c r="AK11" s="529"/>
      <c r="AL11" s="214"/>
      <c r="AM11" s="530"/>
      <c r="AO11" s="129"/>
      <c r="AP11" s="129" t="str">
        <f t="shared" si="9"/>
        <v xml:space="preserve">Добавить группу потребителей</v>
      </c>
      <c r="AQ11" s="129"/>
      <c r="AR11" s="129"/>
      <c r="AS11" s="50">
        <v>0</v>
      </c>
    </row>
    <row r="12" ht="14.25" hidden="1" customHeight="1">
      <c r="A12" s="264"/>
      <c r="B12" s="264"/>
      <c r="C12" s="264"/>
      <c r="D12" s="264"/>
      <c r="E12" s="585"/>
      <c r="F12" s="585"/>
      <c r="G12" s="585"/>
      <c r="H12" s="584"/>
      <c r="I12" s="264"/>
      <c r="J12" s="264"/>
      <c r="K12" s="264"/>
      <c r="L12" s="333"/>
      <c r="M12" s="86"/>
      <c r="N12" s="86"/>
      <c r="O12" s="50"/>
      <c r="P12" s="143"/>
      <c r="Q12" s="531"/>
      <c r="R12" s="492"/>
      <c r="S12" s="524"/>
      <c r="T12" s="532" t="s">
        <v>418</v>
      </c>
      <c r="U12" s="214"/>
      <c r="V12" s="214"/>
      <c r="W12" s="214"/>
      <c r="X12" s="214"/>
      <c r="Y12" s="214"/>
      <c r="Z12" s="214"/>
      <c r="AA12" s="214"/>
      <c r="AB12" s="214"/>
      <c r="AC12" s="529"/>
      <c r="AD12" s="214"/>
      <c r="AE12" s="214"/>
      <c r="AF12" s="214"/>
      <c r="AG12" s="214"/>
      <c r="AH12" s="214"/>
      <c r="AI12" s="214"/>
      <c r="AJ12" s="214"/>
      <c r="AK12" s="529"/>
      <c r="AL12" s="214"/>
      <c r="AM12" s="530"/>
      <c r="AO12" s="129"/>
      <c r="AP12" s="129" t="str">
        <f t="shared" si="9"/>
        <v xml:space="preserve">Добавить схему подключения</v>
      </c>
      <c r="AQ12" s="129"/>
      <c r="AR12" s="129"/>
      <c r="AS12" s="50">
        <v>0</v>
      </c>
    </row>
    <row r="13" s="57" customFormat="1" ht="0.75" hidden="1" customHeight="1">
      <c r="A13" s="264"/>
      <c r="B13" s="264"/>
      <c r="C13" s="264"/>
      <c r="D13" s="264"/>
      <c r="E13" s="585"/>
      <c r="F13" s="585"/>
      <c r="G13" s="584"/>
      <c r="H13" s="264"/>
      <c r="I13" s="264"/>
      <c r="J13" s="264"/>
      <c r="K13" s="264"/>
      <c r="L13" s="333"/>
      <c r="M13" s="86"/>
      <c r="N13" s="86"/>
      <c r="O13" s="50"/>
      <c r="P13" s="167"/>
      <c r="Q13" s="533"/>
      <c r="R13" s="167"/>
      <c r="S13" s="534"/>
      <c r="T13" s="535" t="s">
        <v>211</v>
      </c>
      <c r="U13" s="536"/>
      <c r="V13" s="536"/>
      <c r="W13" s="536"/>
      <c r="X13" s="536"/>
      <c r="Y13" s="536"/>
      <c r="Z13" s="536"/>
      <c r="AA13" s="536"/>
      <c r="AB13" s="536"/>
      <c r="AC13" s="536"/>
      <c r="AD13" s="536"/>
      <c r="AE13" s="536"/>
      <c r="AF13" s="536"/>
      <c r="AG13" s="536"/>
      <c r="AH13" s="536"/>
      <c r="AI13" s="536"/>
      <c r="AJ13" s="536"/>
      <c r="AK13" s="536"/>
      <c r="AL13" s="536"/>
      <c r="AM13" s="536"/>
      <c r="AO13" s="129"/>
      <c r="AP13" s="129" t="str">
        <f t="shared" si="9"/>
        <v xml:space="preserve">Добавить источник для дифференциации</v>
      </c>
      <c r="AQ13" s="129"/>
      <c r="AR13" s="129"/>
      <c r="AS13" s="57">
        <v>0</v>
      </c>
    </row>
    <row r="14" s="57" customFormat="1" ht="0.75" hidden="1" customHeight="1">
      <c r="A14" s="264"/>
      <c r="B14" s="264"/>
      <c r="C14" s="264"/>
      <c r="D14" s="264"/>
      <c r="E14" s="585"/>
      <c r="F14" s="584"/>
      <c r="G14" s="264"/>
      <c r="H14" s="264"/>
      <c r="I14" s="264"/>
      <c r="J14" s="264"/>
      <c r="K14" s="264"/>
      <c r="L14" s="333"/>
      <c r="M14" s="591"/>
      <c r="N14" s="591"/>
      <c r="O14" s="50"/>
      <c r="P14" s="167"/>
      <c r="Q14" s="533"/>
      <c r="R14" s="167"/>
      <c r="S14" s="538"/>
      <c r="T14" s="539" t="s">
        <v>212</v>
      </c>
      <c r="U14" s="540"/>
      <c r="V14" s="540"/>
      <c r="W14" s="540"/>
      <c r="X14" s="540"/>
      <c r="Y14" s="540"/>
      <c r="Z14" s="540"/>
      <c r="AA14" s="540"/>
      <c r="AB14" s="540"/>
      <c r="AC14" s="540"/>
      <c r="AD14" s="540"/>
      <c r="AE14" s="540"/>
      <c r="AF14" s="540"/>
      <c r="AG14" s="540"/>
      <c r="AH14" s="540"/>
      <c r="AI14" s="540"/>
      <c r="AJ14" s="540"/>
      <c r="AK14" s="540"/>
      <c r="AL14" s="540"/>
      <c r="AM14" s="540"/>
      <c r="AO14" s="129"/>
      <c r="AP14" s="129" t="str">
        <f t="shared" si="9"/>
        <v xml:space="preserve">Добавить централизованную систему для дифференциации</v>
      </c>
      <c r="AQ14" s="129"/>
      <c r="AR14" s="129"/>
      <c r="AS14" s="57">
        <v>0</v>
      </c>
    </row>
    <row r="15" s="57" customFormat="1" ht="0.75" hidden="1" customHeight="1">
      <c r="A15" s="264"/>
      <c r="B15" s="264"/>
      <c r="C15" s="264"/>
      <c r="D15" s="264"/>
      <c r="E15" s="584"/>
      <c r="F15" s="264"/>
      <c r="G15" s="264"/>
      <c r="H15" s="264"/>
      <c r="I15" s="264"/>
      <c r="J15" s="264"/>
      <c r="K15" s="264"/>
      <c r="L15" s="333"/>
      <c r="M15" s="591"/>
      <c r="N15" s="591"/>
      <c r="O15" s="50"/>
      <c r="P15" s="167"/>
      <c r="Q15" s="533"/>
      <c r="R15" s="167"/>
      <c r="S15" s="538"/>
      <c r="T15" s="541" t="s">
        <v>213</v>
      </c>
      <c r="U15" s="540"/>
      <c r="V15" s="540"/>
      <c r="W15" s="540"/>
      <c r="X15" s="540"/>
      <c r="Y15" s="540"/>
      <c r="Z15" s="540"/>
      <c r="AA15" s="540"/>
      <c r="AB15" s="540"/>
      <c r="AC15" s="540"/>
      <c r="AD15" s="540"/>
      <c r="AE15" s="540"/>
      <c r="AF15" s="540"/>
      <c r="AG15" s="540"/>
      <c r="AH15" s="540"/>
      <c r="AI15" s="540"/>
      <c r="AJ15" s="540"/>
      <c r="AK15" s="540"/>
      <c r="AL15" s="540"/>
      <c r="AM15" s="540"/>
      <c r="AO15" s="129"/>
      <c r="AP15" s="129" t="str">
        <f t="shared" si="9"/>
        <v xml:space="preserve">Добавить территорию для дифференциации</v>
      </c>
      <c r="AQ15" s="129"/>
      <c r="AR15" s="129"/>
      <c r="AS15" s="57">
        <v>0</v>
      </c>
    </row>
    <row r="16" ht="14.25" hidden="1" customHeight="1">
      <c r="AS16" s="50">
        <v>0</v>
      </c>
    </row>
    <row r="17" ht="14.25" hidden="1" customHeight="1">
      <c r="AD17" s="542"/>
      <c r="AE17" s="542"/>
      <c r="AF17" s="542"/>
      <c r="AG17" s="543"/>
      <c r="AH17" s="544"/>
      <c r="AI17" s="545" t="s">
        <v>67</v>
      </c>
      <c r="AJ17" s="544"/>
      <c r="AK17" s="545" t="s">
        <v>67</v>
      </c>
      <c r="AS17" s="50">
        <v>0</v>
      </c>
    </row>
    <row r="18" ht="14.25" hidden="1" customHeight="1">
      <c r="AD18" s="542"/>
      <c r="AE18" s="542"/>
      <c r="AF18" s="542"/>
      <c r="AG18" s="521" t="str">
        <f>AH17&amp;"-"&amp;AJ17</f>
        <v>-</v>
      </c>
      <c r="AH18" s="545"/>
      <c r="AI18" s="545"/>
      <c r="AJ18" s="545"/>
      <c r="AK18" s="545"/>
      <c r="AS18" s="50">
        <v>0</v>
      </c>
    </row>
    <row r="19" ht="14.25" hidden="1" customHeight="1">
      <c r="AS19" s="50">
        <v>0</v>
      </c>
    </row>
    <row r="20" s="53" customFormat="1" ht="14.25" hidden="1" customHeight="1">
      <c r="A20" s="50"/>
      <c r="B20" s="50"/>
      <c r="C20" s="50"/>
      <c r="D20" s="50"/>
      <c r="E20" s="50"/>
      <c r="F20" s="50"/>
      <c r="G20" s="50"/>
      <c r="H20" s="50"/>
      <c r="I20" s="50"/>
      <c r="J20" s="50"/>
      <c r="K20" s="50"/>
      <c r="L20" s="51"/>
      <c r="M20" s="60"/>
      <c r="N20" s="60"/>
      <c r="O20" s="590" t="s">
        <v>419</v>
      </c>
      <c r="P20" s="61"/>
      <c r="Q20" s="547"/>
      <c r="R20" s="547"/>
      <c r="S20" s="491"/>
      <c r="Z20" s="546"/>
      <c r="AB20" s="546"/>
      <c r="AH20" s="546"/>
      <c r="AJ20" s="546"/>
      <c r="AN20" s="57"/>
      <c r="AO20" s="57"/>
      <c r="AP20" s="57"/>
      <c r="AQ20" s="57"/>
      <c r="AR20" s="57"/>
      <c r="AS20" s="53">
        <v>0</v>
      </c>
    </row>
    <row r="21" s="53" customFormat="1" ht="14.25" hidden="1" customHeight="1">
      <c r="A21" s="50"/>
      <c r="B21" s="50"/>
      <c r="C21" s="50"/>
      <c r="D21" s="50"/>
      <c r="E21" s="50"/>
      <c r="F21" s="50"/>
      <c r="G21" s="50"/>
      <c r="H21" s="50"/>
      <c r="I21" s="50"/>
      <c r="J21" s="50"/>
      <c r="K21" s="50"/>
      <c r="L21" s="51"/>
      <c r="M21" s="60"/>
      <c r="N21" s="60"/>
      <c r="O21" s="60"/>
      <c r="P21" s="61"/>
      <c r="Q21" s="547"/>
      <c r="R21" s="547"/>
      <c r="S21" s="491"/>
      <c r="AN21" s="57"/>
      <c r="AO21" s="57"/>
      <c r="AP21" s="57"/>
      <c r="AQ21" s="57"/>
      <c r="AR21" s="57"/>
      <c r="AS21" s="53">
        <v>0</v>
      </c>
    </row>
    <row r="22" s="53" customFormat="1" ht="14.25" hidden="1" customHeight="1">
      <c r="A22" s="50"/>
      <c r="B22" s="50"/>
      <c r="C22" s="50"/>
      <c r="D22" s="50"/>
      <c r="E22" s="50"/>
      <c r="F22" s="50"/>
      <c r="G22" s="50"/>
      <c r="H22" s="50"/>
      <c r="I22" s="50"/>
      <c r="J22" s="50"/>
      <c r="K22" s="50"/>
      <c r="L22" s="51"/>
      <c r="M22" s="60"/>
      <c r="N22" s="60"/>
      <c r="O22" s="333" t="s">
        <v>420</v>
      </c>
      <c r="P22" s="61"/>
      <c r="Q22" s="547"/>
      <c r="R22" s="547"/>
      <c r="S22" s="491"/>
      <c r="T22" s="53" t="s">
        <v>421</v>
      </c>
      <c r="AA22" s="151" t="s">
        <v>422</v>
      </c>
      <c r="AC22" s="151" t="s">
        <v>423</v>
      </c>
      <c r="AD22" s="53" t="s">
        <v>421</v>
      </c>
      <c r="AI22" s="151" t="s">
        <v>424</v>
      </c>
      <c r="AK22" s="151" t="s">
        <v>423</v>
      </c>
      <c r="AN22" s="57"/>
      <c r="AO22" s="57"/>
      <c r="AP22" s="57"/>
      <c r="AQ22" s="57"/>
      <c r="AR22" s="57"/>
      <c r="AS22" s="53">
        <v>0</v>
      </c>
    </row>
    <row r="23" ht="14.25" hidden="1" customHeight="1">
      <c r="O23" s="333"/>
      <c r="AS23" s="50">
        <v>0</v>
      </c>
    </row>
    <row r="24" ht="14.25" hidden="1" customHeight="1">
      <c r="O24" s="333"/>
      <c r="AS24" s="50">
        <v>0</v>
      </c>
    </row>
    <row r="25" ht="14.65" customHeight="1">
      <c r="Q25" s="548"/>
      <c r="R25" s="548"/>
      <c r="S25" s="549"/>
      <c r="T25" s="91"/>
      <c r="U25" s="91"/>
      <c r="V25" s="50"/>
      <c r="W25" s="50"/>
      <c r="X25" s="50"/>
      <c r="Y25" s="50"/>
      <c r="Z25" s="50"/>
      <c r="AA25" s="50"/>
      <c r="AB25" s="50"/>
      <c r="AC25" s="50"/>
      <c r="AD25" s="50"/>
      <c r="AE25" s="50"/>
      <c r="AF25" s="50"/>
      <c r="AG25" s="50"/>
      <c r="AH25" s="50"/>
      <c r="AI25" s="50"/>
      <c r="AJ25" s="50"/>
      <c r="AK25" s="50"/>
      <c r="AS25" s="50">
        <v>14</v>
      </c>
    </row>
    <row r="26" ht="14.65" customHeight="1">
      <c r="Q26" s="548"/>
      <c r="R26" s="548"/>
      <c r="S26" s="461" t="str">
        <f>IF(TEMPLATE_GROUP="P",PT_P_FORM_HEAT_4_NAME_FORM,PT_R_FORM_HEAT_21_NAME_FORM)</f>
        <v xml:space="preserve">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461"/>
      <c r="U26" s="461"/>
      <c r="V26" s="461"/>
      <c r="W26" s="461"/>
      <c r="X26" s="461"/>
      <c r="Y26" s="461"/>
      <c r="Z26" s="461"/>
      <c r="AA26" s="461"/>
      <c r="AB26" s="461"/>
      <c r="AC26" s="461"/>
      <c r="AD26" s="461"/>
      <c r="AE26" s="461"/>
      <c r="AF26" s="461"/>
      <c r="AG26" s="461"/>
      <c r="AH26" s="461"/>
      <c r="AI26" s="461"/>
      <c r="AJ26" s="461"/>
      <c r="AK26" s="240"/>
      <c r="AS26" s="50">
        <v>14</v>
      </c>
    </row>
    <row r="27" ht="14.65" customHeight="1">
      <c r="Q27" s="548"/>
      <c r="R27" s="548"/>
      <c r="S27" s="316" t="str">
        <f>IF(org=0,"Не определено",org)</f>
        <v xml:space="preserve">АО "ДГК"</v>
      </c>
      <c r="T27" s="316"/>
      <c r="U27" s="316"/>
      <c r="V27" s="316"/>
      <c r="W27" s="316"/>
      <c r="X27" s="316"/>
      <c r="Y27" s="316"/>
      <c r="Z27" s="316"/>
      <c r="AA27" s="316"/>
      <c r="AB27" s="316"/>
      <c r="AC27" s="316"/>
      <c r="AD27" s="316"/>
      <c r="AE27" s="316"/>
      <c r="AF27" s="316"/>
      <c r="AG27" s="316"/>
      <c r="AH27" s="316"/>
      <c r="AI27" s="316"/>
      <c r="AJ27" s="316"/>
      <c r="AK27" s="240"/>
      <c r="AS27" s="50">
        <v>14</v>
      </c>
    </row>
    <row r="28" ht="14.25" hidden="1" customHeight="1">
      <c r="Q28" s="548"/>
      <c r="R28" s="548"/>
      <c r="S28" s="549"/>
      <c r="T28" s="91"/>
      <c r="U28" s="91"/>
      <c r="V28" s="550"/>
      <c r="W28" s="550"/>
      <c r="X28" s="550"/>
      <c r="Y28" s="550"/>
      <c r="Z28" s="550"/>
      <c r="AA28" s="550"/>
      <c r="AB28" s="550"/>
      <c r="AC28" s="550"/>
      <c r="AD28" s="550"/>
      <c r="AE28" s="550"/>
      <c r="AF28" s="550"/>
      <c r="AG28" s="550"/>
      <c r="AH28" s="550"/>
      <c r="AI28" s="550"/>
      <c r="AJ28" s="550"/>
      <c r="AK28" s="550"/>
      <c r="AL28" s="50"/>
      <c r="AS28" s="50">
        <v>0</v>
      </c>
    </row>
    <row r="29" s="184" customFormat="1" ht="25.5" hidden="1" customHeight="1">
      <c r="A29" s="106"/>
      <c r="B29" s="106"/>
      <c r="C29" s="106"/>
      <c r="D29" s="106"/>
      <c r="E29" s="106"/>
      <c r="F29" s="106"/>
      <c r="G29" s="106"/>
      <c r="H29" s="106"/>
      <c r="I29" s="106"/>
      <c r="J29" s="106"/>
      <c r="K29" s="106"/>
      <c r="L29" s="333"/>
      <c r="M29" s="106"/>
      <c r="N29" s="106"/>
      <c r="O29" s="106"/>
      <c r="S29" s="551" t="s">
        <v>42</v>
      </c>
      <c r="T29" s="551"/>
      <c r="U29" s="552"/>
      <c r="V29" s="553" t="str">
        <f>IF(TITLE_NAME_OR_PR_CHANGE="",IF(TITLE_NAME_OR_PR="","",TITLE_NAME_OR_PR),TITLE_NAME_OR_PR_CHANGE)</f>
        <v/>
      </c>
      <c r="W29" s="553"/>
      <c r="X29" s="553"/>
      <c r="Y29" s="553"/>
      <c r="Z29" s="553"/>
      <c r="AA29" s="553"/>
      <c r="AB29" s="553"/>
      <c r="AC29" s="50"/>
      <c r="AD29" s="553" t="str">
        <f>IF(TITLE_NAME_OR_PR_CHANGE="",IF(TITLE_NAME_OR_PR="","",TITLE_NAME_OR_PR),TITLE_NAME_OR_PR_CHANGE)</f>
        <v/>
      </c>
      <c r="AE29" s="553"/>
      <c r="AF29" s="553"/>
      <c r="AG29" s="553"/>
      <c r="AH29" s="553"/>
      <c r="AI29" s="553"/>
      <c r="AJ29" s="553"/>
      <c r="AK29" s="50"/>
      <c r="AL29" s="50"/>
      <c r="AM29" s="554"/>
      <c r="AN29" s="129"/>
      <c r="AO29" s="129"/>
      <c r="AP29" s="129"/>
      <c r="AQ29" s="129"/>
      <c r="AR29" s="129"/>
      <c r="AS29" s="184">
        <v>0</v>
      </c>
    </row>
    <row r="30" s="184" customFormat="1" ht="18.75" hidden="1" customHeight="1">
      <c r="A30" s="106"/>
      <c r="B30" s="106"/>
      <c r="C30" s="106"/>
      <c r="D30" s="106"/>
      <c r="E30" s="106"/>
      <c r="F30" s="106"/>
      <c r="G30" s="106"/>
      <c r="H30" s="106"/>
      <c r="I30" s="106"/>
      <c r="J30" s="106"/>
      <c r="K30" s="106"/>
      <c r="L30" s="333"/>
      <c r="M30" s="106"/>
      <c r="N30" s="106"/>
      <c r="O30" s="106"/>
      <c r="S30" s="551" t="s">
        <v>425</v>
      </c>
      <c r="T30" s="551"/>
      <c r="U30" s="552"/>
      <c r="V30" s="555">
        <f>IF(TITLE_DATE_PR_CHANGE="",IF(TITLE_DATE_PR="","",TITLE_DATE_PR),TITLE_DATE_PR_CHANGE)</f>
        <v>46212.428518518522</v>
      </c>
      <c r="W30" s="555"/>
      <c r="X30" s="555"/>
      <c r="Y30" s="555"/>
      <c r="Z30" s="555"/>
      <c r="AA30" s="555"/>
      <c r="AB30" s="555"/>
      <c r="AC30" s="50"/>
      <c r="AD30" s="555">
        <f>IF(TITLE_DATE_PR_CHANGE="",IF(TITLE_DATE_PR="","",TITLE_DATE_PR),TITLE_DATE_PR_CHANGE)</f>
        <v>46212.428518518522</v>
      </c>
      <c r="AE30" s="555"/>
      <c r="AF30" s="555"/>
      <c r="AG30" s="555"/>
      <c r="AH30" s="555"/>
      <c r="AI30" s="555"/>
      <c r="AJ30" s="555"/>
      <c r="AK30" s="50"/>
      <c r="AL30" s="50"/>
      <c r="AM30" s="554"/>
      <c r="AN30" s="129"/>
      <c r="AO30" s="129"/>
      <c r="AP30" s="129"/>
      <c r="AQ30" s="129"/>
      <c r="AR30" s="129"/>
      <c r="AS30" s="184">
        <v>0</v>
      </c>
    </row>
    <row r="31" s="184" customFormat="1" ht="18.75" hidden="1" customHeight="1">
      <c r="A31" s="106"/>
      <c r="B31" s="106"/>
      <c r="C31" s="106"/>
      <c r="D31" s="106"/>
      <c r="E31" s="106"/>
      <c r="F31" s="106"/>
      <c r="G31" s="106"/>
      <c r="H31" s="106"/>
      <c r="I31" s="106"/>
      <c r="J31" s="106"/>
      <c r="K31" s="106"/>
      <c r="L31" s="333"/>
      <c r="M31" s="106"/>
      <c r="N31" s="106"/>
      <c r="O31" s="106"/>
      <c r="S31" s="551" t="s">
        <v>426</v>
      </c>
      <c r="T31" s="551"/>
      <c r="U31" s="552"/>
      <c r="V31" s="553" t="str">
        <f>IF(TITLE_NUMBER_PR_CHANGE="",IF(TITLE_NUMBER_PR="","",TITLE_NUMBER_PR),TITLE_NUMBER_PR_CHANGE)</f>
        <v>Исх-260/1397</v>
      </c>
      <c r="W31" s="553"/>
      <c r="X31" s="553"/>
      <c r="Y31" s="553"/>
      <c r="Z31" s="553"/>
      <c r="AA31" s="553"/>
      <c r="AB31" s="553"/>
      <c r="AC31" s="50"/>
      <c r="AD31" s="553" t="str">
        <f>IF(TITLE_NUMBER_PR_CHANGE="",IF(TITLE_NUMBER_PR="","",TITLE_NUMBER_PR),TITLE_NUMBER_PR_CHANGE)</f>
        <v>Исх-260/1397</v>
      </c>
      <c r="AE31" s="553"/>
      <c r="AF31" s="553"/>
      <c r="AG31" s="553"/>
      <c r="AH31" s="553"/>
      <c r="AI31" s="553"/>
      <c r="AJ31" s="553"/>
      <c r="AK31" s="50"/>
      <c r="AL31" s="50"/>
      <c r="AM31" s="554"/>
      <c r="AN31" s="129"/>
      <c r="AO31" s="129"/>
      <c r="AP31" s="129"/>
      <c r="AQ31" s="129"/>
      <c r="AR31" s="129"/>
      <c r="AS31" s="184">
        <v>0</v>
      </c>
    </row>
    <row r="32" s="184" customFormat="1" ht="18.75" hidden="1" customHeight="1">
      <c r="A32" s="106"/>
      <c r="B32" s="106"/>
      <c r="C32" s="106"/>
      <c r="D32" s="106"/>
      <c r="E32" s="106"/>
      <c r="F32" s="106"/>
      <c r="G32" s="106"/>
      <c r="H32" s="106"/>
      <c r="I32" s="106"/>
      <c r="J32" s="106"/>
      <c r="K32" s="106"/>
      <c r="L32" s="333"/>
      <c r="M32" s="106"/>
      <c r="N32" s="106"/>
      <c r="O32" s="106"/>
      <c r="S32" s="551" t="s">
        <v>43</v>
      </c>
      <c r="T32" s="551"/>
      <c r="U32" s="552"/>
      <c r="V32" s="553" t="str">
        <f>IF(TITLE_IST_PUB_CHANGE="",IF(TITLE_IST_PUB="","",TITLE_IST_PUB),TITLE_IST_PUB_CHANGE)</f>
        <v/>
      </c>
      <c r="W32" s="553"/>
      <c r="X32" s="553"/>
      <c r="Y32" s="553"/>
      <c r="Z32" s="553"/>
      <c r="AA32" s="553"/>
      <c r="AB32" s="553"/>
      <c r="AC32" s="50"/>
      <c r="AD32" s="553" t="str">
        <f>IF(TITLE_IST_PUB_CHANGE="",IF(TITLE_IST_PUB="","",TITLE_IST_PUB),TITLE_IST_PUB_CHANGE)</f>
        <v/>
      </c>
      <c r="AE32" s="553"/>
      <c r="AF32" s="553"/>
      <c r="AG32" s="553"/>
      <c r="AH32" s="553"/>
      <c r="AI32" s="553"/>
      <c r="AJ32" s="553"/>
      <c r="AK32" s="50"/>
      <c r="AL32" s="50"/>
      <c r="AM32" s="554"/>
      <c r="AN32" s="129"/>
      <c r="AO32" s="129"/>
      <c r="AP32" s="129"/>
      <c r="AQ32" s="129"/>
      <c r="AR32" s="129"/>
      <c r="AS32" s="184">
        <v>0</v>
      </c>
    </row>
    <row r="33" ht="14.25" hidden="1" customHeight="1">
      <c r="Q33" s="548"/>
      <c r="R33" s="548"/>
      <c r="S33" s="549"/>
      <c r="T33" s="91"/>
      <c r="U33" s="91"/>
      <c r="V33" s="550"/>
      <c r="W33" s="550"/>
      <c r="X33" s="550"/>
      <c r="Y33" s="550"/>
      <c r="Z33" s="550"/>
      <c r="AA33" s="550"/>
      <c r="AB33" s="550"/>
      <c r="AC33" s="550"/>
      <c r="AD33" s="550"/>
      <c r="AE33" s="550"/>
      <c r="AF33" s="550"/>
      <c r="AG33" s="550"/>
      <c r="AH33" s="550"/>
      <c r="AI33" s="550"/>
      <c r="AJ33" s="550"/>
      <c r="AK33" s="550"/>
      <c r="AL33" s="50"/>
      <c r="AS33" s="50">
        <v>0</v>
      </c>
    </row>
    <row r="34" s="184" customFormat="1" ht="18.75" hidden="1" customHeight="1">
      <c r="A34" s="106"/>
      <c r="B34" s="106"/>
      <c r="C34" s="106"/>
      <c r="D34" s="106"/>
      <c r="E34" s="106"/>
      <c r="F34" s="106"/>
      <c r="G34" s="106"/>
      <c r="H34" s="106"/>
      <c r="I34" s="106"/>
      <c r="J34" s="106"/>
      <c r="K34" s="106"/>
      <c r="L34" s="333"/>
      <c r="M34" s="106"/>
      <c r="N34" s="106"/>
      <c r="O34" s="106"/>
      <c r="S34" s="551" t="s">
        <v>427</v>
      </c>
      <c r="T34" s="551"/>
      <c r="U34" s="552"/>
      <c r="V34" s="555">
        <f>IF(TITLE_DATE_PR_CHANGE="",IF(TITLE_DATE_PR="","",TITLE_DATE_PR),TITLE_DATE_PR_CHANGE)</f>
        <v>46212.428518518522</v>
      </c>
      <c r="W34" s="555"/>
      <c r="X34" s="555"/>
      <c r="Y34" s="555"/>
      <c r="Z34" s="555"/>
      <c r="AA34" s="555"/>
      <c r="AB34" s="555"/>
      <c r="AC34" s="50"/>
      <c r="AD34" s="555">
        <f>IF(TITLE_DATE_PR_CHANGE="",IF(TITLE_DATE_PR="","",TITLE_DATE_PR),TITLE_DATE_PR_CHANGE)</f>
        <v>46212.428518518522</v>
      </c>
      <c r="AE34" s="555"/>
      <c r="AF34" s="555"/>
      <c r="AG34" s="555"/>
      <c r="AH34" s="555"/>
      <c r="AI34" s="555"/>
      <c r="AJ34" s="555"/>
      <c r="AK34" s="50"/>
      <c r="AL34" s="50"/>
      <c r="AM34" s="554"/>
      <c r="AN34" s="129"/>
      <c r="AO34" s="129"/>
      <c r="AP34" s="129"/>
      <c r="AQ34" s="129"/>
      <c r="AR34" s="129"/>
      <c r="AS34" s="184">
        <v>0</v>
      </c>
    </row>
    <row r="35" s="184" customFormat="1" ht="18.75" hidden="1" customHeight="1">
      <c r="A35" s="106"/>
      <c r="B35" s="106"/>
      <c r="C35" s="106"/>
      <c r="D35" s="106"/>
      <c r="E35" s="106"/>
      <c r="F35" s="106"/>
      <c r="G35" s="106"/>
      <c r="H35" s="106"/>
      <c r="I35" s="106"/>
      <c r="J35" s="106"/>
      <c r="K35" s="106"/>
      <c r="L35" s="333"/>
      <c r="M35" s="106"/>
      <c r="N35" s="106"/>
      <c r="O35" s="106"/>
      <c r="S35" s="551" t="s">
        <v>428</v>
      </c>
      <c r="T35" s="551"/>
      <c r="U35" s="552"/>
      <c r="V35" s="553" t="str">
        <f>IF(TITLE_NUMBER_PR_CHANGE="",IF(TITLE_NUMBER_PR="","",TITLE_NUMBER_PR),TITLE_NUMBER_PR_CHANGE)</f>
        <v>Исх-260/1397</v>
      </c>
      <c r="W35" s="553"/>
      <c r="X35" s="553"/>
      <c r="Y35" s="553"/>
      <c r="Z35" s="553"/>
      <c r="AA35" s="553"/>
      <c r="AB35" s="553"/>
      <c r="AC35" s="50"/>
      <c r="AD35" s="553" t="str">
        <f>IF(TITLE_NUMBER_PR_CHANGE="",IF(TITLE_NUMBER_PR="","",TITLE_NUMBER_PR),TITLE_NUMBER_PR_CHANGE)</f>
        <v>Исх-260/1397</v>
      </c>
      <c r="AE35" s="553"/>
      <c r="AF35" s="553"/>
      <c r="AG35" s="553"/>
      <c r="AH35" s="553"/>
      <c r="AI35" s="553"/>
      <c r="AJ35" s="553"/>
      <c r="AK35" s="50"/>
      <c r="AL35" s="50"/>
      <c r="AM35" s="554"/>
      <c r="AN35" s="129"/>
      <c r="AO35" s="129"/>
      <c r="AP35" s="129"/>
      <c r="AQ35" s="129"/>
      <c r="AR35" s="129"/>
      <c r="AS35" s="184">
        <v>0</v>
      </c>
    </row>
    <row r="36" s="184" customFormat="1" ht="0" customHeight="1">
      <c r="A36" s="106"/>
      <c r="B36" s="106"/>
      <c r="C36" s="106"/>
      <c r="D36" s="106"/>
      <c r="E36" s="106"/>
      <c r="F36" s="106"/>
      <c r="G36" s="106"/>
      <c r="H36" s="106"/>
      <c r="I36" s="106"/>
      <c r="J36" s="106"/>
      <c r="K36" s="106"/>
      <c r="L36" s="333"/>
      <c r="M36" s="106"/>
      <c r="N36" s="106"/>
      <c r="O36" s="106"/>
      <c r="S36" s="50"/>
      <c r="T36" s="50"/>
      <c r="U36" s="140"/>
      <c r="V36" s="50"/>
      <c r="W36" s="50"/>
      <c r="X36" s="50"/>
      <c r="Y36" s="50"/>
      <c r="Z36" s="50"/>
      <c r="AA36" s="50"/>
      <c r="AB36" s="50"/>
      <c r="AC36" s="57" t="s">
        <v>429</v>
      </c>
      <c r="AD36" s="50"/>
      <c r="AE36" s="50"/>
      <c r="AF36" s="50"/>
      <c r="AG36" s="50"/>
      <c r="AH36" s="50"/>
      <c r="AI36" s="50"/>
      <c r="AJ36" s="50"/>
      <c r="AK36" s="57" t="s">
        <v>429</v>
      </c>
      <c r="AN36" s="129"/>
      <c r="AO36" s="129"/>
      <c r="AP36" s="129"/>
      <c r="AQ36" s="129"/>
      <c r="AR36" s="129"/>
      <c r="AS36" s="184">
        <v>0</v>
      </c>
    </row>
    <row r="37" ht="14.65" customHeight="1">
      <c r="Q37" s="548"/>
      <c r="R37" s="548"/>
      <c r="S37" s="549"/>
      <c r="T37" s="91"/>
      <c r="U37" s="556"/>
      <c r="V37" s="557"/>
      <c r="W37" s="557"/>
      <c r="X37" s="557"/>
      <c r="Y37" s="557"/>
      <c r="Z37" s="557"/>
      <c r="AA37" s="557"/>
      <c r="AB37" s="557"/>
      <c r="AC37" s="557"/>
      <c r="AD37" s="557"/>
      <c r="AE37" s="557"/>
      <c r="AF37" s="557"/>
      <c r="AG37" s="557"/>
      <c r="AH37" s="557"/>
      <c r="AI37" s="557"/>
      <c r="AJ37" s="557"/>
      <c r="AK37" s="557"/>
      <c r="AS37" s="50">
        <v>14</v>
      </c>
    </row>
    <row r="38" ht="14.65" customHeight="1">
      <c r="Q38" s="548"/>
      <c r="R38" s="548"/>
      <c r="S38" s="157" t="s">
        <v>305</v>
      </c>
      <c r="T38" s="157"/>
      <c r="U38" s="157"/>
      <c r="V38" s="157"/>
      <c r="W38" s="157"/>
      <c r="X38" s="157"/>
      <c r="Y38" s="157"/>
      <c r="Z38" s="157"/>
      <c r="AA38" s="157"/>
      <c r="AB38" s="157"/>
      <c r="AC38" s="157"/>
      <c r="AD38" s="157"/>
      <c r="AE38" s="157"/>
      <c r="AF38" s="157"/>
      <c r="AG38" s="157"/>
      <c r="AH38" s="157"/>
      <c r="AI38" s="157"/>
      <c r="AJ38" s="157"/>
      <c r="AK38" s="157"/>
      <c r="AL38" s="157"/>
      <c r="AM38" s="157" t="s">
        <v>306</v>
      </c>
      <c r="AS38" s="50">
        <v>14</v>
      </c>
    </row>
    <row r="39" ht="14.65" customHeight="1">
      <c r="Q39" s="548"/>
      <c r="R39" s="548"/>
      <c r="S39" s="493" t="s">
        <v>89</v>
      </c>
      <c r="T39" s="358" t="s">
        <v>430</v>
      </c>
      <c r="U39" s="558"/>
      <c r="V39" s="559" t="s">
        <v>431</v>
      </c>
      <c r="W39" s="560"/>
      <c r="X39" s="560"/>
      <c r="Y39" s="560"/>
      <c r="Z39" s="560"/>
      <c r="AA39" s="560"/>
      <c r="AB39" s="561"/>
      <c r="AC39" s="562" t="s">
        <v>432</v>
      </c>
      <c r="AD39" s="559" t="s">
        <v>431</v>
      </c>
      <c r="AE39" s="560"/>
      <c r="AF39" s="560"/>
      <c r="AG39" s="560"/>
      <c r="AH39" s="560"/>
      <c r="AI39" s="560"/>
      <c r="AJ39" s="561"/>
      <c r="AK39" s="562" t="s">
        <v>433</v>
      </c>
      <c r="AL39" s="563" t="s">
        <v>434</v>
      </c>
      <c r="AM39" s="157"/>
      <c r="AS39" s="50">
        <v>14</v>
      </c>
    </row>
    <row r="40" ht="35.649999999999999" customHeight="1">
      <c r="Q40" s="548"/>
      <c r="R40" s="548"/>
      <c r="S40" s="493"/>
      <c r="T40" s="358"/>
      <c r="U40" s="564"/>
      <c r="V40" s="320" t="s">
        <v>435</v>
      </c>
      <c r="W40" s="565" t="s">
        <v>436</v>
      </c>
      <c r="X40" s="73" t="s">
        <v>437</v>
      </c>
      <c r="Y40" s="72"/>
      <c r="Z40" s="73" t="s">
        <v>450</v>
      </c>
      <c r="AA40" s="145"/>
      <c r="AB40" s="72"/>
      <c r="AC40" s="566"/>
      <c r="AD40" s="320" t="s">
        <v>435</v>
      </c>
      <c r="AE40" s="565" t="s">
        <v>436</v>
      </c>
      <c r="AF40" s="73" t="s">
        <v>437</v>
      </c>
      <c r="AG40" s="72"/>
      <c r="AH40" s="73" t="s">
        <v>438</v>
      </c>
      <c r="AI40" s="145"/>
      <c r="AJ40" s="72"/>
      <c r="AK40" s="566"/>
      <c r="AL40" s="567"/>
      <c r="AM40" s="157"/>
      <c r="AS40" s="50">
        <v>34</v>
      </c>
    </row>
    <row r="41" ht="35.649999999999999" customHeight="1">
      <c r="A41" s="106"/>
      <c r="B41" s="106" t="s">
        <v>135</v>
      </c>
      <c r="C41" s="106" t="s">
        <v>136</v>
      </c>
      <c r="D41" s="106" t="s">
        <v>137</v>
      </c>
      <c r="E41" s="333" t="s">
        <v>439</v>
      </c>
      <c r="F41" s="333" t="s">
        <v>440</v>
      </c>
      <c r="G41" s="333" t="s">
        <v>441</v>
      </c>
      <c r="H41" s="333" t="s">
        <v>442</v>
      </c>
      <c r="I41" s="333" t="s">
        <v>443</v>
      </c>
      <c r="J41" s="333" t="s">
        <v>444</v>
      </c>
      <c r="K41" s="333" t="s">
        <v>445</v>
      </c>
      <c r="L41" s="333" t="s">
        <v>420</v>
      </c>
      <c r="Q41" s="548"/>
      <c r="R41" s="548"/>
      <c r="S41" s="493"/>
      <c r="T41" s="358"/>
      <c r="U41" s="568"/>
      <c r="V41" s="162"/>
      <c r="W41" s="569"/>
      <c r="X41" s="246" t="s">
        <v>446</v>
      </c>
      <c r="Y41" s="246" t="s">
        <v>447</v>
      </c>
      <c r="Z41" s="246" t="s">
        <v>448</v>
      </c>
      <c r="AA41" s="424" t="s">
        <v>449</v>
      </c>
      <c r="AB41" s="426"/>
      <c r="AC41" s="570"/>
      <c r="AD41" s="162"/>
      <c r="AE41" s="569"/>
      <c r="AF41" s="246" t="s">
        <v>446</v>
      </c>
      <c r="AG41" s="246" t="s">
        <v>447</v>
      </c>
      <c r="AH41" s="246" t="s">
        <v>448</v>
      </c>
      <c r="AI41" s="424" t="s">
        <v>449</v>
      </c>
      <c r="AJ41" s="426"/>
      <c r="AK41" s="570"/>
      <c r="AL41" s="571"/>
      <c r="AM41" s="157"/>
      <c r="AS41" s="50">
        <v>34</v>
      </c>
    </row>
    <row r="42" s="131" customFormat="1" ht="11.25" hidden="1" customHeight="1">
      <c r="A42" s="106"/>
      <c r="B42" s="106"/>
      <c r="C42" s="106"/>
      <c r="D42" s="106"/>
      <c r="E42" s="106"/>
      <c r="F42" s="106"/>
      <c r="G42" s="106"/>
      <c r="H42" s="106"/>
      <c r="I42" s="106"/>
      <c r="J42" s="106"/>
      <c r="K42" s="106"/>
      <c r="L42" s="333"/>
      <c r="M42" s="60"/>
      <c r="N42" s="60"/>
      <c r="O42" s="60"/>
      <c r="P42" s="572"/>
      <c r="Q42" s="573"/>
      <c r="R42" s="574">
        <v>1</v>
      </c>
      <c r="S42" s="575" t="s">
        <v>109</v>
      </c>
      <c r="T42" s="576" t="s">
        <v>110</v>
      </c>
      <c r="U42" s="577" t="str">
        <f ca="1">OFFSET(U42,0,-1)</f>
        <v>2</v>
      </c>
      <c r="V42" s="578">
        <f ca="1">OFFSET(V42,0,-1)+1</f>
        <v>3</v>
      </c>
      <c r="W42" s="578"/>
      <c r="X42" s="578">
        <f ca="1">OFFSET(X42,0,-1)+1</f>
        <v>1</v>
      </c>
      <c r="Y42" s="578">
        <f ca="1">OFFSET(Y42,0,-1)+1</f>
        <v>2</v>
      </c>
      <c r="Z42" s="578">
        <f ca="1">OFFSET(Z42,0,-1)+1</f>
        <v>3</v>
      </c>
      <c r="AA42" s="578">
        <f ca="1">OFFSET(AA42,0,-1)+1</f>
        <v>4</v>
      </c>
      <c r="AB42" s="578"/>
      <c r="AC42" s="578">
        <f ca="1">OFFSET(AC42,0,-2)+1</f>
        <v>5</v>
      </c>
      <c r="AD42" s="578">
        <f ca="1">OFFSET(AD42,0,-1)+1</f>
        <v>6</v>
      </c>
      <c r="AE42" s="578"/>
      <c r="AF42" s="578">
        <f ca="1">OFFSET(AF42,0,-1)+1</f>
        <v>1</v>
      </c>
      <c r="AG42" s="578">
        <f ca="1">OFFSET(AG42,0,-1)+1</f>
        <v>2</v>
      </c>
      <c r="AH42" s="578">
        <f ca="1">OFFSET(AH42,0,-1)+1</f>
        <v>3</v>
      </c>
      <c r="AI42" s="578">
        <f ca="1">OFFSET(AI42,0,-1)+1</f>
        <v>4</v>
      </c>
      <c r="AJ42" s="578"/>
      <c r="AK42" s="578">
        <f ca="1">OFFSET(AK42,0,-2)+1</f>
        <v>5</v>
      </c>
      <c r="AL42" s="577">
        <f ca="1">OFFSET(AL42,0,-1)</f>
        <v>5</v>
      </c>
      <c r="AM42" s="578">
        <f ca="1">OFFSET(AM42,0,-1)+1</f>
        <v>6</v>
      </c>
      <c r="AN42" s="57"/>
      <c r="AO42" s="57"/>
      <c r="AP42" s="57"/>
      <c r="AQ42" s="57"/>
      <c r="AR42" s="57"/>
      <c r="AS42" s="131">
        <v>0</v>
      </c>
    </row>
    <row r="43" ht="22" customHeight="1">
      <c r="A43" s="264" t="s">
        <v>217</v>
      </c>
      <c r="B43" s="264"/>
      <c r="C43" s="264"/>
      <c r="D43" s="264"/>
      <c r="E43" s="584">
        <v>1</v>
      </c>
      <c r="F43" s="264"/>
      <c r="G43" s="264"/>
      <c r="H43" s="264"/>
      <c r="I43" s="264"/>
      <c r="J43" s="264"/>
      <c r="K43" s="264"/>
      <c r="L43" s="333"/>
      <c r="M43" s="86"/>
      <c r="N43" s="86"/>
      <c r="O43" s="86"/>
      <c r="P43" s="60"/>
      <c r="Q43" s="143"/>
      <c r="R43" s="492"/>
      <c r="S43" s="493">
        <f>INDEX(PT_DIFFERENTIATION_NUM_NTAR,MATCH(A43,PT_DIFFERENTIATION_NTAR_ID,0))</f>
        <v>0</v>
      </c>
      <c r="T43" s="494" t="s">
        <v>123</v>
      </c>
      <c r="U43" s="495"/>
      <c r="V43" s="496"/>
      <c r="W43" s="497"/>
      <c r="X43" s="497"/>
      <c r="Y43" s="497"/>
      <c r="Z43" s="497"/>
      <c r="AA43" s="497"/>
      <c r="AB43" s="497"/>
      <c r="AC43" s="498"/>
      <c r="AD43" s="496" t="str">
        <f>INDEX(PT_DIFFERENTIATION_NTAR,MATCH(A43,PT_DIFFERENTIATION_NTAR_ID,0))</f>
        <v/>
      </c>
      <c r="AE43" s="497"/>
      <c r="AF43" s="497"/>
      <c r="AG43" s="497"/>
      <c r="AH43" s="497"/>
      <c r="AI43" s="497"/>
      <c r="AJ43" s="497"/>
      <c r="AK43" s="497"/>
      <c r="AL43" s="498"/>
      <c r="AM43" s="49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29"/>
      <c r="AP43" s="129" t="str">
        <f t="shared" si="9"/>
        <v xml:space="preserve">Наименование тарифа</v>
      </c>
      <c r="AQ43" s="129"/>
      <c r="AR43" s="129"/>
      <c r="AS43" s="50">
        <v>21</v>
      </c>
    </row>
    <row r="44" ht="22" customHeight="1">
      <c r="A44" s="264" t="s">
        <v>217</v>
      </c>
      <c r="B44" s="264" t="s">
        <v>218</v>
      </c>
      <c r="C44" s="264"/>
      <c r="D44" s="264"/>
      <c r="E44" s="585"/>
      <c r="F44" s="584">
        <v>1</v>
      </c>
      <c r="G44" s="264"/>
      <c r="H44" s="264"/>
      <c r="I44" s="264"/>
      <c r="J44" s="264"/>
      <c r="K44" s="264"/>
      <c r="L44" s="333"/>
      <c r="M44" s="86"/>
      <c r="N44" s="86"/>
      <c r="O44" s="86"/>
      <c r="P44" s="51"/>
      <c r="Q44" s="501"/>
      <c r="R44" s="502"/>
      <c r="S44" s="493" t="str">
        <f>INDEX(PT_DIFFERENTIATION_NUM_TER,MATCH(B44,PT_DIFFERENTIATION_TER_ID,0))</f>
        <v>.</v>
      </c>
      <c r="T44" s="503" t="s">
        <v>402</v>
      </c>
      <c r="U44" s="495"/>
      <c r="V44" s="496"/>
      <c r="W44" s="497"/>
      <c r="X44" s="497"/>
      <c r="Y44" s="497"/>
      <c r="Z44" s="497"/>
      <c r="AA44" s="497"/>
      <c r="AB44" s="497"/>
      <c r="AC44" s="498"/>
      <c r="AD44" s="496" t="str">
        <f>INDEX(PT_DIFFERENTIATION_TER,MATCH(B44,PT_DIFFERENTIATION_TER_ID,0))</f>
        <v/>
      </c>
      <c r="AE44" s="497"/>
      <c r="AF44" s="497"/>
      <c r="AG44" s="497"/>
      <c r="AH44" s="497"/>
      <c r="AI44" s="497"/>
      <c r="AJ44" s="497"/>
      <c r="AK44" s="497"/>
      <c r="AL44" s="498"/>
      <c r="AM44" s="499" t="s">
        <v>403</v>
      </c>
      <c r="AO44" s="129"/>
      <c r="AP44" s="129" t="str">
        <f t="shared" si="9"/>
        <v xml:space="preserve">Территория действия тарифа</v>
      </c>
      <c r="AQ44" s="129"/>
      <c r="AR44" s="129"/>
      <c r="AS44" s="50">
        <v>21</v>
      </c>
    </row>
    <row r="45" ht="24" customHeight="1">
      <c r="A45" s="264" t="s">
        <v>217</v>
      </c>
      <c r="B45" s="264" t="s">
        <v>218</v>
      </c>
      <c r="C45" s="264" t="s">
        <v>219</v>
      </c>
      <c r="D45" s="264"/>
      <c r="E45" s="585"/>
      <c r="F45" s="585"/>
      <c r="G45" s="584">
        <v>1</v>
      </c>
      <c r="H45" s="264"/>
      <c r="I45" s="264"/>
      <c r="J45" s="264"/>
      <c r="K45" s="264"/>
      <c r="L45" s="333"/>
      <c r="M45" s="86"/>
      <c r="N45" s="86"/>
      <c r="O45" s="86"/>
      <c r="P45" s="504"/>
      <c r="Q45" s="501"/>
      <c r="R45" s="502"/>
      <c r="S45" s="493" t="str">
        <f>INDEX(PT_DIFFERENTIATION_NUM_CS,MATCH(C45,PT_DIFFERENTIATION_CS_ID,0))</f>
        <v>..</v>
      </c>
      <c r="T45" s="505" t="s">
        <v>404</v>
      </c>
      <c r="U45" s="495"/>
      <c r="V45" s="496"/>
      <c r="W45" s="497"/>
      <c r="X45" s="497"/>
      <c r="Y45" s="497"/>
      <c r="Z45" s="497"/>
      <c r="AA45" s="497"/>
      <c r="AB45" s="497"/>
      <c r="AC45" s="498"/>
      <c r="AD45" s="496" t="str">
        <f>INDEX(PT_DIFFERENTIATION_CS,MATCH(C45,PT_DIFFERENTIATION_CS_ID,0))</f>
        <v/>
      </c>
      <c r="AE45" s="497"/>
      <c r="AF45" s="497"/>
      <c r="AG45" s="497"/>
      <c r="AH45" s="497"/>
      <c r="AI45" s="497"/>
      <c r="AJ45" s="497"/>
      <c r="AK45" s="497"/>
      <c r="AL45" s="498"/>
      <c r="AM45" s="499" t="s">
        <v>405</v>
      </c>
      <c r="AO45" s="129"/>
      <c r="AP45" s="129" t="str">
        <f t="shared" si="9"/>
        <v xml:space="preserve">Наименование системы теплоснабжения </v>
      </c>
      <c r="AQ45" s="129"/>
      <c r="AR45" s="129"/>
      <c r="AS45" s="50">
        <v>23</v>
      </c>
    </row>
    <row r="46" ht="22" customHeight="1">
      <c r="A46" s="264" t="s">
        <v>217</v>
      </c>
      <c r="B46" s="264" t="s">
        <v>218</v>
      </c>
      <c r="C46" s="264" t="s">
        <v>219</v>
      </c>
      <c r="D46" s="264" t="s">
        <v>220</v>
      </c>
      <c r="E46" s="585"/>
      <c r="F46" s="585"/>
      <c r="G46" s="585"/>
      <c r="H46" s="584">
        <v>1</v>
      </c>
      <c r="I46" s="264"/>
      <c r="J46" s="264"/>
      <c r="K46" s="264"/>
      <c r="L46" s="333"/>
      <c r="M46" s="86"/>
      <c r="N46" s="86"/>
      <c r="O46" s="86"/>
      <c r="P46" s="504"/>
      <c r="Q46" s="501"/>
      <c r="R46" s="502"/>
      <c r="S46" s="493" t="str">
        <f>INDEX(PT_DIFFERENTIATION_NUM_IST_TE,MATCH(D46,PT_DIFFERENTIATION_IST_TE_ID,0))</f>
        <v>...</v>
      </c>
      <c r="T46" s="506" t="s">
        <v>406</v>
      </c>
      <c r="U46" s="495"/>
      <c r="V46" s="496"/>
      <c r="W46" s="497"/>
      <c r="X46" s="497"/>
      <c r="Y46" s="497"/>
      <c r="Z46" s="497"/>
      <c r="AA46" s="497"/>
      <c r="AB46" s="497"/>
      <c r="AC46" s="498"/>
      <c r="AD46" s="496" t="str">
        <f>INDEX(PT_DIFFERENTIATION_IST_TE,MATCH(D46,PT_DIFFERENTIATION_IST_TE_ID,0))</f>
        <v/>
      </c>
      <c r="AE46" s="497"/>
      <c r="AF46" s="497"/>
      <c r="AG46" s="497"/>
      <c r="AH46" s="497"/>
      <c r="AI46" s="497"/>
      <c r="AJ46" s="497"/>
      <c r="AK46" s="497"/>
      <c r="AL46" s="498"/>
      <c r="AM46" s="499" t="s">
        <v>407</v>
      </c>
      <c r="AO46" s="129"/>
      <c r="AP46" s="129" t="str">
        <f t="shared" si="9"/>
        <v xml:space="preserve">Источник тепловой энергии  </v>
      </c>
      <c r="AQ46" s="129"/>
      <c r="AR46" s="129"/>
      <c r="AS46" s="50">
        <v>21</v>
      </c>
    </row>
    <row r="47" ht="49.5" customHeight="1">
      <c r="A47" s="264" t="s">
        <v>217</v>
      </c>
      <c r="B47" s="264" t="s">
        <v>218</v>
      </c>
      <c r="C47" s="264" t="s">
        <v>219</v>
      </c>
      <c r="D47" s="264" t="s">
        <v>220</v>
      </c>
      <c r="E47" s="585"/>
      <c r="F47" s="585"/>
      <c r="G47" s="585"/>
      <c r="H47" s="585"/>
      <c r="I47" s="157" t="str">
        <f>S46&amp;".1"</f>
        <v>....1</v>
      </c>
      <c r="J47" s="264"/>
      <c r="K47" s="264"/>
      <c r="L47" s="333" t="s">
        <v>408</v>
      </c>
      <c r="P47" s="132">
        <v>1</v>
      </c>
      <c r="Q47" s="132"/>
      <c r="R47" s="508"/>
      <c r="S47" s="493" t="str">
        <f>$I47</f>
        <v>....1</v>
      </c>
      <c r="T47" s="509" t="s">
        <v>409</v>
      </c>
      <c r="U47" s="495"/>
      <c r="V47" s="440"/>
      <c r="W47" s="510"/>
      <c r="X47" s="510"/>
      <c r="Y47" s="510"/>
      <c r="Z47" s="510"/>
      <c r="AA47" s="510"/>
      <c r="AB47" s="510"/>
      <c r="AC47" s="511"/>
      <c r="AD47" s="440"/>
      <c r="AE47" s="510"/>
      <c r="AF47" s="510"/>
      <c r="AG47" s="510"/>
      <c r="AH47" s="510"/>
      <c r="AI47" s="510"/>
      <c r="AJ47" s="510"/>
      <c r="AK47" s="510"/>
      <c r="AL47" s="511"/>
      <c r="AM47" s="499" t="s">
        <v>410</v>
      </c>
      <c r="AO47" s="129"/>
      <c r="AP47" s="129" t="str">
        <f t="shared" si="9"/>
        <v xml:space="preserve">Схема подключения теплопотребляющей установки к коллектору источника тепловой энергии</v>
      </c>
      <c r="AQ47" s="129"/>
      <c r="AR47" s="129"/>
      <c r="AS47" s="50">
        <v>47</v>
      </c>
    </row>
    <row r="48" ht="22" customHeight="1">
      <c r="A48" s="264" t="s">
        <v>217</v>
      </c>
      <c r="B48" s="264" t="s">
        <v>218</v>
      </c>
      <c r="C48" s="264" t="s">
        <v>219</v>
      </c>
      <c r="D48" s="264" t="s">
        <v>220</v>
      </c>
      <c r="E48" s="585"/>
      <c r="F48" s="585"/>
      <c r="G48" s="585"/>
      <c r="H48" s="585"/>
      <c r="I48" s="73"/>
      <c r="J48" s="157" t="str">
        <f>I47&amp;".1"</f>
        <v>....1.1</v>
      </c>
      <c r="K48" s="264"/>
      <c r="L48" s="333" t="s">
        <v>411</v>
      </c>
      <c r="P48" s="132"/>
      <c r="Q48" s="132">
        <v>1</v>
      </c>
      <c r="R48" s="513"/>
      <c r="S48" s="493" t="str">
        <f>$J48</f>
        <v>....1.1</v>
      </c>
      <c r="T48" s="514" t="s">
        <v>412</v>
      </c>
      <c r="U48" s="495"/>
      <c r="V48" s="440"/>
      <c r="W48" s="510"/>
      <c r="X48" s="510"/>
      <c r="Y48" s="510"/>
      <c r="Z48" s="510"/>
      <c r="AA48" s="510"/>
      <c r="AB48" s="510"/>
      <c r="AC48" s="511"/>
      <c r="AD48" s="440"/>
      <c r="AE48" s="510"/>
      <c r="AF48" s="510"/>
      <c r="AG48" s="510"/>
      <c r="AH48" s="510"/>
      <c r="AI48" s="510"/>
      <c r="AJ48" s="510"/>
      <c r="AK48" s="510"/>
      <c r="AL48" s="511"/>
      <c r="AM48" s="499" t="s">
        <v>413</v>
      </c>
      <c r="AO48" s="129"/>
      <c r="AP48" s="129" t="str">
        <f t="shared" si="9"/>
        <v xml:space="preserve">Группа потребителей</v>
      </c>
      <c r="AQ48" s="129"/>
      <c r="AR48" s="129"/>
      <c r="AS48" s="50">
        <v>21</v>
      </c>
    </row>
    <row r="49" ht="22" customHeight="1">
      <c r="A49" s="264" t="s">
        <v>217</v>
      </c>
      <c r="B49" s="264" t="s">
        <v>218</v>
      </c>
      <c r="C49" s="264" t="s">
        <v>219</v>
      </c>
      <c r="D49" s="264" t="s">
        <v>220</v>
      </c>
      <c r="E49" s="585"/>
      <c r="F49" s="585"/>
      <c r="G49" s="585"/>
      <c r="H49" s="585"/>
      <c r="I49" s="73"/>
      <c r="J49" s="73"/>
      <c r="K49" s="157" t="str">
        <f>J48&amp;".1"</f>
        <v>....1.1.1</v>
      </c>
      <c r="L49" s="333" t="s">
        <v>414</v>
      </c>
      <c r="P49" s="132"/>
      <c r="Q49" s="132"/>
      <c r="R49" s="513">
        <v>1</v>
      </c>
      <c r="S49" s="493" t="str">
        <f>$K49</f>
        <v>....1.1.1</v>
      </c>
      <c r="T49" s="515"/>
      <c r="U49" s="495"/>
      <c r="V49" s="516"/>
      <c r="W49" s="517"/>
      <c r="X49" s="516"/>
      <c r="Y49" s="518"/>
      <c r="Z49" s="519"/>
      <c r="AA49" s="224" t="s">
        <v>67</v>
      </c>
      <c r="AB49" s="519"/>
      <c r="AC49" s="224" t="s">
        <v>67</v>
      </c>
      <c r="AD49" s="516"/>
      <c r="AE49" s="517"/>
      <c r="AF49" s="516"/>
      <c r="AG49" s="518"/>
      <c r="AH49" s="519"/>
      <c r="AI49" s="224" t="s">
        <v>67</v>
      </c>
      <c r="AJ49" s="579"/>
      <c r="AK49" s="224" t="s">
        <v>67</v>
      </c>
      <c r="AL49" s="580"/>
      <c r="AM49" s="520" t="s">
        <v>415</v>
      </c>
      <c r="AN49" s="57" t="e">
        <f>STRCHECKDATE(V50:AL50)</f>
        <v>#NAME?</v>
      </c>
      <c r="AO49" s="129"/>
      <c r="AP49" s="129" t="str">
        <f t="shared" si="9"/>
        <v/>
      </c>
      <c r="AQ49" s="129"/>
      <c r="AR49" s="129"/>
      <c r="AS49" s="50">
        <v>21</v>
      </c>
    </row>
    <row r="50" ht="1.05" customHeight="1">
      <c r="A50" s="264" t="s">
        <v>217</v>
      </c>
      <c r="B50" s="264" t="s">
        <v>218</v>
      </c>
      <c r="C50" s="264" t="s">
        <v>219</v>
      </c>
      <c r="D50" s="264" t="s">
        <v>220</v>
      </c>
      <c r="E50" s="585"/>
      <c r="F50" s="585"/>
      <c r="G50" s="585"/>
      <c r="H50" s="585"/>
      <c r="I50" s="73"/>
      <c r="J50" s="73"/>
      <c r="K50" s="157"/>
      <c r="L50" s="333"/>
      <c r="P50" s="132"/>
      <c r="Q50" s="132"/>
      <c r="R50" s="513"/>
      <c r="S50" s="467"/>
      <c r="T50" s="495"/>
      <c r="U50" s="495"/>
      <c r="V50" s="517"/>
      <c r="W50" s="517"/>
      <c r="X50" s="517"/>
      <c r="Y50" s="521" t="str">
        <f>Z49&amp;"-"&amp;AB49</f>
        <v>-</v>
      </c>
      <c r="Z50" s="522"/>
      <c r="AA50" s="224"/>
      <c r="AB50" s="522"/>
      <c r="AC50" s="224"/>
      <c r="AD50" s="517"/>
      <c r="AE50" s="517"/>
      <c r="AF50" s="517"/>
      <c r="AG50" s="521" t="str">
        <f>AH49&amp;"-"&amp;AJ49</f>
        <v>-</v>
      </c>
      <c r="AH50" s="522"/>
      <c r="AI50" s="224"/>
      <c r="AJ50" s="581"/>
      <c r="AK50" s="224"/>
      <c r="AL50" s="582"/>
      <c r="AM50" s="523"/>
      <c r="AO50" s="129"/>
      <c r="AP50" s="129" t="str">
        <f t="shared" si="9"/>
        <v/>
      </c>
      <c r="AQ50" s="129"/>
      <c r="AR50" s="129"/>
      <c r="AS50" s="50">
        <v>1</v>
      </c>
    </row>
    <row r="51" ht="11.5" customHeight="1">
      <c r="A51" s="264" t="s">
        <v>217</v>
      </c>
      <c r="B51" s="264" t="s">
        <v>218</v>
      </c>
      <c r="C51" s="264" t="s">
        <v>219</v>
      </c>
      <c r="D51" s="264" t="s">
        <v>220</v>
      </c>
      <c r="E51" s="585"/>
      <c r="F51" s="585"/>
      <c r="G51" s="585"/>
      <c r="H51" s="585"/>
      <c r="I51" s="73"/>
      <c r="J51" s="157"/>
      <c r="K51" s="264"/>
      <c r="L51" s="333"/>
      <c r="P51" s="132"/>
      <c r="Q51" s="132"/>
      <c r="R51" s="508"/>
      <c r="S51" s="524"/>
      <c r="T51" s="525" t="s">
        <v>416</v>
      </c>
      <c r="U51" s="214"/>
      <c r="V51" s="214"/>
      <c r="W51" s="214"/>
      <c r="X51" s="214"/>
      <c r="Y51" s="214"/>
      <c r="Z51" s="214"/>
      <c r="AA51" s="214"/>
      <c r="AB51" s="214"/>
      <c r="AC51" s="214"/>
      <c r="AD51" s="214"/>
      <c r="AE51" s="214"/>
      <c r="AF51" s="214"/>
      <c r="AG51" s="214"/>
      <c r="AH51" s="214"/>
      <c r="AI51" s="214"/>
      <c r="AJ51" s="214"/>
      <c r="AK51" s="214"/>
      <c r="AL51" s="526"/>
      <c r="AM51" s="527"/>
      <c r="AO51" s="129"/>
      <c r="AP51" s="129" t="str">
        <f t="shared" si="9"/>
        <v xml:space="preserve">Добавить вид теплоносителя (параметры теплоносителя)</v>
      </c>
      <c r="AQ51" s="129"/>
      <c r="AR51" s="129"/>
      <c r="AS51" s="50">
        <v>11</v>
      </c>
    </row>
    <row r="52" ht="11.5" customHeight="1">
      <c r="A52" s="264" t="s">
        <v>217</v>
      </c>
      <c r="B52" s="264" t="s">
        <v>218</v>
      </c>
      <c r="C52" s="264" t="s">
        <v>219</v>
      </c>
      <c r="D52" s="264" t="s">
        <v>220</v>
      </c>
      <c r="E52" s="585"/>
      <c r="F52" s="585"/>
      <c r="G52" s="585"/>
      <c r="H52" s="585"/>
      <c r="I52" s="157"/>
      <c r="J52" s="264"/>
      <c r="K52" s="264"/>
      <c r="L52" s="333"/>
      <c r="P52" s="132"/>
      <c r="Q52" s="132"/>
      <c r="R52" s="508"/>
      <c r="S52" s="524"/>
      <c r="T52" s="528" t="s">
        <v>417</v>
      </c>
      <c r="U52" s="214"/>
      <c r="V52" s="214"/>
      <c r="W52" s="214"/>
      <c r="X52" s="214"/>
      <c r="Y52" s="214"/>
      <c r="Z52" s="214"/>
      <c r="AA52" s="214"/>
      <c r="AB52" s="214"/>
      <c r="AC52" s="529"/>
      <c r="AD52" s="214"/>
      <c r="AE52" s="214"/>
      <c r="AF52" s="214"/>
      <c r="AG52" s="214"/>
      <c r="AH52" s="214"/>
      <c r="AI52" s="214"/>
      <c r="AJ52" s="214"/>
      <c r="AK52" s="529"/>
      <c r="AL52" s="214"/>
      <c r="AM52" s="530"/>
      <c r="AO52" s="129"/>
      <c r="AP52" s="129" t="str">
        <f t="shared" si="9"/>
        <v xml:space="preserve">Добавить группу потребителей</v>
      </c>
      <c r="AQ52" s="129"/>
      <c r="AR52" s="129"/>
      <c r="AS52" s="50">
        <v>11</v>
      </c>
    </row>
    <row r="53" ht="14.65" customHeight="1">
      <c r="A53" s="264" t="s">
        <v>217</v>
      </c>
      <c r="B53" s="264" t="s">
        <v>218</v>
      </c>
      <c r="C53" s="264" t="s">
        <v>219</v>
      </c>
      <c r="D53" s="264" t="s">
        <v>220</v>
      </c>
      <c r="E53" s="585"/>
      <c r="F53" s="585"/>
      <c r="G53" s="585"/>
      <c r="H53" s="584"/>
      <c r="I53" s="264"/>
      <c r="J53" s="264"/>
      <c r="K53" s="264"/>
      <c r="L53" s="333"/>
      <c r="M53" s="86"/>
      <c r="N53" s="86"/>
      <c r="O53" s="50"/>
      <c r="P53" s="143"/>
      <c r="Q53" s="531"/>
      <c r="R53" s="492"/>
      <c r="S53" s="524"/>
      <c r="T53" s="532" t="s">
        <v>418</v>
      </c>
      <c r="U53" s="214"/>
      <c r="V53" s="214"/>
      <c r="W53" s="214"/>
      <c r="X53" s="214"/>
      <c r="Y53" s="214"/>
      <c r="Z53" s="214"/>
      <c r="AA53" s="214"/>
      <c r="AB53" s="214"/>
      <c r="AC53" s="529"/>
      <c r="AD53" s="214"/>
      <c r="AE53" s="214"/>
      <c r="AF53" s="214"/>
      <c r="AG53" s="214"/>
      <c r="AH53" s="214"/>
      <c r="AI53" s="214"/>
      <c r="AJ53" s="214"/>
      <c r="AK53" s="529"/>
      <c r="AL53" s="214"/>
      <c r="AM53" s="530"/>
      <c r="AO53" s="129"/>
      <c r="AP53" s="129" t="str">
        <f t="shared" si="9"/>
        <v xml:space="preserve">Добавить схему подключения</v>
      </c>
      <c r="AQ53" s="129"/>
      <c r="AR53" s="129"/>
      <c r="AS53" s="50">
        <v>14</v>
      </c>
    </row>
    <row r="54" s="57" customFormat="1" ht="1.05" customHeight="1">
      <c r="A54" s="264" t="s">
        <v>217</v>
      </c>
      <c r="B54" s="264" t="s">
        <v>218</v>
      </c>
      <c r="C54" s="264" t="s">
        <v>219</v>
      </c>
      <c r="D54" s="264"/>
      <c r="E54" s="585"/>
      <c r="F54" s="585"/>
      <c r="G54" s="584"/>
      <c r="H54" s="264"/>
      <c r="I54" s="264"/>
      <c r="J54" s="264"/>
      <c r="K54" s="264"/>
      <c r="L54" s="333"/>
      <c r="M54" s="86"/>
      <c r="N54" s="86"/>
      <c r="O54" s="50"/>
      <c r="P54" s="167"/>
      <c r="Q54" s="533"/>
      <c r="R54" s="167"/>
      <c r="S54" s="538"/>
      <c r="T54" s="541" t="s">
        <v>211</v>
      </c>
      <c r="U54" s="540"/>
      <c r="V54" s="540"/>
      <c r="W54" s="540"/>
      <c r="X54" s="540"/>
      <c r="Y54" s="540"/>
      <c r="Z54" s="540"/>
      <c r="AA54" s="540"/>
      <c r="AB54" s="540"/>
      <c r="AC54" s="540"/>
      <c r="AD54" s="540"/>
      <c r="AE54" s="540"/>
      <c r="AF54" s="540"/>
      <c r="AG54" s="540"/>
      <c r="AH54" s="540"/>
      <c r="AI54" s="540"/>
      <c r="AJ54" s="540"/>
      <c r="AK54" s="540"/>
      <c r="AL54" s="540"/>
      <c r="AM54" s="540"/>
      <c r="AO54" s="129"/>
      <c r="AP54" s="129" t="str">
        <f t="shared" si="9"/>
        <v xml:space="preserve">Добавить источник для дифференциации</v>
      </c>
      <c r="AQ54" s="129"/>
      <c r="AR54" s="129"/>
      <c r="AS54" s="57">
        <v>1</v>
      </c>
    </row>
    <row r="55" s="57" customFormat="1" ht="1.05" customHeight="1">
      <c r="A55" s="264" t="s">
        <v>217</v>
      </c>
      <c r="B55" s="264" t="s">
        <v>218</v>
      </c>
      <c r="C55" s="264"/>
      <c r="D55" s="264"/>
      <c r="E55" s="585"/>
      <c r="F55" s="584"/>
      <c r="G55" s="264"/>
      <c r="H55" s="264"/>
      <c r="I55" s="264"/>
      <c r="J55" s="264"/>
      <c r="K55" s="264"/>
      <c r="L55" s="333"/>
      <c r="M55" s="591"/>
      <c r="N55" s="591"/>
      <c r="O55" s="50"/>
      <c r="P55" s="167"/>
      <c r="Q55" s="533"/>
      <c r="R55" s="167"/>
      <c r="S55" s="538"/>
      <c r="T55" s="541" t="s">
        <v>212</v>
      </c>
      <c r="U55" s="540"/>
      <c r="V55" s="540"/>
      <c r="W55" s="540"/>
      <c r="X55" s="540"/>
      <c r="Y55" s="540"/>
      <c r="Z55" s="540"/>
      <c r="AA55" s="540"/>
      <c r="AB55" s="540"/>
      <c r="AC55" s="540"/>
      <c r="AD55" s="540"/>
      <c r="AE55" s="540"/>
      <c r="AF55" s="540"/>
      <c r="AG55" s="540"/>
      <c r="AH55" s="540"/>
      <c r="AI55" s="540"/>
      <c r="AJ55" s="540"/>
      <c r="AK55" s="540"/>
      <c r="AL55" s="540"/>
      <c r="AM55" s="540"/>
      <c r="AO55" s="129"/>
      <c r="AP55" s="129" t="str">
        <f t="shared" si="9"/>
        <v xml:space="preserve">Добавить централизованную систему для дифференциации</v>
      </c>
      <c r="AQ55" s="129"/>
      <c r="AR55" s="129"/>
      <c r="AS55" s="57">
        <v>1</v>
      </c>
    </row>
    <row r="56" s="57" customFormat="1" ht="1.05" customHeight="1">
      <c r="A56" s="264" t="s">
        <v>217</v>
      </c>
      <c r="B56" s="264"/>
      <c r="C56" s="264"/>
      <c r="D56" s="264"/>
      <c r="E56" s="584"/>
      <c r="F56" s="264"/>
      <c r="G56" s="264"/>
      <c r="H56" s="264"/>
      <c r="I56" s="264"/>
      <c r="J56" s="264"/>
      <c r="K56" s="264"/>
      <c r="L56" s="333"/>
      <c r="M56" s="591"/>
      <c r="N56" s="591"/>
      <c r="O56" s="50"/>
      <c r="P56" s="167"/>
      <c r="Q56" s="533"/>
      <c r="R56" s="167"/>
      <c r="S56" s="538"/>
      <c r="T56" s="541" t="s">
        <v>213</v>
      </c>
      <c r="U56" s="540"/>
      <c r="V56" s="540"/>
      <c r="W56" s="540"/>
      <c r="X56" s="540"/>
      <c r="Y56" s="540"/>
      <c r="Z56" s="540"/>
      <c r="AA56" s="540"/>
      <c r="AB56" s="540"/>
      <c r="AC56" s="540"/>
      <c r="AD56" s="540"/>
      <c r="AE56" s="540"/>
      <c r="AF56" s="540"/>
      <c r="AG56" s="540"/>
      <c r="AH56" s="540"/>
      <c r="AI56" s="540"/>
      <c r="AJ56" s="540"/>
      <c r="AK56" s="540"/>
      <c r="AL56" s="540"/>
      <c r="AM56" s="540"/>
      <c r="AO56" s="129"/>
      <c r="AP56" s="129" t="str">
        <f t="shared" si="9"/>
        <v xml:space="preserve">Добавить территорию для дифференциации</v>
      </c>
      <c r="AQ56" s="129"/>
      <c r="AR56" s="129"/>
      <c r="AS56" s="57">
        <v>1</v>
      </c>
    </row>
    <row r="57" s="57" customFormat="1" ht="1.05" customHeight="1">
      <c r="A57" s="264"/>
      <c r="B57" s="264"/>
      <c r="C57" s="264"/>
      <c r="D57" s="264"/>
      <c r="E57" s="264"/>
      <c r="F57" s="264"/>
      <c r="G57" s="264"/>
      <c r="H57" s="264"/>
      <c r="I57" s="264"/>
      <c r="J57" s="264"/>
      <c r="K57" s="264"/>
      <c r="L57" s="333"/>
      <c r="M57" s="591"/>
      <c r="N57" s="591"/>
      <c r="O57" s="50"/>
      <c r="P57" s="167"/>
      <c r="Q57" s="533"/>
      <c r="R57" s="167"/>
      <c r="S57" s="538"/>
      <c r="T57" s="541" t="s">
        <v>214</v>
      </c>
      <c r="U57" s="540"/>
      <c r="V57" s="540"/>
      <c r="W57" s="540"/>
      <c r="X57" s="540"/>
      <c r="Y57" s="540"/>
      <c r="Z57" s="540"/>
      <c r="AA57" s="540"/>
      <c r="AB57" s="540"/>
      <c r="AC57" s="540"/>
      <c r="AD57" s="540"/>
      <c r="AE57" s="540"/>
      <c r="AF57" s="540"/>
      <c r="AG57" s="540"/>
      <c r="AH57" s="540"/>
      <c r="AI57" s="540"/>
      <c r="AJ57" s="540"/>
      <c r="AK57" s="540"/>
      <c r="AL57" s="540"/>
      <c r="AM57" s="540"/>
      <c r="AO57" s="129"/>
      <c r="AP57" s="129" t="str">
        <f t="shared" si="9"/>
        <v xml:space="preserve">Добавить наименование тарифа</v>
      </c>
      <c r="AQ57" s="129"/>
      <c r="AR57" s="129"/>
      <c r="AS57" s="57">
        <v>1</v>
      </c>
    </row>
    <row r="58" ht="11.5" customHeight="1">
      <c r="M58" s="50"/>
      <c r="N58" s="50"/>
      <c r="O58" s="50"/>
      <c r="P58" s="50"/>
      <c r="Q58" s="50"/>
      <c r="R58" s="50"/>
      <c r="S58" s="50"/>
      <c r="AN58" s="50"/>
      <c r="AO58" s="50"/>
      <c r="AP58" s="50"/>
      <c r="AQ58" s="50"/>
      <c r="AR58" s="50"/>
      <c r="AS58" s="50">
        <v>11</v>
      </c>
    </row>
    <row r="59" ht="28.5" customHeight="1">
      <c r="O59" s="50"/>
      <c r="S59" s="485"/>
      <c r="T59" s="583"/>
      <c r="U59" s="583"/>
      <c r="V59" s="583"/>
      <c r="W59" s="583"/>
      <c r="X59" s="583"/>
      <c r="Y59" s="583"/>
      <c r="Z59" s="583"/>
      <c r="AA59" s="583"/>
      <c r="AB59" s="583"/>
      <c r="AC59" s="583"/>
      <c r="AD59" s="583"/>
      <c r="AE59" s="583"/>
      <c r="AF59" s="583"/>
      <c r="AG59" s="583"/>
      <c r="AH59" s="583"/>
      <c r="AI59" s="583"/>
      <c r="AJ59" s="583"/>
      <c r="AK59" s="583"/>
      <c r="AL59" s="583"/>
      <c r="AM59" s="583"/>
      <c r="AS59" s="50">
        <v>27</v>
      </c>
    </row>
    <row r="60" ht="65.25" customHeight="1">
      <c r="O60" s="50"/>
      <c r="T60" s="583"/>
      <c r="U60" s="583"/>
      <c r="V60" s="583"/>
      <c r="W60" s="583"/>
      <c r="X60" s="583"/>
      <c r="Y60" s="583"/>
      <c r="Z60" s="583"/>
      <c r="AA60" s="583"/>
      <c r="AB60" s="583"/>
      <c r="AC60" s="583"/>
      <c r="AD60" s="583"/>
      <c r="AE60" s="583"/>
      <c r="AF60" s="583"/>
      <c r="AG60" s="583"/>
      <c r="AH60" s="583"/>
      <c r="AI60" s="583"/>
      <c r="AJ60" s="583"/>
      <c r="AK60" s="583"/>
      <c r="AL60" s="583"/>
      <c r="AM60" s="583"/>
      <c r="AS60" s="50">
        <v>62</v>
      </c>
    </row>
    <row r="61" ht="14.65" customHeight="1">
      <c r="O61" s="50"/>
      <c r="AS61" s="50">
        <v>14</v>
      </c>
    </row>
    <row r="62" ht="18.75" customHeight="1">
      <c r="O62" s="50"/>
      <c r="S62" s="485"/>
      <c r="T62" s="583"/>
      <c r="U62" s="583"/>
      <c r="V62" s="583"/>
      <c r="W62" s="583"/>
      <c r="X62" s="583"/>
      <c r="Y62" s="583"/>
      <c r="Z62" s="583"/>
      <c r="AA62" s="583"/>
      <c r="AB62" s="583"/>
      <c r="AC62" s="583"/>
      <c r="AD62" s="583"/>
      <c r="AE62" s="583"/>
      <c r="AF62" s="583"/>
      <c r="AG62" s="583"/>
      <c r="AH62" s="583"/>
      <c r="AI62" s="583"/>
      <c r="AJ62" s="583"/>
      <c r="AK62" s="583"/>
      <c r="AL62" s="583"/>
      <c r="AM62" s="583"/>
      <c r="AS62" s="50">
        <v>18</v>
      </c>
    </row>
    <row r="63" ht="18.75" customHeight="1">
      <c r="O63" s="50"/>
      <c r="T63" s="583"/>
      <c r="U63" s="583"/>
      <c r="V63" s="583"/>
      <c r="W63" s="583"/>
      <c r="X63" s="583"/>
      <c r="Y63" s="583"/>
      <c r="Z63" s="583"/>
      <c r="AA63" s="583"/>
      <c r="AB63" s="583"/>
      <c r="AC63" s="583"/>
      <c r="AD63" s="583"/>
      <c r="AE63" s="583"/>
      <c r="AF63" s="583"/>
      <c r="AG63" s="583"/>
      <c r="AH63" s="583"/>
      <c r="AI63" s="583"/>
      <c r="AJ63" s="583"/>
      <c r="AK63" s="583"/>
      <c r="AL63" s="583"/>
      <c r="AM63" s="583"/>
      <c r="AS63" s="50">
        <v>18</v>
      </c>
    </row>
    <row r="64" ht="29.25" customHeight="1">
      <c r="O64" s="50"/>
      <c r="S64" s="485"/>
      <c r="T64" s="583"/>
      <c r="U64" s="583"/>
      <c r="V64" s="583"/>
      <c r="W64" s="583"/>
      <c r="X64" s="583"/>
      <c r="Y64" s="583"/>
      <c r="Z64" s="583"/>
      <c r="AA64" s="583"/>
      <c r="AB64" s="583"/>
      <c r="AC64" s="583"/>
      <c r="AD64" s="583"/>
      <c r="AE64" s="583"/>
      <c r="AF64" s="583"/>
      <c r="AG64" s="583"/>
      <c r="AH64" s="583"/>
      <c r="AI64" s="583"/>
      <c r="AJ64" s="583"/>
      <c r="AK64" s="583"/>
      <c r="AL64" s="583"/>
      <c r="AM64" s="583"/>
      <c r="AS64" s="50">
        <v>28</v>
      </c>
    </row>
    <row r="65" ht="22.5" hidden="1" customHeight="1">
      <c r="A65" s="50" t="s">
        <v>83</v>
      </c>
      <c r="B65" s="50">
        <v>0</v>
      </c>
      <c r="C65" s="50">
        <v>0</v>
      </c>
      <c r="D65" s="50">
        <v>0</v>
      </c>
      <c r="E65" s="50">
        <v>0</v>
      </c>
      <c r="F65" s="50">
        <v>0</v>
      </c>
      <c r="G65" s="50">
        <v>0</v>
      </c>
      <c r="H65" s="50">
        <v>0</v>
      </c>
      <c r="I65" s="50">
        <v>0</v>
      </c>
      <c r="J65" s="50">
        <v>0</v>
      </c>
      <c r="K65" s="50">
        <v>0</v>
      </c>
      <c r="L65" s="51">
        <v>0</v>
      </c>
      <c r="M65" s="60">
        <v>0</v>
      </c>
      <c r="N65" s="60">
        <v>0</v>
      </c>
      <c r="O65" s="60">
        <v>0</v>
      </c>
      <c r="P65" s="60">
        <v>3</v>
      </c>
      <c r="Q65" s="487">
        <v>3</v>
      </c>
      <c r="R65" s="487">
        <v>3</v>
      </c>
      <c r="S65" s="86">
        <v>12</v>
      </c>
      <c r="T65" s="50">
        <v>31</v>
      </c>
      <c r="U65" s="50">
        <v>0</v>
      </c>
      <c r="V65" s="50">
        <v>0</v>
      </c>
      <c r="W65" s="50">
        <v>0</v>
      </c>
      <c r="X65" s="50">
        <v>0</v>
      </c>
      <c r="Y65" s="50">
        <v>0</v>
      </c>
      <c r="Z65" s="50">
        <v>0</v>
      </c>
      <c r="AA65" s="50">
        <v>0</v>
      </c>
      <c r="AB65" s="50">
        <v>0</v>
      </c>
      <c r="AC65" s="50">
        <v>0</v>
      </c>
      <c r="AD65" s="50">
        <v>24</v>
      </c>
      <c r="AE65" s="50">
        <v>0</v>
      </c>
      <c r="AF65" s="50">
        <v>24</v>
      </c>
      <c r="AG65" s="50">
        <v>24</v>
      </c>
      <c r="AH65" s="50">
        <v>11</v>
      </c>
      <c r="AI65" s="50">
        <v>3</v>
      </c>
      <c r="AJ65" s="50">
        <v>11</v>
      </c>
      <c r="AK65" s="50">
        <v>0</v>
      </c>
      <c r="AL65" s="50">
        <v>4</v>
      </c>
      <c r="AM65" s="50">
        <v>115</v>
      </c>
      <c r="AN65" s="57">
        <v>10</v>
      </c>
      <c r="AO65" s="57">
        <v>10</v>
      </c>
      <c r="AP65" s="57">
        <v>10</v>
      </c>
      <c r="AQ65" s="57">
        <v>10</v>
      </c>
      <c r="AR65" s="57">
        <v>10</v>
      </c>
      <c r="AS65" s="50">
        <v>23</v>
      </c>
    </row>
  </sheetData>
  <sheetProtection autoFilter="0" deleteColumns="1" deleteRows="1" formatCells="1" formatColumns="1" formatRows="1" insertColumns="1" insertHyperlinks="1" insertRows="1" objects="0" pivotTables="1" scenarios="0" selectLockedCells="0" selectUnlockedCells="0" sheet="1" sort="1"/>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K8:K9"/>
    <mergeCell ref="Z8:Z9"/>
    <mergeCell ref="AA8:AA9"/>
    <mergeCell ref="AB8:AB9"/>
    <mergeCell ref="AC8:AC9"/>
    <mergeCell ref="AH8:AH9"/>
    <mergeCell ref="AI8:AI9"/>
    <mergeCell ref="AJ8:AJ9"/>
    <mergeCell ref="AK8:AK9"/>
    <mergeCell ref="AM8:AM10"/>
    <mergeCell ref="AH17:AH18"/>
    <mergeCell ref="AI17:AI18"/>
    <mergeCell ref="AJ17:AJ18"/>
    <mergeCell ref="AK17:AK18"/>
    <mergeCell ref="S26:AJ26"/>
    <mergeCell ref="S27:AJ27"/>
    <mergeCell ref="S29:T29"/>
    <mergeCell ref="V29:AB29"/>
    <mergeCell ref="AD29:AJ29"/>
    <mergeCell ref="S30:T30"/>
    <mergeCell ref="V30:AB30"/>
    <mergeCell ref="AD30:AJ30"/>
    <mergeCell ref="S31:T31"/>
    <mergeCell ref="V31:AB31"/>
    <mergeCell ref="AD31:AJ31"/>
    <mergeCell ref="S32:T32"/>
    <mergeCell ref="V32:AB32"/>
    <mergeCell ref="AD32:AJ32"/>
    <mergeCell ref="S34:T34"/>
    <mergeCell ref="V34:AB34"/>
    <mergeCell ref="AD34:AJ34"/>
    <mergeCell ref="S35:T35"/>
    <mergeCell ref="V35:AB35"/>
    <mergeCell ref="AD35:AJ35"/>
    <mergeCell ref="V37:AC37"/>
    <mergeCell ref="AD37:AK37"/>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AH40:AJ40"/>
    <mergeCell ref="AA41:AB41"/>
    <mergeCell ref="AI41:AJ41"/>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AM49:AM51"/>
    <mergeCell ref="T59:AM59"/>
    <mergeCell ref="T60:AM60"/>
    <mergeCell ref="T62:AM62"/>
    <mergeCell ref="T63:AM63"/>
    <mergeCell ref="T64:AM64"/>
  </mergeCells>
  <dataValidations count="4" disablePrompts="0">
    <dataValidation sqref="S131123:AM131129 S196659:AM196665 S262195:AM262201 S327731:AM327737 S393267:AM393273 S458803:AM458809 S524339:AM524345 S589875:AM589881 S655411:AM655417 S720947:AM720953 S786483:AM786489 S852019:AM852025 S917555:AM917561 S983091:AM983097 S65587:AM65593" type="none" allowBlank="1" errorStyle="stop" imeMode="noControl" operator="between" showDropDown="0" showErrorMessage="0" showInputMessage="0"/>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type="none" allowBlank="1" errorStyle="stop" imeMode="noControl" operator="between" promptTitle="checkPeriodRange"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250074-00E0-4F5F-9672-00CE001400AC}"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 xr:uid="{00960055-00FF-483A-A544-006700FB0054}" type="list" allowBlank="1" error="Выберите значение из списка" errorStyle="stop" errorTitle="Ошибка" imeMode="noControl" operator="between" showDropDown="0"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 xr:uid="{00C900F1-00D3-46F4-96CB-00C300CF00EB}" type="textLength" allowBlank="1" error="Допускается ввод не более 900 символов!" errorStyle="stop" errorTitle="Ошибка" imeMode="noControl" operator="lessThanOrEqual" showDropDown="0"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 xr:uid="{007C003B-00CD-4ED0-8FAD-004F00CC0050}" type="list" allowBlank="1" error="Выберите значение из списка" errorStyle="stop" errorTitle="Ошибка" imeMode="noControl" operator="between" showDropDown="0" showErrorMessage="1" showInputMessage="1">
          <x14:formula1>
            <xm:f>kind_of_heat_transfer</xm:f>
          </x14:formula1>
          <xm:sqref>T65585 T131121 T196657 T262193 T327729 T393265 T458801 T524337 T589873 T655409 T720945 T786481 T852017 T917553 T983089</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zoomScale="90" workbookViewId="0">
      <pane xSplit="29" ySplit="42" topLeftCell="AD43" activePane="bottomRight" state="frozen"/>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2.00390625"/>
    <col customWidth="1" hidden="1" min="10" max="10" style="53" width="9.8515625"/>
    <col customWidth="1" hidden="1" min="11" max="11" style="53" width="11.421875"/>
    <col customWidth="1" hidden="1" min="12" max="12" style="113" width="19.140625"/>
    <col customWidth="1" hidden="1" min="13" max="14" style="61" width="12.28125"/>
    <col customWidth="1" hidden="1" min="15" max="15" style="61" width="23.421875"/>
    <col customWidth="1" min="16" max="16" style="60" width="3.00390625"/>
    <col customWidth="1" min="17" max="18" style="487" width="3.00390625"/>
    <col customWidth="1" min="19" max="19" style="86" width="12.00390625"/>
    <col customWidth="1" min="20" max="20" style="50" width="31.00390625"/>
    <col customWidth="1" hidden="1" min="21" max="21" style="50" width="0.7109375"/>
    <col customWidth="1" hidden="1" min="22" max="22" style="50" width="1.7109375"/>
    <col customWidth="1" hidden="1" min="23" max="23" style="50" width="24.7109375"/>
    <col customWidth="1" hidden="1" min="24" max="25" style="50" width="0.140625"/>
    <col customWidth="1" hidden="1" min="26" max="26" style="50" width="11.7109375"/>
    <col customWidth="1" hidden="1" min="27" max="27" style="50" width="3.7109375"/>
    <col customWidth="1" hidden="1" min="28" max="28" style="50" width="11.7109375"/>
    <col customWidth="1" hidden="1" min="29" max="29" style="50" width="8.57421875"/>
    <col customWidth="1" min="30" max="30" style="50" width="0.140625"/>
    <col customWidth="1" min="31" max="31" style="50" width="24.00390625"/>
    <col customWidth="1" min="32" max="33" style="50" width="0.140625"/>
    <col customWidth="1" min="34" max="34" style="50" width="11.00390625"/>
    <col customWidth="1" min="35" max="35" style="50" width="3.7109375"/>
    <col customWidth="1" min="36" max="36" style="50" width="11.00390625"/>
    <col customWidth="1" hidden="1" min="37" max="37" style="50" width="8.57421875"/>
    <col customWidth="1" min="38" max="38" style="50" width="4.00390625"/>
    <col customWidth="1" min="39" max="39" style="50" width="115.00390625"/>
    <col customWidth="1" min="40" max="44" style="57" width="10.00390625"/>
    <col hidden="1" min="45" max="45" style="50" width="10.57421875"/>
  </cols>
  <sheetData>
    <row r="1" ht="22.5" hidden="1" customHeight="1">
      <c r="Y1" s="50"/>
      <c r="Z1" s="50"/>
      <c r="AG1" s="50"/>
      <c r="AH1" s="50"/>
      <c r="AS1" s="50" t="s">
        <v>14</v>
      </c>
    </row>
    <row r="2" ht="21" hidden="1" customHeight="1">
      <c r="A2" s="488"/>
      <c r="B2" s="488"/>
      <c r="C2" s="488"/>
      <c r="D2" s="488"/>
      <c r="E2" s="489">
        <v>1</v>
      </c>
      <c r="F2" s="488"/>
      <c r="G2" s="488"/>
      <c r="H2" s="488"/>
      <c r="I2" s="488"/>
      <c r="J2" s="488"/>
      <c r="K2" s="488"/>
      <c r="L2" s="490"/>
      <c r="M2" s="491"/>
      <c r="N2" s="491"/>
      <c r="O2" s="491"/>
      <c r="P2" s="60"/>
      <c r="Q2" s="143"/>
      <c r="R2" s="492"/>
      <c r="S2" s="493" t="e">
        <f>INDEX(PT_DIFFERENTIATION_NUM_NTAR,MATCH(A2,PT_DIFFERENTIATION_NTAR_ID,0))</f>
        <v>#VALUE!</v>
      </c>
      <c r="T2" s="494" t="s">
        <v>123</v>
      </c>
      <c r="U2" s="495"/>
      <c r="V2" s="496"/>
      <c r="W2" s="497"/>
      <c r="X2" s="497"/>
      <c r="Y2" s="497"/>
      <c r="Z2" s="497"/>
      <c r="AA2" s="497"/>
      <c r="AB2" s="497"/>
      <c r="AC2" s="498"/>
      <c r="AD2" s="496" t="e">
        <f>INDEX(PT_DIFFERENTIATION_NTAR,MATCH(A2,PT_DIFFERENTIATION_NTAR_ID,0))</f>
        <v>#VALUE!</v>
      </c>
      <c r="AE2" s="497"/>
      <c r="AF2" s="497"/>
      <c r="AG2" s="497"/>
      <c r="AH2" s="497"/>
      <c r="AI2" s="497"/>
      <c r="AJ2" s="497"/>
      <c r="AK2" s="497"/>
      <c r="AL2" s="498"/>
      <c r="AM2" s="499" t="s">
        <v>401</v>
      </c>
      <c r="AO2" s="129"/>
      <c r="AP2" s="129" t="str">
        <f t="shared" ref="AP2:AP9" si="10">IF(T2="","",T2)</f>
        <v xml:space="preserve">Наименование тарифа</v>
      </c>
      <c r="AQ2" s="129"/>
      <c r="AR2" s="129"/>
      <c r="AS2" s="50">
        <v>0</v>
      </c>
    </row>
    <row r="3" ht="21" hidden="1" customHeight="1">
      <c r="A3" s="488"/>
      <c r="B3" s="488"/>
      <c r="C3" s="488"/>
      <c r="D3" s="488"/>
      <c r="E3" s="500"/>
      <c r="F3" s="489">
        <v>1</v>
      </c>
      <c r="G3" s="488"/>
      <c r="H3" s="488"/>
      <c r="I3" s="488"/>
      <c r="J3" s="488"/>
      <c r="K3" s="488"/>
      <c r="L3" s="490"/>
      <c r="M3" s="491"/>
      <c r="N3" s="491"/>
      <c r="O3" s="491"/>
      <c r="P3" s="51"/>
      <c r="Q3" s="501"/>
      <c r="R3" s="502"/>
      <c r="S3" s="493" t="e">
        <f>INDEX(PT_DIFFERENTIATION_NUM_TER,MATCH(B3,PT_DIFFERENTIATION_TER_ID,0))</f>
        <v>#VALUE!</v>
      </c>
      <c r="T3" s="503" t="s">
        <v>402</v>
      </c>
      <c r="U3" s="495"/>
      <c r="V3" s="496"/>
      <c r="W3" s="497"/>
      <c r="X3" s="497"/>
      <c r="Y3" s="497"/>
      <c r="Z3" s="497"/>
      <c r="AA3" s="497"/>
      <c r="AB3" s="497"/>
      <c r="AC3" s="498"/>
      <c r="AD3" s="496" t="e">
        <f>INDEX(PT_DIFFERENTIATION_TER,MATCH(B3,PT_DIFFERENTIATION_TER_ID,0))</f>
        <v>#VALUE!</v>
      </c>
      <c r="AE3" s="497"/>
      <c r="AF3" s="497"/>
      <c r="AG3" s="497"/>
      <c r="AH3" s="497"/>
      <c r="AI3" s="497"/>
      <c r="AJ3" s="497"/>
      <c r="AK3" s="497"/>
      <c r="AL3" s="498"/>
      <c r="AM3" s="499" t="s">
        <v>403</v>
      </c>
      <c r="AO3" s="129"/>
      <c r="AP3" s="129" t="str">
        <f t="shared" si="10"/>
        <v xml:space="preserve">Территория действия тарифа</v>
      </c>
      <c r="AQ3" s="129"/>
      <c r="AR3" s="129"/>
      <c r="AS3" s="50">
        <v>0</v>
      </c>
    </row>
    <row r="4" ht="23.25" hidden="1" customHeight="1">
      <c r="A4" s="488"/>
      <c r="B4" s="488"/>
      <c r="C4" s="488"/>
      <c r="D4" s="488"/>
      <c r="E4" s="500"/>
      <c r="F4" s="500"/>
      <c r="G4" s="489">
        <v>1</v>
      </c>
      <c r="H4" s="488"/>
      <c r="I4" s="488"/>
      <c r="J4" s="488"/>
      <c r="K4" s="488"/>
      <c r="L4" s="490"/>
      <c r="M4" s="491"/>
      <c r="N4" s="491"/>
      <c r="O4" s="491"/>
      <c r="P4" s="504"/>
      <c r="Q4" s="501"/>
      <c r="R4" s="502"/>
      <c r="S4" s="493" t="e">
        <f>INDEX(PT_DIFFERENTIATION_NUM_CS,MATCH(C4,PT_DIFFERENTIATION_CS_ID,0))</f>
        <v>#VALUE!</v>
      </c>
      <c r="T4" s="505" t="s">
        <v>404</v>
      </c>
      <c r="U4" s="495"/>
      <c r="V4" s="496"/>
      <c r="W4" s="497"/>
      <c r="X4" s="497"/>
      <c r="Y4" s="497"/>
      <c r="Z4" s="497"/>
      <c r="AA4" s="497"/>
      <c r="AB4" s="497"/>
      <c r="AC4" s="498"/>
      <c r="AD4" s="496" t="e">
        <f>INDEX(PT_DIFFERENTIATION_CS,MATCH(C4,PT_DIFFERENTIATION_CS_ID,0))</f>
        <v>#VALUE!</v>
      </c>
      <c r="AE4" s="497"/>
      <c r="AF4" s="497"/>
      <c r="AG4" s="497"/>
      <c r="AH4" s="497"/>
      <c r="AI4" s="497"/>
      <c r="AJ4" s="497"/>
      <c r="AK4" s="497"/>
      <c r="AL4" s="498"/>
      <c r="AM4" s="499" t="s">
        <v>405</v>
      </c>
      <c r="AO4" s="129"/>
      <c r="AP4" s="129" t="str">
        <f t="shared" si="10"/>
        <v xml:space="preserve">Наименование системы теплоснабжения </v>
      </c>
      <c r="AQ4" s="129"/>
      <c r="AR4" s="129"/>
      <c r="AS4" s="50">
        <v>0</v>
      </c>
    </row>
    <row r="5" ht="21" hidden="1" customHeight="1">
      <c r="A5" s="488"/>
      <c r="B5" s="488"/>
      <c r="C5" s="488"/>
      <c r="D5" s="488"/>
      <c r="E5" s="500"/>
      <c r="F5" s="500"/>
      <c r="G5" s="500"/>
      <c r="H5" s="489">
        <v>1</v>
      </c>
      <c r="I5" s="488"/>
      <c r="J5" s="488"/>
      <c r="K5" s="488"/>
      <c r="L5" s="490"/>
      <c r="M5" s="491"/>
      <c r="N5" s="491"/>
      <c r="O5" s="491"/>
      <c r="P5" s="504"/>
      <c r="Q5" s="501"/>
      <c r="R5" s="502"/>
      <c r="S5" s="493" t="e">
        <f>INDEX(PT_DIFFERENTIATION_NUM_IST_TE,MATCH(D5,PT_DIFFERENTIATION_IST_TE_ID,0))</f>
        <v>#VALUE!</v>
      </c>
      <c r="T5" s="506" t="s">
        <v>406</v>
      </c>
      <c r="U5" s="495"/>
      <c r="V5" s="496"/>
      <c r="W5" s="497"/>
      <c r="X5" s="497"/>
      <c r="Y5" s="497"/>
      <c r="Z5" s="497"/>
      <c r="AA5" s="497"/>
      <c r="AB5" s="497"/>
      <c r="AC5" s="498"/>
      <c r="AD5" s="496" t="e">
        <f>INDEX(PT_DIFFERENTIATION_IST_TE,MATCH(D5,PT_DIFFERENTIATION_IST_TE_ID,0))</f>
        <v>#VALUE!</v>
      </c>
      <c r="AE5" s="497"/>
      <c r="AF5" s="497"/>
      <c r="AG5" s="497"/>
      <c r="AH5" s="497"/>
      <c r="AI5" s="497"/>
      <c r="AJ5" s="497"/>
      <c r="AK5" s="497"/>
      <c r="AL5" s="498"/>
      <c r="AM5" s="499" t="s">
        <v>407</v>
      </c>
      <c r="AO5" s="129"/>
      <c r="AP5" s="129" t="str">
        <f t="shared" si="10"/>
        <v xml:space="preserve">Источник тепловой энергии  </v>
      </c>
      <c r="AQ5" s="129"/>
      <c r="AR5" s="129"/>
      <c r="AS5" s="50">
        <v>0</v>
      </c>
    </row>
    <row r="6" ht="47.25" hidden="1" customHeight="1">
      <c r="A6" s="488"/>
      <c r="B6" s="488"/>
      <c r="C6" s="488"/>
      <c r="D6" s="488"/>
      <c r="E6" s="500"/>
      <c r="F6" s="500"/>
      <c r="G6" s="500"/>
      <c r="H6" s="500"/>
      <c r="I6" s="507" t="e">
        <f>S5&amp;".1"</f>
        <v>#VALUE!</v>
      </c>
      <c r="J6" s="488"/>
      <c r="K6" s="488"/>
      <c r="L6" s="490" t="s">
        <v>408</v>
      </c>
      <c r="M6" s="53"/>
      <c r="P6" s="132">
        <v>1</v>
      </c>
      <c r="Q6" s="132"/>
      <c r="R6" s="508"/>
      <c r="S6" s="493" t="e">
        <f>$I6</f>
        <v>#VALUE!</v>
      </c>
      <c r="T6" s="509" t="s">
        <v>409</v>
      </c>
      <c r="U6" s="495"/>
      <c r="V6" s="440"/>
      <c r="W6" s="510"/>
      <c r="X6" s="510"/>
      <c r="Y6" s="510"/>
      <c r="Z6" s="510"/>
      <c r="AA6" s="510"/>
      <c r="AB6" s="510"/>
      <c r="AC6" s="511"/>
      <c r="AD6" s="440"/>
      <c r="AE6" s="510"/>
      <c r="AF6" s="510"/>
      <c r="AG6" s="510"/>
      <c r="AH6" s="510"/>
      <c r="AI6" s="510"/>
      <c r="AJ6" s="510"/>
      <c r="AK6" s="510"/>
      <c r="AL6" s="511"/>
      <c r="AM6" s="499" t="s">
        <v>410</v>
      </c>
      <c r="AO6" s="129"/>
      <c r="AP6" s="129" t="str">
        <f t="shared" si="10"/>
        <v xml:space="preserve">Схема подключения теплопотребляющей установки к коллектору источника тепловой энергии</v>
      </c>
      <c r="AQ6" s="129"/>
      <c r="AR6" s="129"/>
      <c r="AS6" s="50">
        <v>0</v>
      </c>
    </row>
    <row r="7" ht="21" hidden="1" customHeight="1">
      <c r="A7" s="488"/>
      <c r="B7" s="488"/>
      <c r="C7" s="488"/>
      <c r="D7" s="488"/>
      <c r="E7" s="500"/>
      <c r="F7" s="500"/>
      <c r="G7" s="500"/>
      <c r="H7" s="500"/>
      <c r="I7" s="512"/>
      <c r="J7" s="507" t="e">
        <f>I6&amp;".1"</f>
        <v>#VALUE!</v>
      </c>
      <c r="K7" s="488"/>
      <c r="L7" s="490" t="s">
        <v>411</v>
      </c>
      <c r="M7" s="53"/>
      <c r="N7" s="53"/>
      <c r="P7" s="132"/>
      <c r="Q7" s="132">
        <v>1</v>
      </c>
      <c r="R7" s="513"/>
      <c r="S7" s="493" t="e">
        <f>$J7</f>
        <v>#VALUE!</v>
      </c>
      <c r="T7" s="514" t="s">
        <v>412</v>
      </c>
      <c r="U7" s="495"/>
      <c r="V7" s="440"/>
      <c r="W7" s="510"/>
      <c r="X7" s="510"/>
      <c r="Y7" s="510"/>
      <c r="Z7" s="510"/>
      <c r="AA7" s="510"/>
      <c r="AB7" s="510"/>
      <c r="AC7" s="511"/>
      <c r="AD7" s="440"/>
      <c r="AE7" s="510"/>
      <c r="AF7" s="510"/>
      <c r="AG7" s="510"/>
      <c r="AH7" s="510"/>
      <c r="AI7" s="510"/>
      <c r="AJ7" s="510"/>
      <c r="AK7" s="510"/>
      <c r="AL7" s="511"/>
      <c r="AM7" s="499" t="s">
        <v>413</v>
      </c>
      <c r="AO7" s="129"/>
      <c r="AP7" s="129" t="str">
        <f t="shared" si="10"/>
        <v xml:space="preserve">Группа потребителей</v>
      </c>
      <c r="AQ7" s="129"/>
      <c r="AR7" s="129"/>
      <c r="AS7" s="50">
        <v>0</v>
      </c>
    </row>
    <row r="8" ht="21" hidden="1" customHeight="1">
      <c r="A8" s="488"/>
      <c r="B8" s="488"/>
      <c r="C8" s="488"/>
      <c r="D8" s="488"/>
      <c r="E8" s="500"/>
      <c r="F8" s="500"/>
      <c r="G8" s="500"/>
      <c r="H8" s="500"/>
      <c r="I8" s="512"/>
      <c r="J8" s="512"/>
      <c r="K8" s="507" t="e">
        <f>J7&amp;".1"</f>
        <v>#VALUE!</v>
      </c>
      <c r="L8" s="490" t="s">
        <v>414</v>
      </c>
      <c r="M8" s="53"/>
      <c r="N8" s="53"/>
      <c r="O8" s="53"/>
      <c r="P8" s="132"/>
      <c r="Q8" s="132"/>
      <c r="R8" s="513">
        <v>1</v>
      </c>
      <c r="S8" s="493" t="e">
        <f>$K8</f>
        <v>#VALUE!</v>
      </c>
      <c r="T8" s="515"/>
      <c r="U8" s="495"/>
      <c r="V8" s="517"/>
      <c r="W8" s="516"/>
      <c r="X8" s="517"/>
      <c r="Y8" s="592"/>
      <c r="Z8" s="519"/>
      <c r="AA8" s="224" t="s">
        <v>67</v>
      </c>
      <c r="AB8" s="519"/>
      <c r="AC8" s="224" t="s">
        <v>67</v>
      </c>
      <c r="AD8" s="517"/>
      <c r="AE8" s="516"/>
      <c r="AF8" s="517"/>
      <c r="AG8" s="592"/>
      <c r="AH8" s="519"/>
      <c r="AI8" s="224" t="s">
        <v>67</v>
      </c>
      <c r="AJ8" s="519"/>
      <c r="AK8" s="224" t="s">
        <v>67</v>
      </c>
      <c r="AL8" s="517"/>
      <c r="AM8" s="520" t="s">
        <v>415</v>
      </c>
      <c r="AN8" s="57" t="e">
        <f>STRCHECKDATE(V9:AL9)</f>
        <v>#NAME?</v>
      </c>
      <c r="AO8" s="129"/>
      <c r="AP8" s="129" t="str">
        <f t="shared" si="10"/>
        <v/>
      </c>
      <c r="AQ8" s="129"/>
      <c r="AR8" s="129"/>
      <c r="AS8" s="50">
        <v>0</v>
      </c>
    </row>
    <row r="9" ht="0.75" hidden="1" customHeight="1">
      <c r="A9" s="488"/>
      <c r="B9" s="488"/>
      <c r="C9" s="488"/>
      <c r="D9" s="488"/>
      <c r="E9" s="500"/>
      <c r="F9" s="500"/>
      <c r="G9" s="500"/>
      <c r="H9" s="500"/>
      <c r="I9" s="512"/>
      <c r="J9" s="512"/>
      <c r="K9" s="507"/>
      <c r="L9" s="490"/>
      <c r="M9" s="53"/>
      <c r="N9" s="53"/>
      <c r="O9" s="53"/>
      <c r="P9" s="132"/>
      <c r="Q9" s="132"/>
      <c r="R9" s="513"/>
      <c r="S9" s="467"/>
      <c r="T9" s="495"/>
      <c r="U9" s="495"/>
      <c r="V9" s="517"/>
      <c r="W9" s="517"/>
      <c r="X9" s="517"/>
      <c r="Y9" s="521" t="str">
        <f>Z8&amp;"-"&amp;AB8</f>
        <v>-</v>
      </c>
      <c r="Z9" s="522"/>
      <c r="AA9" s="224"/>
      <c r="AB9" s="522"/>
      <c r="AC9" s="224"/>
      <c r="AD9" s="517"/>
      <c r="AE9" s="517"/>
      <c r="AF9" s="517"/>
      <c r="AG9" s="521" t="str">
        <f>AH8&amp;"-"&amp;AJ8</f>
        <v>-</v>
      </c>
      <c r="AH9" s="522"/>
      <c r="AI9" s="224"/>
      <c r="AJ9" s="522"/>
      <c r="AK9" s="224"/>
      <c r="AL9" s="517"/>
      <c r="AM9" s="523"/>
      <c r="AO9" s="129"/>
      <c r="AP9" s="129" t="str">
        <f t="shared" si="10"/>
        <v/>
      </c>
      <c r="AQ9" s="129"/>
      <c r="AR9" s="129"/>
      <c r="AS9" s="50">
        <v>0</v>
      </c>
    </row>
    <row r="10" ht="15" hidden="1" customHeight="1">
      <c r="A10" s="488"/>
      <c r="B10" s="488"/>
      <c r="C10" s="488"/>
      <c r="D10" s="488"/>
      <c r="E10" s="500"/>
      <c r="F10" s="500"/>
      <c r="G10" s="500"/>
      <c r="H10" s="500"/>
      <c r="I10" s="512"/>
      <c r="J10" s="507"/>
      <c r="K10" s="488"/>
      <c r="L10" s="490"/>
      <c r="M10" s="53"/>
      <c r="N10" s="53"/>
      <c r="P10" s="132"/>
      <c r="Q10" s="132"/>
      <c r="R10" s="508"/>
      <c r="S10" s="524"/>
      <c r="T10" s="525" t="s">
        <v>416</v>
      </c>
      <c r="U10" s="214"/>
      <c r="V10" s="214"/>
      <c r="W10" s="214"/>
      <c r="X10" s="214"/>
      <c r="Y10" s="214"/>
      <c r="Z10" s="214"/>
      <c r="AA10" s="214"/>
      <c r="AB10" s="214"/>
      <c r="AC10" s="214"/>
      <c r="AD10" s="214"/>
      <c r="AE10" s="214"/>
      <c r="AF10" s="214"/>
      <c r="AG10" s="214"/>
      <c r="AH10" s="214"/>
      <c r="AI10" s="214"/>
      <c r="AJ10" s="214"/>
      <c r="AK10" s="214"/>
      <c r="AL10" s="526"/>
      <c r="AM10" s="527"/>
      <c r="AO10" s="129"/>
      <c r="AP10" s="129" t="str">
        <f t="shared" ref="AP10:AP57" si="11">IF(T10="","",T10)</f>
        <v xml:space="preserve">Добавить вид теплоносителя (параметры теплоносителя)</v>
      </c>
      <c r="AQ10" s="129"/>
      <c r="AR10" s="129"/>
      <c r="AS10" s="50">
        <v>0</v>
      </c>
    </row>
    <row r="11" ht="15" hidden="1" customHeight="1">
      <c r="A11" s="488"/>
      <c r="B11" s="488"/>
      <c r="C11" s="488"/>
      <c r="D11" s="488"/>
      <c r="E11" s="500"/>
      <c r="F11" s="500"/>
      <c r="G11" s="500"/>
      <c r="H11" s="500"/>
      <c r="I11" s="507"/>
      <c r="J11" s="488"/>
      <c r="K11" s="488"/>
      <c r="L11" s="490"/>
      <c r="M11" s="53"/>
      <c r="P11" s="132"/>
      <c r="Q11" s="132"/>
      <c r="R11" s="508"/>
      <c r="S11" s="524"/>
      <c r="T11" s="528" t="s">
        <v>417</v>
      </c>
      <c r="U11" s="214"/>
      <c r="V11" s="214"/>
      <c r="W11" s="214"/>
      <c r="X11" s="214"/>
      <c r="Y11" s="214"/>
      <c r="Z11" s="214"/>
      <c r="AA11" s="214"/>
      <c r="AB11" s="214"/>
      <c r="AC11" s="529"/>
      <c r="AD11" s="214"/>
      <c r="AE11" s="214"/>
      <c r="AF11" s="214"/>
      <c r="AG11" s="214"/>
      <c r="AH11" s="214"/>
      <c r="AI11" s="214"/>
      <c r="AJ11" s="214"/>
      <c r="AK11" s="529"/>
      <c r="AL11" s="214"/>
      <c r="AM11" s="530"/>
      <c r="AO11" s="129"/>
      <c r="AP11" s="129" t="str">
        <f t="shared" si="11"/>
        <v xml:space="preserve">Добавить группу потребителей</v>
      </c>
      <c r="AQ11" s="129"/>
      <c r="AR11" s="129"/>
      <c r="AS11" s="50">
        <v>0</v>
      </c>
    </row>
    <row r="12" ht="14.25" hidden="1" customHeight="1">
      <c r="A12" s="488"/>
      <c r="B12" s="488"/>
      <c r="C12" s="488"/>
      <c r="D12" s="488"/>
      <c r="E12" s="500"/>
      <c r="F12" s="500"/>
      <c r="G12" s="500"/>
      <c r="H12" s="489"/>
      <c r="I12" s="488"/>
      <c r="J12" s="488"/>
      <c r="K12" s="488"/>
      <c r="L12" s="490"/>
      <c r="M12" s="491"/>
      <c r="N12" s="491"/>
      <c r="O12" s="53"/>
      <c r="P12" s="143"/>
      <c r="Q12" s="531"/>
      <c r="R12" s="492"/>
      <c r="S12" s="524"/>
      <c r="T12" s="532" t="s">
        <v>418</v>
      </c>
      <c r="U12" s="214"/>
      <c r="V12" s="214"/>
      <c r="W12" s="214"/>
      <c r="X12" s="214"/>
      <c r="Y12" s="214"/>
      <c r="Z12" s="214"/>
      <c r="AA12" s="214"/>
      <c r="AB12" s="214"/>
      <c r="AC12" s="529"/>
      <c r="AD12" s="214"/>
      <c r="AE12" s="214"/>
      <c r="AF12" s="214"/>
      <c r="AG12" s="214"/>
      <c r="AH12" s="214"/>
      <c r="AI12" s="214"/>
      <c r="AJ12" s="214"/>
      <c r="AK12" s="529"/>
      <c r="AL12" s="214"/>
      <c r="AM12" s="530"/>
      <c r="AO12" s="129"/>
      <c r="AP12" s="129" t="str">
        <f t="shared" si="11"/>
        <v xml:space="preserve">Добавить схему подключения</v>
      </c>
      <c r="AQ12" s="129"/>
      <c r="AR12" s="129"/>
      <c r="AS12" s="50">
        <v>0</v>
      </c>
    </row>
    <row r="13" s="57" customFormat="1" ht="0.75" hidden="1" customHeight="1">
      <c r="A13" s="133"/>
      <c r="B13" s="133"/>
      <c r="C13" s="133"/>
      <c r="D13" s="133"/>
      <c r="E13" s="500"/>
      <c r="F13" s="500"/>
      <c r="G13" s="489"/>
      <c r="H13" s="133"/>
      <c r="I13" s="133"/>
      <c r="J13" s="133"/>
      <c r="K13" s="133"/>
      <c r="L13" s="212"/>
      <c r="M13" s="473"/>
      <c r="N13" s="473"/>
      <c r="P13" s="167"/>
      <c r="Q13" s="533"/>
      <c r="R13" s="167"/>
      <c r="S13" s="534"/>
      <c r="T13" s="535" t="s">
        <v>211</v>
      </c>
      <c r="U13" s="536"/>
      <c r="V13" s="536"/>
      <c r="W13" s="536"/>
      <c r="X13" s="536"/>
      <c r="Y13" s="536"/>
      <c r="Z13" s="536"/>
      <c r="AA13" s="536"/>
      <c r="AB13" s="536"/>
      <c r="AC13" s="536"/>
      <c r="AD13" s="536"/>
      <c r="AE13" s="536"/>
      <c r="AF13" s="536"/>
      <c r="AG13" s="536"/>
      <c r="AH13" s="536"/>
      <c r="AI13" s="536"/>
      <c r="AJ13" s="536"/>
      <c r="AK13" s="536"/>
      <c r="AL13" s="536"/>
      <c r="AM13" s="536"/>
      <c r="AO13" s="129"/>
      <c r="AP13" s="129" t="str">
        <f t="shared" si="11"/>
        <v xml:space="preserve">Добавить источник для дифференциации</v>
      </c>
      <c r="AQ13" s="129"/>
      <c r="AR13" s="129"/>
      <c r="AS13" s="57">
        <v>0</v>
      </c>
    </row>
    <row r="14" s="57" customFormat="1" ht="0.75" hidden="1" customHeight="1">
      <c r="A14" s="133"/>
      <c r="B14" s="133"/>
      <c r="C14" s="133"/>
      <c r="D14" s="133"/>
      <c r="E14" s="500"/>
      <c r="F14" s="489"/>
      <c r="G14" s="133"/>
      <c r="H14" s="133"/>
      <c r="I14" s="133"/>
      <c r="J14" s="133"/>
      <c r="K14" s="133"/>
      <c r="L14" s="212"/>
      <c r="M14" s="537"/>
      <c r="N14" s="537"/>
      <c r="P14" s="167"/>
      <c r="Q14" s="533"/>
      <c r="R14" s="167"/>
      <c r="S14" s="538"/>
      <c r="T14" s="539" t="s">
        <v>212</v>
      </c>
      <c r="U14" s="540"/>
      <c r="V14" s="540"/>
      <c r="W14" s="540"/>
      <c r="X14" s="540"/>
      <c r="Y14" s="540"/>
      <c r="Z14" s="540"/>
      <c r="AA14" s="540"/>
      <c r="AB14" s="540"/>
      <c r="AC14" s="540"/>
      <c r="AD14" s="540"/>
      <c r="AE14" s="540"/>
      <c r="AF14" s="540"/>
      <c r="AG14" s="540"/>
      <c r="AH14" s="540"/>
      <c r="AI14" s="540"/>
      <c r="AJ14" s="540"/>
      <c r="AK14" s="540"/>
      <c r="AL14" s="540"/>
      <c r="AM14" s="540"/>
      <c r="AO14" s="129"/>
      <c r="AP14" s="129" t="str">
        <f t="shared" si="11"/>
        <v xml:space="preserve">Добавить централизованную систему для дифференциации</v>
      </c>
      <c r="AQ14" s="129"/>
      <c r="AR14" s="129"/>
      <c r="AS14" s="57">
        <v>0</v>
      </c>
    </row>
    <row r="15" s="57" customFormat="1" ht="0.75" hidden="1" customHeight="1">
      <c r="A15" s="133"/>
      <c r="B15" s="133"/>
      <c r="C15" s="133"/>
      <c r="D15" s="133"/>
      <c r="E15" s="489"/>
      <c r="F15" s="133"/>
      <c r="G15" s="133"/>
      <c r="H15" s="133"/>
      <c r="I15" s="133"/>
      <c r="J15" s="133"/>
      <c r="K15" s="133"/>
      <c r="L15" s="212"/>
      <c r="M15" s="537"/>
      <c r="N15" s="537"/>
      <c r="P15" s="167"/>
      <c r="Q15" s="533"/>
      <c r="R15" s="167"/>
      <c r="S15" s="538"/>
      <c r="T15" s="541" t="s">
        <v>213</v>
      </c>
      <c r="U15" s="540"/>
      <c r="V15" s="540"/>
      <c r="W15" s="540"/>
      <c r="X15" s="540"/>
      <c r="Y15" s="540"/>
      <c r="Z15" s="540"/>
      <c r="AA15" s="540"/>
      <c r="AB15" s="540"/>
      <c r="AC15" s="540"/>
      <c r="AD15" s="540"/>
      <c r="AE15" s="540"/>
      <c r="AF15" s="540"/>
      <c r="AG15" s="540"/>
      <c r="AH15" s="540"/>
      <c r="AI15" s="540"/>
      <c r="AJ15" s="540"/>
      <c r="AK15" s="540"/>
      <c r="AL15" s="540"/>
      <c r="AM15" s="540"/>
      <c r="AO15" s="129"/>
      <c r="AP15" s="129" t="str">
        <f t="shared" si="11"/>
        <v xml:space="preserve">Добавить территорию для дифференциации</v>
      </c>
      <c r="AQ15" s="129"/>
      <c r="AR15" s="129"/>
      <c r="AS15" s="57">
        <v>0</v>
      </c>
    </row>
    <row r="16" ht="14.25" hidden="1" customHeight="1">
      <c r="AC16" s="50"/>
      <c r="AK16" s="50"/>
      <c r="AS16" s="50">
        <v>0</v>
      </c>
    </row>
    <row r="17" ht="14.25" hidden="1" customHeight="1">
      <c r="AD17" s="542"/>
      <c r="AE17" s="542"/>
      <c r="AF17" s="542"/>
      <c r="AG17" s="543"/>
      <c r="AH17" s="544"/>
      <c r="AI17" s="545" t="s">
        <v>67</v>
      </c>
      <c r="AJ17" s="544"/>
      <c r="AK17" s="545" t="s">
        <v>67</v>
      </c>
      <c r="AS17" s="50">
        <v>0</v>
      </c>
    </row>
    <row r="18" ht="14.25" hidden="1" customHeight="1">
      <c r="AD18" s="542"/>
      <c r="AE18" s="542"/>
      <c r="AF18" s="542"/>
      <c r="AG18" s="521" t="str">
        <f>AH17&amp;"-"&amp;AJ17</f>
        <v>-</v>
      </c>
      <c r="AH18" s="545"/>
      <c r="AI18" s="545"/>
      <c r="AJ18" s="545"/>
      <c r="AK18" s="545"/>
      <c r="AS18" s="50">
        <v>0</v>
      </c>
    </row>
    <row r="19" ht="14.25" hidden="1" customHeight="1">
      <c r="AK19" s="50"/>
      <c r="AS19" s="50">
        <v>0</v>
      </c>
    </row>
    <row r="20" s="53" customFormat="1" ht="22.5" hidden="1" customHeight="1">
      <c r="L20" s="113"/>
      <c r="M20" s="61"/>
      <c r="N20" s="61"/>
      <c r="O20" s="546" t="s">
        <v>419</v>
      </c>
      <c r="P20" s="61"/>
      <c r="Q20" s="547"/>
      <c r="R20" s="547"/>
      <c r="S20" s="491"/>
      <c r="Z20" s="546"/>
      <c r="AB20" s="546"/>
      <c r="AC20" s="53"/>
      <c r="AH20" s="546"/>
      <c r="AJ20" s="546"/>
      <c r="AK20" s="53"/>
      <c r="AN20" s="57"/>
      <c r="AO20" s="57"/>
      <c r="AP20" s="57"/>
      <c r="AQ20" s="57"/>
      <c r="AR20" s="57"/>
      <c r="AS20" s="53">
        <v>0</v>
      </c>
    </row>
    <row r="21" s="53" customFormat="1" ht="14.25" hidden="1" customHeight="1">
      <c r="L21" s="113"/>
      <c r="M21" s="61"/>
      <c r="N21" s="61"/>
      <c r="O21" s="61"/>
      <c r="P21" s="61"/>
      <c r="Q21" s="547"/>
      <c r="R21" s="547"/>
      <c r="S21" s="491"/>
      <c r="AC21" s="53"/>
      <c r="AK21" s="53"/>
      <c r="AN21" s="57"/>
      <c r="AO21" s="57"/>
      <c r="AP21" s="57"/>
      <c r="AQ21" s="57"/>
      <c r="AR21" s="57"/>
      <c r="AS21" s="53">
        <v>0</v>
      </c>
    </row>
    <row r="22" s="53" customFormat="1" ht="33.75" hidden="1" customHeight="1">
      <c r="L22" s="113"/>
      <c r="M22" s="61"/>
      <c r="N22" s="61"/>
      <c r="O22" s="490" t="s">
        <v>420</v>
      </c>
      <c r="P22" s="61"/>
      <c r="Q22" s="547"/>
      <c r="R22" s="547"/>
      <c r="S22" s="491"/>
      <c r="T22" s="53" t="s">
        <v>421</v>
      </c>
      <c r="AA22" s="151" t="s">
        <v>422</v>
      </c>
      <c r="AC22" s="151" t="s">
        <v>423</v>
      </c>
      <c r="AD22" s="53" t="s">
        <v>421</v>
      </c>
      <c r="AI22" s="151" t="s">
        <v>424</v>
      </c>
      <c r="AK22" s="151" t="s">
        <v>423</v>
      </c>
      <c r="AN22" s="57"/>
      <c r="AO22" s="57"/>
      <c r="AP22" s="57"/>
      <c r="AQ22" s="57"/>
      <c r="AR22" s="57"/>
      <c r="AS22" s="53">
        <v>0</v>
      </c>
    </row>
    <row r="23" ht="14.25" hidden="1" customHeight="1">
      <c r="O23" s="490"/>
      <c r="AS23" s="50">
        <v>0</v>
      </c>
    </row>
    <row r="24" ht="14.25" hidden="1" customHeight="1">
      <c r="O24" s="490"/>
      <c r="AS24" s="50">
        <v>0</v>
      </c>
    </row>
    <row r="25" ht="14.65" customHeight="1">
      <c r="Q25" s="548"/>
      <c r="R25" s="548"/>
      <c r="S25" s="549"/>
      <c r="T25" s="91"/>
      <c r="U25" s="91"/>
      <c r="V25" s="50"/>
      <c r="W25" s="50"/>
      <c r="X25" s="50"/>
      <c r="Y25" s="50"/>
      <c r="Z25" s="50"/>
      <c r="AA25" s="50"/>
      <c r="AB25" s="50"/>
      <c r="AC25" s="50"/>
      <c r="AD25" s="50"/>
      <c r="AE25" s="50"/>
      <c r="AF25" s="50"/>
      <c r="AG25" s="50"/>
      <c r="AH25" s="50"/>
      <c r="AI25" s="50"/>
      <c r="AJ25" s="50"/>
      <c r="AK25" s="50"/>
      <c r="AS25" s="50">
        <v>14</v>
      </c>
    </row>
    <row r="26" ht="29.25" customHeight="1">
      <c r="Q26" s="548"/>
      <c r="R26" s="548"/>
      <c r="S26" s="461" t="str">
        <f>IF(TEMPLATE_GROUP="P",PT_P_FORM_HEAT_4_NAME_FORM,PT_R_FORM_HEAT_21_NAME_FORM)</f>
        <v xml:space="preserve">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461"/>
      <c r="U26" s="461"/>
      <c r="V26" s="461"/>
      <c r="W26" s="461"/>
      <c r="X26" s="461"/>
      <c r="Y26" s="461"/>
      <c r="Z26" s="461"/>
      <c r="AA26" s="461"/>
      <c r="AB26" s="461"/>
      <c r="AC26" s="461"/>
      <c r="AD26" s="461"/>
      <c r="AE26" s="461"/>
      <c r="AF26" s="461"/>
      <c r="AG26" s="461"/>
      <c r="AH26" s="461"/>
      <c r="AI26" s="461"/>
      <c r="AJ26" s="461"/>
      <c r="AK26" s="240"/>
      <c r="AS26" s="50">
        <v>28</v>
      </c>
    </row>
    <row r="27" ht="14.65" customHeight="1">
      <c r="Q27" s="548"/>
      <c r="R27" s="548"/>
      <c r="S27" s="316" t="str">
        <f>IF(org=0,"Не определено",org)</f>
        <v xml:space="preserve">АО "ДГК"</v>
      </c>
      <c r="T27" s="316"/>
      <c r="U27" s="316"/>
      <c r="V27" s="316"/>
      <c r="W27" s="316"/>
      <c r="X27" s="316"/>
      <c r="Y27" s="316"/>
      <c r="Z27" s="316"/>
      <c r="AA27" s="316"/>
      <c r="AB27" s="316"/>
      <c r="AC27" s="316"/>
      <c r="AD27" s="316"/>
      <c r="AE27" s="316"/>
      <c r="AF27" s="316"/>
      <c r="AG27" s="316"/>
      <c r="AH27" s="316"/>
      <c r="AI27" s="316"/>
      <c r="AJ27" s="316"/>
      <c r="AK27" s="240"/>
      <c r="AS27" s="50">
        <v>14</v>
      </c>
    </row>
    <row r="28" ht="14.25" hidden="1" customHeight="1">
      <c r="Q28" s="548"/>
      <c r="R28" s="548"/>
      <c r="S28" s="549"/>
      <c r="T28" s="91"/>
      <c r="U28" s="91"/>
      <c r="V28" s="550"/>
      <c r="W28" s="550"/>
      <c r="X28" s="550"/>
      <c r="Y28" s="550"/>
      <c r="Z28" s="550"/>
      <c r="AA28" s="550"/>
      <c r="AB28" s="550"/>
      <c r="AC28" s="550"/>
      <c r="AD28" s="550"/>
      <c r="AE28" s="550"/>
      <c r="AF28" s="550"/>
      <c r="AG28" s="550"/>
      <c r="AH28" s="550"/>
      <c r="AI28" s="550"/>
      <c r="AJ28" s="550"/>
      <c r="AK28" s="550"/>
      <c r="AL28" s="50"/>
      <c r="AS28" s="50">
        <v>0</v>
      </c>
    </row>
    <row r="29" s="184" customFormat="1" ht="25.5" hidden="1" customHeight="1">
      <c r="A29" s="151"/>
      <c r="B29" s="151"/>
      <c r="C29" s="151"/>
      <c r="D29" s="151"/>
      <c r="E29" s="151"/>
      <c r="F29" s="151"/>
      <c r="G29" s="151"/>
      <c r="H29" s="151"/>
      <c r="I29" s="151"/>
      <c r="J29" s="151"/>
      <c r="K29" s="151"/>
      <c r="L29" s="490"/>
      <c r="M29" s="151"/>
      <c r="N29" s="151"/>
      <c r="O29" s="151"/>
      <c r="S29" s="551" t="s">
        <v>42</v>
      </c>
      <c r="T29" s="551"/>
      <c r="U29" s="552"/>
      <c r="V29" s="553" t="str">
        <f>IF(TITLE_NAME_OR_PR_CHANGE="",IF(TITLE_NAME_OR_PR="","",TITLE_NAME_OR_PR),TITLE_NAME_OR_PR_CHANGE)</f>
        <v/>
      </c>
      <c r="W29" s="553"/>
      <c r="X29" s="553"/>
      <c r="Y29" s="553"/>
      <c r="Z29" s="553"/>
      <c r="AA29" s="553"/>
      <c r="AB29" s="553"/>
      <c r="AC29" s="50"/>
      <c r="AD29" s="553" t="str">
        <f>IF(TITLE_NAME_OR_PR_CHANGE="",IF(TITLE_NAME_OR_PR="","",TITLE_NAME_OR_PR),TITLE_NAME_OR_PR_CHANGE)</f>
        <v/>
      </c>
      <c r="AE29" s="553"/>
      <c r="AF29" s="553"/>
      <c r="AG29" s="553"/>
      <c r="AH29" s="553"/>
      <c r="AI29" s="553"/>
      <c r="AJ29" s="553"/>
      <c r="AK29" s="50"/>
      <c r="AL29" s="50"/>
      <c r="AM29" s="554"/>
      <c r="AN29" s="129"/>
      <c r="AO29" s="129"/>
      <c r="AP29" s="129"/>
      <c r="AQ29" s="129"/>
      <c r="AR29" s="129"/>
      <c r="AS29" s="184">
        <v>0</v>
      </c>
    </row>
    <row r="30" s="184" customFormat="1" ht="18.75" hidden="1" customHeight="1">
      <c r="A30" s="151"/>
      <c r="B30" s="151"/>
      <c r="C30" s="151"/>
      <c r="D30" s="151"/>
      <c r="E30" s="151"/>
      <c r="F30" s="151"/>
      <c r="G30" s="151"/>
      <c r="H30" s="151"/>
      <c r="I30" s="151"/>
      <c r="J30" s="151"/>
      <c r="K30" s="151"/>
      <c r="L30" s="490"/>
      <c r="M30" s="151"/>
      <c r="N30" s="151"/>
      <c r="O30" s="151"/>
      <c r="S30" s="551" t="s">
        <v>425</v>
      </c>
      <c r="T30" s="551"/>
      <c r="U30" s="552"/>
      <c r="V30" s="555">
        <f>IF(TITLE_DATE_PR_CHANGE="",IF(TITLE_DATE_PR="","",TITLE_DATE_PR),TITLE_DATE_PR_CHANGE)</f>
        <v>46212.428518518522</v>
      </c>
      <c r="W30" s="555"/>
      <c r="X30" s="555"/>
      <c r="Y30" s="555"/>
      <c r="Z30" s="555"/>
      <c r="AA30" s="555"/>
      <c r="AB30" s="555"/>
      <c r="AC30" s="50"/>
      <c r="AD30" s="555">
        <f>IF(TITLE_DATE_PR_CHANGE="",IF(TITLE_DATE_PR="","",TITLE_DATE_PR),TITLE_DATE_PR_CHANGE)</f>
        <v>46212.428518518522</v>
      </c>
      <c r="AE30" s="555"/>
      <c r="AF30" s="555"/>
      <c r="AG30" s="555"/>
      <c r="AH30" s="555"/>
      <c r="AI30" s="555"/>
      <c r="AJ30" s="555"/>
      <c r="AK30" s="50"/>
      <c r="AL30" s="50"/>
      <c r="AM30" s="554"/>
      <c r="AN30" s="129"/>
      <c r="AO30" s="129"/>
      <c r="AP30" s="129"/>
      <c r="AQ30" s="129"/>
      <c r="AR30" s="129"/>
      <c r="AS30" s="184">
        <v>0</v>
      </c>
    </row>
    <row r="31" s="184" customFormat="1" ht="18.75" hidden="1" customHeight="1">
      <c r="A31" s="151"/>
      <c r="B31" s="151"/>
      <c r="C31" s="151"/>
      <c r="D31" s="151"/>
      <c r="E31" s="151"/>
      <c r="F31" s="151"/>
      <c r="G31" s="151"/>
      <c r="H31" s="151"/>
      <c r="I31" s="151"/>
      <c r="J31" s="151"/>
      <c r="K31" s="151"/>
      <c r="L31" s="490"/>
      <c r="M31" s="151"/>
      <c r="N31" s="151"/>
      <c r="O31" s="151"/>
      <c r="S31" s="551" t="s">
        <v>426</v>
      </c>
      <c r="T31" s="551"/>
      <c r="U31" s="552"/>
      <c r="V31" s="553" t="str">
        <f>IF(TITLE_NUMBER_PR_CHANGE="",IF(TITLE_NUMBER_PR="","",TITLE_NUMBER_PR),TITLE_NUMBER_PR_CHANGE)</f>
        <v>Исх-260/1397</v>
      </c>
      <c r="W31" s="553"/>
      <c r="X31" s="553"/>
      <c r="Y31" s="553"/>
      <c r="Z31" s="553"/>
      <c r="AA31" s="553"/>
      <c r="AB31" s="553"/>
      <c r="AC31" s="50"/>
      <c r="AD31" s="553" t="str">
        <f>IF(TITLE_NUMBER_PR_CHANGE="",IF(TITLE_NUMBER_PR="","",TITLE_NUMBER_PR),TITLE_NUMBER_PR_CHANGE)</f>
        <v>Исх-260/1397</v>
      </c>
      <c r="AE31" s="553"/>
      <c r="AF31" s="553"/>
      <c r="AG31" s="553"/>
      <c r="AH31" s="553"/>
      <c r="AI31" s="553"/>
      <c r="AJ31" s="553"/>
      <c r="AK31" s="50"/>
      <c r="AL31" s="50"/>
      <c r="AM31" s="554"/>
      <c r="AN31" s="129"/>
      <c r="AO31" s="129"/>
      <c r="AP31" s="129"/>
      <c r="AQ31" s="129"/>
      <c r="AR31" s="129"/>
      <c r="AS31" s="184">
        <v>0</v>
      </c>
    </row>
    <row r="32" s="184" customFormat="1" ht="18.75" hidden="1" customHeight="1">
      <c r="A32" s="151"/>
      <c r="B32" s="151"/>
      <c r="C32" s="151"/>
      <c r="D32" s="151"/>
      <c r="E32" s="151"/>
      <c r="F32" s="151"/>
      <c r="G32" s="151"/>
      <c r="H32" s="151"/>
      <c r="I32" s="151"/>
      <c r="J32" s="151"/>
      <c r="K32" s="151"/>
      <c r="L32" s="490"/>
      <c r="M32" s="151"/>
      <c r="N32" s="151"/>
      <c r="O32" s="151"/>
      <c r="S32" s="551" t="s">
        <v>43</v>
      </c>
      <c r="T32" s="551"/>
      <c r="U32" s="552"/>
      <c r="V32" s="553" t="str">
        <f>IF(TITLE_IST_PUB_CHANGE="",IF(TITLE_IST_PUB="","",TITLE_IST_PUB),TITLE_IST_PUB_CHANGE)</f>
        <v/>
      </c>
      <c r="W32" s="553"/>
      <c r="X32" s="553"/>
      <c r="Y32" s="553"/>
      <c r="Z32" s="553"/>
      <c r="AA32" s="553"/>
      <c r="AB32" s="553"/>
      <c r="AC32" s="50"/>
      <c r="AD32" s="553" t="str">
        <f>IF(TITLE_IST_PUB_CHANGE="",IF(TITLE_IST_PUB="","",TITLE_IST_PUB),TITLE_IST_PUB_CHANGE)</f>
        <v/>
      </c>
      <c r="AE32" s="553"/>
      <c r="AF32" s="553"/>
      <c r="AG32" s="553"/>
      <c r="AH32" s="553"/>
      <c r="AI32" s="553"/>
      <c r="AJ32" s="553"/>
      <c r="AK32" s="50"/>
      <c r="AL32" s="50"/>
      <c r="AM32" s="554"/>
      <c r="AN32" s="129"/>
      <c r="AO32" s="129"/>
      <c r="AP32" s="129"/>
      <c r="AQ32" s="129"/>
      <c r="AR32" s="129"/>
      <c r="AS32" s="184">
        <v>0</v>
      </c>
    </row>
    <row r="33" ht="14.25" customHeight="1">
      <c r="Q33" s="548"/>
      <c r="R33" s="548"/>
      <c r="S33" s="549"/>
      <c r="T33" s="91"/>
      <c r="U33" s="91"/>
      <c r="V33" s="550"/>
      <c r="W33" s="550"/>
      <c r="X33" s="550"/>
      <c r="Y33" s="550"/>
      <c r="Z33" s="550"/>
      <c r="AA33" s="550"/>
      <c r="AB33" s="550"/>
      <c r="AC33" s="550"/>
      <c r="AD33" s="550"/>
      <c r="AE33" s="550"/>
      <c r="AF33" s="550"/>
      <c r="AG33" s="550"/>
      <c r="AH33" s="550"/>
      <c r="AI33" s="550"/>
      <c r="AJ33" s="550"/>
      <c r="AK33" s="550"/>
      <c r="AL33" s="50"/>
      <c r="AS33" s="50">
        <v>0</v>
      </c>
    </row>
    <row r="34" s="184" customFormat="1" ht="18.75" customHeight="1">
      <c r="A34" s="151"/>
      <c r="B34" s="151"/>
      <c r="C34" s="151"/>
      <c r="D34" s="151"/>
      <c r="E34" s="151"/>
      <c r="F34" s="151"/>
      <c r="G34" s="151"/>
      <c r="H34" s="151"/>
      <c r="I34" s="151"/>
      <c r="J34" s="151"/>
      <c r="K34" s="151"/>
      <c r="L34" s="490"/>
      <c r="M34" s="151"/>
      <c r="N34" s="151"/>
      <c r="O34" s="151"/>
      <c r="S34" s="551" t="s">
        <v>427</v>
      </c>
      <c r="T34" s="551"/>
      <c r="U34" s="552"/>
      <c r="V34" s="555">
        <f>IF(TITLE_DATE_PR_CHANGE="",IF(TITLE_DATE_PR="","",TITLE_DATE_PR),TITLE_DATE_PR_CHANGE)</f>
        <v>46212.428518518522</v>
      </c>
      <c r="W34" s="555"/>
      <c r="X34" s="555"/>
      <c r="Y34" s="555"/>
      <c r="Z34" s="555"/>
      <c r="AA34" s="555"/>
      <c r="AB34" s="555"/>
      <c r="AC34" s="50"/>
      <c r="AD34" s="555">
        <f>IF(TITLE_DATE_PR_CHANGE="",IF(TITLE_DATE_PR="","",TITLE_DATE_PR),TITLE_DATE_PR_CHANGE)</f>
        <v>46212.428518518522</v>
      </c>
      <c r="AE34" s="555"/>
      <c r="AF34" s="555"/>
      <c r="AG34" s="555"/>
      <c r="AH34" s="555"/>
      <c r="AI34" s="555"/>
      <c r="AJ34" s="555"/>
      <c r="AK34" s="50"/>
      <c r="AL34" s="50"/>
      <c r="AM34" s="554"/>
      <c r="AN34" s="129"/>
      <c r="AO34" s="129"/>
      <c r="AP34" s="129"/>
      <c r="AQ34" s="129"/>
      <c r="AR34" s="129"/>
      <c r="AS34" s="184">
        <v>0</v>
      </c>
    </row>
    <row r="35" s="184" customFormat="1" ht="18.75" customHeight="1">
      <c r="A35" s="151"/>
      <c r="B35" s="151"/>
      <c r="C35" s="151"/>
      <c r="D35" s="151"/>
      <c r="E35" s="151"/>
      <c r="F35" s="151"/>
      <c r="G35" s="151"/>
      <c r="H35" s="151"/>
      <c r="I35" s="151"/>
      <c r="J35" s="151"/>
      <c r="K35" s="151"/>
      <c r="L35" s="490"/>
      <c r="M35" s="151"/>
      <c r="N35" s="151"/>
      <c r="O35" s="151"/>
      <c r="S35" s="551" t="s">
        <v>428</v>
      </c>
      <c r="T35" s="551"/>
      <c r="U35" s="552"/>
      <c r="V35" s="553" t="str">
        <f>IF(TITLE_NUMBER_PR_CHANGE="",IF(TITLE_NUMBER_PR="","",TITLE_NUMBER_PR),TITLE_NUMBER_PR_CHANGE)</f>
        <v>Исх-260/1397</v>
      </c>
      <c r="W35" s="553"/>
      <c r="X35" s="553"/>
      <c r="Y35" s="553"/>
      <c r="Z35" s="553"/>
      <c r="AA35" s="553"/>
      <c r="AB35" s="553"/>
      <c r="AC35" s="50"/>
      <c r="AD35" s="553" t="str">
        <f>IF(TITLE_NUMBER_PR_CHANGE="",IF(TITLE_NUMBER_PR="","",TITLE_NUMBER_PR),TITLE_NUMBER_PR_CHANGE)</f>
        <v>Исх-260/1397</v>
      </c>
      <c r="AE35" s="553"/>
      <c r="AF35" s="553"/>
      <c r="AG35" s="553"/>
      <c r="AH35" s="553"/>
      <c r="AI35" s="553"/>
      <c r="AJ35" s="553"/>
      <c r="AK35" s="50"/>
      <c r="AL35" s="50"/>
      <c r="AM35" s="554"/>
      <c r="AN35" s="129"/>
      <c r="AO35" s="129"/>
      <c r="AP35" s="129"/>
      <c r="AQ35" s="129"/>
      <c r="AR35" s="129"/>
      <c r="AS35" s="184">
        <v>0</v>
      </c>
    </row>
    <row r="36" s="184" customFormat="1" ht="0" customHeight="1">
      <c r="A36" s="151"/>
      <c r="B36" s="151"/>
      <c r="C36" s="151"/>
      <c r="D36" s="151"/>
      <c r="E36" s="151"/>
      <c r="F36" s="151"/>
      <c r="G36" s="151"/>
      <c r="H36" s="151"/>
      <c r="I36" s="151"/>
      <c r="J36" s="151"/>
      <c r="K36" s="151"/>
      <c r="L36" s="490"/>
      <c r="M36" s="151"/>
      <c r="N36" s="151"/>
      <c r="O36" s="151"/>
      <c r="S36" s="50"/>
      <c r="T36" s="50"/>
      <c r="U36" s="140"/>
      <c r="V36" s="50"/>
      <c r="W36" s="50"/>
      <c r="X36" s="50"/>
      <c r="Y36" s="50"/>
      <c r="Z36" s="50"/>
      <c r="AA36" s="50"/>
      <c r="AB36" s="50"/>
      <c r="AC36" s="57" t="s">
        <v>429</v>
      </c>
      <c r="AD36" s="50"/>
      <c r="AE36" s="50"/>
      <c r="AF36" s="50"/>
      <c r="AG36" s="50"/>
      <c r="AH36" s="50"/>
      <c r="AI36" s="50"/>
      <c r="AJ36" s="50"/>
      <c r="AK36" s="57" t="s">
        <v>429</v>
      </c>
      <c r="AN36" s="129"/>
      <c r="AO36" s="129"/>
      <c r="AP36" s="129"/>
      <c r="AQ36" s="129"/>
      <c r="AR36" s="129"/>
      <c r="AS36" s="184">
        <v>0</v>
      </c>
    </row>
    <row r="37" ht="14.65" customHeight="1">
      <c r="Q37" s="548"/>
      <c r="R37" s="548"/>
      <c r="S37" s="549"/>
      <c r="T37" s="91"/>
      <c r="U37" s="556"/>
      <c r="V37" s="557"/>
      <c r="W37" s="557"/>
      <c r="X37" s="557"/>
      <c r="Y37" s="557"/>
      <c r="Z37" s="557"/>
      <c r="AA37" s="557"/>
      <c r="AB37" s="557"/>
      <c r="AC37" s="557"/>
      <c r="AD37" s="557"/>
      <c r="AE37" s="557"/>
      <c r="AF37" s="557"/>
      <c r="AG37" s="557"/>
      <c r="AH37" s="557"/>
      <c r="AI37" s="557"/>
      <c r="AJ37" s="557"/>
      <c r="AK37" s="557"/>
      <c r="AS37" s="50">
        <v>14</v>
      </c>
    </row>
    <row r="38" ht="14.65" customHeight="1">
      <c r="Q38" s="548"/>
      <c r="R38" s="548"/>
      <c r="S38" s="157" t="s">
        <v>305</v>
      </c>
      <c r="T38" s="157"/>
      <c r="U38" s="157"/>
      <c r="V38" s="157"/>
      <c r="W38" s="157"/>
      <c r="X38" s="157"/>
      <c r="Y38" s="157"/>
      <c r="Z38" s="157"/>
      <c r="AA38" s="157"/>
      <c r="AB38" s="157"/>
      <c r="AC38" s="157"/>
      <c r="AD38" s="157"/>
      <c r="AE38" s="157"/>
      <c r="AF38" s="157"/>
      <c r="AG38" s="157"/>
      <c r="AH38" s="157"/>
      <c r="AI38" s="157"/>
      <c r="AJ38" s="157"/>
      <c r="AK38" s="157"/>
      <c r="AL38" s="157"/>
      <c r="AM38" s="157" t="s">
        <v>306</v>
      </c>
      <c r="AS38" s="50">
        <v>14</v>
      </c>
    </row>
    <row r="39" ht="14.65" customHeight="1">
      <c r="Q39" s="548"/>
      <c r="R39" s="548"/>
      <c r="S39" s="493" t="s">
        <v>89</v>
      </c>
      <c r="T39" s="358" t="s">
        <v>430</v>
      </c>
      <c r="U39" s="558"/>
      <c r="V39" s="559" t="s">
        <v>431</v>
      </c>
      <c r="W39" s="560"/>
      <c r="X39" s="593"/>
      <c r="Y39" s="593"/>
      <c r="Z39" s="560"/>
      <c r="AA39" s="560"/>
      <c r="AB39" s="561"/>
      <c r="AC39" s="562" t="s">
        <v>432</v>
      </c>
      <c r="AD39" s="559" t="s">
        <v>431</v>
      </c>
      <c r="AE39" s="560"/>
      <c r="AF39" s="593"/>
      <c r="AG39" s="593"/>
      <c r="AH39" s="560"/>
      <c r="AI39" s="560"/>
      <c r="AJ39" s="561"/>
      <c r="AK39" s="562" t="s">
        <v>433</v>
      </c>
      <c r="AL39" s="563" t="s">
        <v>434</v>
      </c>
      <c r="AM39" s="157"/>
      <c r="AS39" s="50">
        <v>14</v>
      </c>
    </row>
    <row r="40" ht="24" customHeight="1">
      <c r="Q40" s="548"/>
      <c r="R40" s="548"/>
      <c r="S40" s="493"/>
      <c r="T40" s="358"/>
      <c r="U40" s="564"/>
      <c r="V40" s="594" t="s">
        <v>435</v>
      </c>
      <c r="W40" s="317" t="s">
        <v>436</v>
      </c>
      <c r="X40" s="361" t="s">
        <v>437</v>
      </c>
      <c r="Y40" s="361"/>
      <c r="Z40" s="145" t="s">
        <v>438</v>
      </c>
      <c r="AA40" s="145"/>
      <c r="AB40" s="72"/>
      <c r="AC40" s="566"/>
      <c r="AD40" s="594" t="s">
        <v>435</v>
      </c>
      <c r="AE40" s="317" t="s">
        <v>436</v>
      </c>
      <c r="AF40" s="361" t="s">
        <v>437</v>
      </c>
      <c r="AG40" s="361"/>
      <c r="AH40" s="145" t="s">
        <v>438</v>
      </c>
      <c r="AI40" s="145"/>
      <c r="AJ40" s="72"/>
      <c r="AK40" s="566"/>
      <c r="AL40" s="567"/>
      <c r="AM40" s="157"/>
      <c r="AS40" s="50">
        <v>23</v>
      </c>
    </row>
    <row r="41" s="106" customFormat="1" ht="24" customHeight="1">
      <c r="A41" s="151"/>
      <c r="B41" s="151" t="s">
        <v>135</v>
      </c>
      <c r="C41" s="151" t="s">
        <v>136</v>
      </c>
      <c r="D41" s="151" t="s">
        <v>137</v>
      </c>
      <c r="E41" s="490" t="s">
        <v>439</v>
      </c>
      <c r="F41" s="490" t="s">
        <v>440</v>
      </c>
      <c r="G41" s="490" t="s">
        <v>441</v>
      </c>
      <c r="H41" s="490" t="s">
        <v>442</v>
      </c>
      <c r="I41" s="490" t="s">
        <v>443</v>
      </c>
      <c r="J41" s="490" t="s">
        <v>444</v>
      </c>
      <c r="K41" s="490" t="s">
        <v>445</v>
      </c>
      <c r="L41" s="490" t="s">
        <v>420</v>
      </c>
      <c r="M41" s="61"/>
      <c r="N41" s="61"/>
      <c r="O41" s="61"/>
      <c r="P41" s="60"/>
      <c r="Q41" s="548"/>
      <c r="R41" s="548"/>
      <c r="S41" s="493"/>
      <c r="T41" s="358"/>
      <c r="U41" s="568"/>
      <c r="V41" s="163"/>
      <c r="W41" s="323"/>
      <c r="X41" s="158" t="s">
        <v>446</v>
      </c>
      <c r="Y41" s="158" t="s">
        <v>447</v>
      </c>
      <c r="Z41" s="426" t="s">
        <v>448</v>
      </c>
      <c r="AA41" s="424" t="s">
        <v>449</v>
      </c>
      <c r="AB41" s="426"/>
      <c r="AC41" s="570"/>
      <c r="AD41" s="163"/>
      <c r="AE41" s="323"/>
      <c r="AF41" s="158" t="s">
        <v>446</v>
      </c>
      <c r="AG41" s="158" t="s">
        <v>447</v>
      </c>
      <c r="AH41" s="426" t="s">
        <v>448</v>
      </c>
      <c r="AI41" s="424" t="s">
        <v>449</v>
      </c>
      <c r="AJ41" s="426"/>
      <c r="AK41" s="570"/>
      <c r="AL41" s="571"/>
      <c r="AM41" s="157"/>
      <c r="AN41" s="57"/>
      <c r="AO41" s="129"/>
      <c r="AP41" s="129"/>
      <c r="AQ41" s="129"/>
      <c r="AR41" s="129"/>
      <c r="AS41" s="106">
        <v>23</v>
      </c>
    </row>
    <row r="42" s="131" customFormat="1" ht="11.25" hidden="1" customHeight="1">
      <c r="A42" s="151"/>
      <c r="B42" s="151"/>
      <c r="C42" s="151"/>
      <c r="D42" s="151"/>
      <c r="E42" s="151"/>
      <c r="F42" s="151"/>
      <c r="G42" s="151"/>
      <c r="H42" s="151"/>
      <c r="I42" s="151"/>
      <c r="J42" s="151"/>
      <c r="K42" s="151"/>
      <c r="L42" s="490"/>
      <c r="M42" s="61"/>
      <c r="N42" s="61"/>
      <c r="O42" s="61"/>
      <c r="P42" s="572"/>
      <c r="Q42" s="573"/>
      <c r="R42" s="574">
        <v>1</v>
      </c>
      <c r="S42" s="575" t="s">
        <v>109</v>
      </c>
      <c r="T42" s="576" t="s">
        <v>110</v>
      </c>
      <c r="U42" s="577" t="str">
        <f ca="1">OFFSET(U42,0,-1)</f>
        <v>2</v>
      </c>
      <c r="V42" s="578">
        <f ca="1">OFFSET(V42,0,-1)+1</f>
        <v>3</v>
      </c>
      <c r="W42" s="578"/>
      <c r="X42" s="435">
        <f ca="1">OFFSET(X42,0,-1)+1</f>
        <v>1</v>
      </c>
      <c r="Y42" s="435">
        <f ca="1">OFFSET(Y42,0,-1)+1</f>
        <v>2</v>
      </c>
      <c r="Z42" s="578">
        <f ca="1">OFFSET(Z42,0,-1)+1</f>
        <v>3</v>
      </c>
      <c r="AA42" s="578">
        <f ca="1">OFFSET(AA42,0,-1)+1</f>
        <v>4</v>
      </c>
      <c r="AB42" s="578"/>
      <c r="AC42" s="578">
        <f ca="1">OFFSET(AC42,0,-2)+1</f>
        <v>5</v>
      </c>
      <c r="AD42" s="578">
        <f ca="1">OFFSET(AD42,0,-1)+1</f>
        <v>6</v>
      </c>
      <c r="AE42" s="578"/>
      <c r="AF42" s="435">
        <f ca="1">OFFSET(AF42,0,-1)+1</f>
        <v>1</v>
      </c>
      <c r="AG42" s="435">
        <f ca="1">OFFSET(AG42,0,-1)+1</f>
        <v>2</v>
      </c>
      <c r="AH42" s="578">
        <f ca="1">OFFSET(AH42,0,-1)+1</f>
        <v>3</v>
      </c>
      <c r="AI42" s="578">
        <f ca="1">OFFSET(AI42,0,-1)+1</f>
        <v>4</v>
      </c>
      <c r="AJ42" s="578"/>
      <c r="AK42" s="578">
        <f ca="1">OFFSET(AK42,0,-2)+1</f>
        <v>5</v>
      </c>
      <c r="AL42" s="577">
        <f ca="1">OFFSET(AL42,0,-1)</f>
        <v>5</v>
      </c>
      <c r="AM42" s="578">
        <f ca="1">OFFSET(AM42,0,-1)+1</f>
        <v>6</v>
      </c>
      <c r="AN42" s="57"/>
      <c r="AO42" s="57"/>
      <c r="AP42" s="57"/>
      <c r="AQ42" s="57"/>
      <c r="AR42" s="57"/>
      <c r="AS42" s="131">
        <v>0</v>
      </c>
    </row>
    <row r="43" ht="22" customHeight="1">
      <c r="A43" s="488" t="s">
        <v>192</v>
      </c>
      <c r="B43" s="488"/>
      <c r="C43" s="488"/>
      <c r="D43" s="488"/>
      <c r="E43" s="489">
        <v>1</v>
      </c>
      <c r="F43" s="488"/>
      <c r="G43" s="488"/>
      <c r="H43" s="488"/>
      <c r="I43" s="488"/>
      <c r="J43" s="488"/>
      <c r="K43" s="488"/>
      <c r="L43" s="490"/>
      <c r="M43" s="491"/>
      <c r="N43" s="491"/>
      <c r="O43" s="491"/>
      <c r="P43" s="60"/>
      <c r="Q43" s="143"/>
      <c r="R43" s="492"/>
      <c r="S43" s="493">
        <f>INDEX(PT_DIFFERENTIATION_NUM_NTAR,MATCH(A43,PT_DIFFERENTIATION_NTAR_ID,0))</f>
        <v>0</v>
      </c>
      <c r="T43" s="494" t="s">
        <v>123</v>
      </c>
      <c r="U43" s="495"/>
      <c r="V43" s="496"/>
      <c r="W43" s="497"/>
      <c r="X43" s="497"/>
      <c r="Y43" s="497"/>
      <c r="Z43" s="497"/>
      <c r="AA43" s="497"/>
      <c r="AB43" s="497"/>
      <c r="AC43" s="498"/>
      <c r="AD43" s="496" t="str">
        <f>INDEX(PT_DIFFERENTIATION_NTAR,MATCH(A43,PT_DIFFERENTIATION_NTAR_ID,0))</f>
        <v/>
      </c>
      <c r="AE43" s="497"/>
      <c r="AF43" s="497"/>
      <c r="AG43" s="497"/>
      <c r="AH43" s="497"/>
      <c r="AI43" s="497"/>
      <c r="AJ43" s="497"/>
      <c r="AK43" s="497"/>
      <c r="AL43" s="498"/>
      <c r="AM43" s="49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29"/>
      <c r="AP43" s="129" t="str">
        <f t="shared" si="11"/>
        <v xml:space="preserve">Наименование тарифа</v>
      </c>
      <c r="AQ43" s="129"/>
      <c r="AR43" s="129"/>
      <c r="AS43" s="50">
        <v>21</v>
      </c>
    </row>
    <row r="44" ht="22" customHeight="1">
      <c r="A44" s="488" t="s">
        <v>192</v>
      </c>
      <c r="B44" s="488" t="s">
        <v>193</v>
      </c>
      <c r="C44" s="488"/>
      <c r="D44" s="488"/>
      <c r="E44" s="500"/>
      <c r="F44" s="489">
        <v>1</v>
      </c>
      <c r="G44" s="488"/>
      <c r="H44" s="488"/>
      <c r="I44" s="488"/>
      <c r="J44" s="488"/>
      <c r="K44" s="488"/>
      <c r="L44" s="490"/>
      <c r="M44" s="491"/>
      <c r="N44" s="491"/>
      <c r="O44" s="491"/>
      <c r="P44" s="51"/>
      <c r="Q44" s="501"/>
      <c r="R44" s="502"/>
      <c r="S44" s="493" t="str">
        <f>INDEX(PT_DIFFERENTIATION_NUM_TER,MATCH(B44,PT_DIFFERENTIATION_TER_ID,0))</f>
        <v>.</v>
      </c>
      <c r="T44" s="503" t="s">
        <v>402</v>
      </c>
      <c r="U44" s="495"/>
      <c r="V44" s="496"/>
      <c r="W44" s="497"/>
      <c r="X44" s="497"/>
      <c r="Y44" s="497"/>
      <c r="Z44" s="497"/>
      <c r="AA44" s="497"/>
      <c r="AB44" s="497"/>
      <c r="AC44" s="498"/>
      <c r="AD44" s="496" t="str">
        <f>INDEX(PT_DIFFERENTIATION_TER,MATCH(B44,PT_DIFFERENTIATION_TER_ID,0))</f>
        <v/>
      </c>
      <c r="AE44" s="497"/>
      <c r="AF44" s="497"/>
      <c r="AG44" s="497"/>
      <c r="AH44" s="497"/>
      <c r="AI44" s="497"/>
      <c r="AJ44" s="497"/>
      <c r="AK44" s="497"/>
      <c r="AL44" s="498"/>
      <c r="AM44" s="499" t="s">
        <v>403</v>
      </c>
      <c r="AO44" s="129"/>
      <c r="AP44" s="129" t="str">
        <f t="shared" si="11"/>
        <v xml:space="preserve">Территория действия тарифа</v>
      </c>
      <c r="AQ44" s="129"/>
      <c r="AR44" s="129"/>
      <c r="AS44" s="50">
        <v>21</v>
      </c>
    </row>
    <row r="45" ht="24" customHeight="1">
      <c r="A45" s="488" t="s">
        <v>192</v>
      </c>
      <c r="B45" s="488" t="s">
        <v>193</v>
      </c>
      <c r="C45" s="488" t="s">
        <v>194</v>
      </c>
      <c r="D45" s="488"/>
      <c r="E45" s="500"/>
      <c r="F45" s="500"/>
      <c r="G45" s="489">
        <v>1</v>
      </c>
      <c r="H45" s="488"/>
      <c r="I45" s="488"/>
      <c r="J45" s="488"/>
      <c r="K45" s="488"/>
      <c r="L45" s="490"/>
      <c r="M45" s="491"/>
      <c r="N45" s="491"/>
      <c r="O45" s="491"/>
      <c r="P45" s="504"/>
      <c r="Q45" s="501"/>
      <c r="R45" s="502"/>
      <c r="S45" s="493" t="str">
        <f>INDEX(PT_DIFFERENTIATION_NUM_CS,MATCH(C45,PT_DIFFERENTIATION_CS_ID,0))</f>
        <v>..</v>
      </c>
      <c r="T45" s="505" t="s">
        <v>404</v>
      </c>
      <c r="U45" s="495"/>
      <c r="V45" s="496"/>
      <c r="W45" s="497"/>
      <c r="X45" s="497"/>
      <c r="Y45" s="497"/>
      <c r="Z45" s="497"/>
      <c r="AA45" s="497"/>
      <c r="AB45" s="497"/>
      <c r="AC45" s="498"/>
      <c r="AD45" s="496" t="str">
        <f>INDEX(PT_DIFFERENTIATION_CS,MATCH(C45,PT_DIFFERENTIATION_CS_ID,0))</f>
        <v/>
      </c>
      <c r="AE45" s="497"/>
      <c r="AF45" s="497"/>
      <c r="AG45" s="497"/>
      <c r="AH45" s="497"/>
      <c r="AI45" s="497"/>
      <c r="AJ45" s="497"/>
      <c r="AK45" s="497"/>
      <c r="AL45" s="498"/>
      <c r="AM45" s="499" t="s">
        <v>405</v>
      </c>
      <c r="AO45" s="129"/>
      <c r="AP45" s="129" t="str">
        <f t="shared" si="11"/>
        <v xml:space="preserve">Наименование системы теплоснабжения </v>
      </c>
      <c r="AQ45" s="129"/>
      <c r="AR45" s="129"/>
      <c r="AS45" s="50">
        <v>23</v>
      </c>
    </row>
    <row r="46" ht="22" customHeight="1">
      <c r="A46" s="488" t="s">
        <v>192</v>
      </c>
      <c r="B46" s="488" t="s">
        <v>193</v>
      </c>
      <c r="C46" s="488" t="s">
        <v>194</v>
      </c>
      <c r="D46" s="488" t="s">
        <v>195</v>
      </c>
      <c r="E46" s="500"/>
      <c r="F46" s="500"/>
      <c r="G46" s="500"/>
      <c r="H46" s="489">
        <v>1</v>
      </c>
      <c r="I46" s="488"/>
      <c r="J46" s="488"/>
      <c r="K46" s="488"/>
      <c r="L46" s="490"/>
      <c r="M46" s="491"/>
      <c r="N46" s="491"/>
      <c r="O46" s="491"/>
      <c r="P46" s="504"/>
      <c r="Q46" s="501"/>
      <c r="R46" s="502"/>
      <c r="S46" s="493" t="str">
        <f>INDEX(PT_DIFFERENTIATION_NUM_IST_TE,MATCH(D46,PT_DIFFERENTIATION_IST_TE_ID,0))</f>
        <v>...</v>
      </c>
      <c r="T46" s="506" t="s">
        <v>406</v>
      </c>
      <c r="U46" s="495"/>
      <c r="V46" s="496"/>
      <c r="W46" s="497"/>
      <c r="X46" s="497"/>
      <c r="Y46" s="497"/>
      <c r="Z46" s="497"/>
      <c r="AA46" s="497"/>
      <c r="AB46" s="497"/>
      <c r="AC46" s="498"/>
      <c r="AD46" s="496" t="str">
        <f>INDEX(PT_DIFFERENTIATION_IST_TE,MATCH(D46,PT_DIFFERENTIATION_IST_TE_ID,0))</f>
        <v/>
      </c>
      <c r="AE46" s="497"/>
      <c r="AF46" s="497"/>
      <c r="AG46" s="497"/>
      <c r="AH46" s="497"/>
      <c r="AI46" s="497"/>
      <c r="AJ46" s="497"/>
      <c r="AK46" s="497"/>
      <c r="AL46" s="498"/>
      <c r="AM46" s="499" t="s">
        <v>407</v>
      </c>
      <c r="AO46" s="129"/>
      <c r="AP46" s="129" t="str">
        <f t="shared" si="11"/>
        <v xml:space="preserve">Источник тепловой энергии  </v>
      </c>
      <c r="AQ46" s="129"/>
      <c r="AR46" s="129"/>
      <c r="AS46" s="50">
        <v>21</v>
      </c>
    </row>
    <row r="47" ht="49.5" customHeight="1">
      <c r="A47" s="488" t="s">
        <v>192</v>
      </c>
      <c r="B47" s="488" t="s">
        <v>193</v>
      </c>
      <c r="C47" s="488" t="s">
        <v>194</v>
      </c>
      <c r="D47" s="488" t="s">
        <v>195</v>
      </c>
      <c r="E47" s="500"/>
      <c r="F47" s="500"/>
      <c r="G47" s="500"/>
      <c r="H47" s="500"/>
      <c r="I47" s="507" t="str">
        <f>S46&amp;".1"</f>
        <v>....1</v>
      </c>
      <c r="J47" s="488"/>
      <c r="K47" s="488"/>
      <c r="L47" s="490" t="s">
        <v>408</v>
      </c>
      <c r="P47" s="132">
        <v>1</v>
      </c>
      <c r="Q47" s="132"/>
      <c r="R47" s="508"/>
      <c r="S47" s="493" t="str">
        <f>$I47</f>
        <v>....1</v>
      </c>
      <c r="T47" s="509" t="s">
        <v>409</v>
      </c>
      <c r="U47" s="495"/>
      <c r="V47" s="440"/>
      <c r="W47" s="510"/>
      <c r="X47" s="510"/>
      <c r="Y47" s="510"/>
      <c r="Z47" s="510"/>
      <c r="AA47" s="510"/>
      <c r="AB47" s="510"/>
      <c r="AC47" s="511"/>
      <c r="AD47" s="440"/>
      <c r="AE47" s="510"/>
      <c r="AF47" s="510"/>
      <c r="AG47" s="510"/>
      <c r="AH47" s="510"/>
      <c r="AI47" s="510"/>
      <c r="AJ47" s="510"/>
      <c r="AK47" s="510"/>
      <c r="AL47" s="511"/>
      <c r="AM47" s="499" t="s">
        <v>410</v>
      </c>
      <c r="AO47" s="129"/>
      <c r="AP47" s="129" t="str">
        <f t="shared" si="11"/>
        <v xml:space="preserve">Схема подключения теплопотребляющей установки к коллектору источника тепловой энергии</v>
      </c>
      <c r="AQ47" s="129"/>
      <c r="AR47" s="129"/>
      <c r="AS47" s="50">
        <v>47</v>
      </c>
    </row>
    <row r="48" ht="22" customHeight="1">
      <c r="A48" s="488" t="s">
        <v>192</v>
      </c>
      <c r="B48" s="488" t="s">
        <v>193</v>
      </c>
      <c r="C48" s="488" t="s">
        <v>194</v>
      </c>
      <c r="D48" s="488" t="s">
        <v>195</v>
      </c>
      <c r="E48" s="500"/>
      <c r="F48" s="500"/>
      <c r="G48" s="500"/>
      <c r="H48" s="500"/>
      <c r="I48" s="512"/>
      <c r="J48" s="507" t="str">
        <f>I47&amp;".1"</f>
        <v>....1.1</v>
      </c>
      <c r="K48" s="488"/>
      <c r="L48" s="490" t="s">
        <v>411</v>
      </c>
      <c r="P48" s="132"/>
      <c r="Q48" s="132">
        <v>1</v>
      </c>
      <c r="R48" s="513"/>
      <c r="S48" s="493" t="str">
        <f>$J48</f>
        <v>....1.1</v>
      </c>
      <c r="T48" s="514" t="s">
        <v>412</v>
      </c>
      <c r="U48" s="495"/>
      <c r="V48" s="440"/>
      <c r="W48" s="510"/>
      <c r="X48" s="510"/>
      <c r="Y48" s="510"/>
      <c r="Z48" s="510"/>
      <c r="AA48" s="510"/>
      <c r="AB48" s="510"/>
      <c r="AC48" s="511"/>
      <c r="AD48" s="440"/>
      <c r="AE48" s="510"/>
      <c r="AF48" s="510"/>
      <c r="AG48" s="510"/>
      <c r="AH48" s="510"/>
      <c r="AI48" s="510"/>
      <c r="AJ48" s="510"/>
      <c r="AK48" s="510"/>
      <c r="AL48" s="511"/>
      <c r="AM48" s="499" t="s">
        <v>413</v>
      </c>
      <c r="AO48" s="129"/>
      <c r="AP48" s="129" t="str">
        <f t="shared" si="11"/>
        <v xml:space="preserve">Группа потребителей</v>
      </c>
      <c r="AQ48" s="129"/>
      <c r="AR48" s="129"/>
      <c r="AS48" s="50">
        <v>21</v>
      </c>
    </row>
    <row r="49" ht="22" customHeight="1">
      <c r="A49" s="488" t="s">
        <v>192</v>
      </c>
      <c r="B49" s="488" t="s">
        <v>193</v>
      </c>
      <c r="C49" s="488" t="s">
        <v>194</v>
      </c>
      <c r="D49" s="488" t="s">
        <v>195</v>
      </c>
      <c r="E49" s="500"/>
      <c r="F49" s="500"/>
      <c r="G49" s="500"/>
      <c r="H49" s="500"/>
      <c r="I49" s="512"/>
      <c r="J49" s="512"/>
      <c r="K49" s="507" t="str">
        <f>J48&amp;".1"</f>
        <v>....1.1.1</v>
      </c>
      <c r="L49" s="490" t="s">
        <v>414</v>
      </c>
      <c r="P49" s="132"/>
      <c r="Q49" s="132"/>
      <c r="R49" s="513">
        <v>1</v>
      </c>
      <c r="S49" s="493" t="str">
        <f>$K49</f>
        <v>....1.1.1</v>
      </c>
      <c r="T49" s="515"/>
      <c r="U49" s="495"/>
      <c r="V49" s="517"/>
      <c r="W49" s="516"/>
      <c r="X49" s="517"/>
      <c r="Y49" s="592"/>
      <c r="Z49" s="519"/>
      <c r="AA49" s="224" t="s">
        <v>67</v>
      </c>
      <c r="AB49" s="519"/>
      <c r="AC49" s="224" t="s">
        <v>67</v>
      </c>
      <c r="AD49" s="517"/>
      <c r="AE49" s="516"/>
      <c r="AF49" s="517"/>
      <c r="AG49" s="592"/>
      <c r="AH49" s="519"/>
      <c r="AI49" s="224" t="s">
        <v>67</v>
      </c>
      <c r="AJ49" s="579"/>
      <c r="AK49" s="224" t="s">
        <v>67</v>
      </c>
      <c r="AL49" s="580"/>
      <c r="AM49" s="520" t="s">
        <v>415</v>
      </c>
      <c r="AN49" s="57" t="e">
        <f>STRCHECKDATE(V50:AL50)</f>
        <v>#NAME?</v>
      </c>
      <c r="AO49" s="129"/>
      <c r="AP49" s="129" t="str">
        <f t="shared" si="11"/>
        <v/>
      </c>
      <c r="AQ49" s="129"/>
      <c r="AR49" s="129"/>
      <c r="AS49" s="50">
        <v>21</v>
      </c>
    </row>
    <row r="50" ht="1.05" customHeight="1">
      <c r="A50" s="488" t="s">
        <v>192</v>
      </c>
      <c r="B50" s="488" t="s">
        <v>193</v>
      </c>
      <c r="C50" s="488" t="s">
        <v>194</v>
      </c>
      <c r="D50" s="488" t="s">
        <v>195</v>
      </c>
      <c r="E50" s="500"/>
      <c r="F50" s="500"/>
      <c r="G50" s="500"/>
      <c r="H50" s="500"/>
      <c r="I50" s="512"/>
      <c r="J50" s="512"/>
      <c r="K50" s="507"/>
      <c r="L50" s="490"/>
      <c r="P50" s="132"/>
      <c r="Q50" s="132"/>
      <c r="R50" s="513"/>
      <c r="S50" s="467"/>
      <c r="T50" s="495"/>
      <c r="U50" s="495"/>
      <c r="V50" s="517"/>
      <c r="W50" s="517"/>
      <c r="X50" s="517"/>
      <c r="Y50" s="521" t="str">
        <f>Z49&amp;"-"&amp;AB49</f>
        <v>-</v>
      </c>
      <c r="Z50" s="522"/>
      <c r="AA50" s="224"/>
      <c r="AB50" s="522"/>
      <c r="AC50" s="224"/>
      <c r="AD50" s="517"/>
      <c r="AE50" s="517"/>
      <c r="AF50" s="517"/>
      <c r="AG50" s="521" t="str">
        <f>AH49&amp;"-"&amp;AJ49</f>
        <v>-</v>
      </c>
      <c r="AH50" s="522"/>
      <c r="AI50" s="224"/>
      <c r="AJ50" s="581"/>
      <c r="AK50" s="224"/>
      <c r="AL50" s="582"/>
      <c r="AM50" s="523"/>
      <c r="AO50" s="129"/>
      <c r="AP50" s="129" t="str">
        <f t="shared" si="11"/>
        <v/>
      </c>
      <c r="AQ50" s="129"/>
      <c r="AR50" s="129"/>
      <c r="AS50" s="50">
        <v>1</v>
      </c>
    </row>
    <row r="51" ht="11.5" customHeight="1">
      <c r="A51" s="488" t="s">
        <v>192</v>
      </c>
      <c r="B51" s="488" t="s">
        <v>193</v>
      </c>
      <c r="C51" s="488" t="s">
        <v>194</v>
      </c>
      <c r="D51" s="488" t="s">
        <v>195</v>
      </c>
      <c r="E51" s="500"/>
      <c r="F51" s="500"/>
      <c r="G51" s="500"/>
      <c r="H51" s="500"/>
      <c r="I51" s="512"/>
      <c r="J51" s="507"/>
      <c r="K51" s="488"/>
      <c r="L51" s="490"/>
      <c r="P51" s="132"/>
      <c r="Q51" s="132"/>
      <c r="R51" s="508"/>
      <c r="S51" s="524"/>
      <c r="T51" s="525" t="s">
        <v>416</v>
      </c>
      <c r="U51" s="214"/>
      <c r="V51" s="214"/>
      <c r="W51" s="214"/>
      <c r="X51" s="214"/>
      <c r="Y51" s="214"/>
      <c r="Z51" s="214"/>
      <c r="AA51" s="214"/>
      <c r="AB51" s="214"/>
      <c r="AC51" s="214"/>
      <c r="AD51" s="214"/>
      <c r="AE51" s="214"/>
      <c r="AF51" s="214"/>
      <c r="AG51" s="214"/>
      <c r="AH51" s="214"/>
      <c r="AI51" s="214"/>
      <c r="AJ51" s="214"/>
      <c r="AK51" s="214"/>
      <c r="AL51" s="526"/>
      <c r="AM51" s="527"/>
      <c r="AO51" s="129"/>
      <c r="AP51" s="129" t="str">
        <f t="shared" si="11"/>
        <v xml:space="preserve">Добавить вид теплоносителя (параметры теплоносителя)</v>
      </c>
      <c r="AQ51" s="129"/>
      <c r="AR51" s="129"/>
      <c r="AS51" s="50">
        <v>11</v>
      </c>
    </row>
    <row r="52" ht="11.5" customHeight="1">
      <c r="A52" s="488" t="s">
        <v>192</v>
      </c>
      <c r="B52" s="488" t="s">
        <v>193</v>
      </c>
      <c r="C52" s="488" t="s">
        <v>194</v>
      </c>
      <c r="D52" s="488" t="s">
        <v>195</v>
      </c>
      <c r="E52" s="500"/>
      <c r="F52" s="500"/>
      <c r="G52" s="500"/>
      <c r="H52" s="500"/>
      <c r="I52" s="507"/>
      <c r="J52" s="488"/>
      <c r="K52" s="488"/>
      <c r="L52" s="490"/>
      <c r="P52" s="132"/>
      <c r="Q52" s="132"/>
      <c r="R52" s="508"/>
      <c r="S52" s="524"/>
      <c r="T52" s="528" t="s">
        <v>417</v>
      </c>
      <c r="U52" s="214"/>
      <c r="V52" s="214"/>
      <c r="W52" s="214"/>
      <c r="X52" s="214"/>
      <c r="Y52" s="214"/>
      <c r="Z52" s="214"/>
      <c r="AA52" s="214"/>
      <c r="AB52" s="214"/>
      <c r="AC52" s="529"/>
      <c r="AD52" s="214"/>
      <c r="AE52" s="214"/>
      <c r="AF52" s="214"/>
      <c r="AG52" s="214"/>
      <c r="AH52" s="214"/>
      <c r="AI52" s="214"/>
      <c r="AJ52" s="214"/>
      <c r="AK52" s="529"/>
      <c r="AL52" s="214"/>
      <c r="AM52" s="530"/>
      <c r="AO52" s="129"/>
      <c r="AP52" s="129" t="str">
        <f t="shared" si="11"/>
        <v xml:space="preserve">Добавить группу потребителей</v>
      </c>
      <c r="AQ52" s="129"/>
      <c r="AR52" s="129"/>
      <c r="AS52" s="50">
        <v>11</v>
      </c>
    </row>
    <row r="53" ht="14.65" customHeight="1">
      <c r="A53" s="488" t="s">
        <v>192</v>
      </c>
      <c r="B53" s="488" t="s">
        <v>193</v>
      </c>
      <c r="C53" s="488" t="s">
        <v>194</v>
      </c>
      <c r="D53" s="488" t="s">
        <v>195</v>
      </c>
      <c r="E53" s="500"/>
      <c r="F53" s="500"/>
      <c r="G53" s="500"/>
      <c r="H53" s="489"/>
      <c r="I53" s="488"/>
      <c r="J53" s="488"/>
      <c r="K53" s="488"/>
      <c r="L53" s="490"/>
      <c r="M53" s="491"/>
      <c r="N53" s="491"/>
      <c r="O53" s="53"/>
      <c r="P53" s="143"/>
      <c r="Q53" s="531"/>
      <c r="R53" s="492"/>
      <c r="S53" s="524"/>
      <c r="T53" s="532" t="s">
        <v>418</v>
      </c>
      <c r="U53" s="214"/>
      <c r="V53" s="214"/>
      <c r="W53" s="214"/>
      <c r="X53" s="214"/>
      <c r="Y53" s="214"/>
      <c r="Z53" s="214"/>
      <c r="AA53" s="214"/>
      <c r="AB53" s="214"/>
      <c r="AC53" s="529"/>
      <c r="AD53" s="214"/>
      <c r="AE53" s="214"/>
      <c r="AF53" s="214"/>
      <c r="AG53" s="214"/>
      <c r="AH53" s="214"/>
      <c r="AI53" s="214"/>
      <c r="AJ53" s="214"/>
      <c r="AK53" s="529"/>
      <c r="AL53" s="214"/>
      <c r="AM53" s="530"/>
      <c r="AO53" s="129"/>
      <c r="AP53" s="129" t="str">
        <f t="shared" si="11"/>
        <v xml:space="preserve">Добавить схему подключения</v>
      </c>
      <c r="AQ53" s="129"/>
      <c r="AR53" s="129"/>
      <c r="AS53" s="50">
        <v>14</v>
      </c>
    </row>
    <row r="54" s="57" customFormat="1" ht="1.05" customHeight="1">
      <c r="A54" s="133" t="s">
        <v>192</v>
      </c>
      <c r="B54" s="133" t="s">
        <v>193</v>
      </c>
      <c r="C54" s="133" t="s">
        <v>194</v>
      </c>
      <c r="D54" s="133"/>
      <c r="E54" s="500"/>
      <c r="F54" s="500"/>
      <c r="G54" s="489"/>
      <c r="H54" s="133"/>
      <c r="I54" s="133"/>
      <c r="J54" s="133"/>
      <c r="K54" s="133"/>
      <c r="L54" s="212"/>
      <c r="M54" s="473"/>
      <c r="N54" s="473"/>
      <c r="P54" s="167"/>
      <c r="Q54" s="533"/>
      <c r="R54" s="167"/>
      <c r="S54" s="538"/>
      <c r="T54" s="541" t="s">
        <v>211</v>
      </c>
      <c r="U54" s="540"/>
      <c r="V54" s="540"/>
      <c r="W54" s="540"/>
      <c r="X54" s="540"/>
      <c r="Y54" s="540"/>
      <c r="Z54" s="540"/>
      <c r="AA54" s="540"/>
      <c r="AB54" s="540"/>
      <c r="AC54" s="540"/>
      <c r="AD54" s="540"/>
      <c r="AE54" s="540"/>
      <c r="AF54" s="540"/>
      <c r="AG54" s="540"/>
      <c r="AH54" s="540"/>
      <c r="AI54" s="540"/>
      <c r="AJ54" s="540"/>
      <c r="AK54" s="540"/>
      <c r="AL54" s="540"/>
      <c r="AM54" s="540"/>
      <c r="AO54" s="129"/>
      <c r="AP54" s="129" t="str">
        <f t="shared" si="11"/>
        <v xml:space="preserve">Добавить источник для дифференциации</v>
      </c>
      <c r="AQ54" s="129"/>
      <c r="AR54" s="129"/>
      <c r="AS54" s="57">
        <v>1</v>
      </c>
    </row>
    <row r="55" s="57" customFormat="1" ht="1.05" customHeight="1">
      <c r="A55" s="133" t="s">
        <v>192</v>
      </c>
      <c r="B55" s="133" t="s">
        <v>193</v>
      </c>
      <c r="C55" s="133"/>
      <c r="D55" s="133"/>
      <c r="E55" s="500"/>
      <c r="F55" s="489"/>
      <c r="G55" s="133"/>
      <c r="H55" s="133"/>
      <c r="I55" s="133"/>
      <c r="J55" s="133"/>
      <c r="K55" s="133"/>
      <c r="L55" s="212"/>
      <c r="M55" s="537"/>
      <c r="N55" s="537"/>
      <c r="P55" s="167"/>
      <c r="Q55" s="533"/>
      <c r="R55" s="167"/>
      <c r="S55" s="538"/>
      <c r="T55" s="541" t="s">
        <v>212</v>
      </c>
      <c r="U55" s="540"/>
      <c r="V55" s="540"/>
      <c r="W55" s="540"/>
      <c r="X55" s="540"/>
      <c r="Y55" s="540"/>
      <c r="Z55" s="540"/>
      <c r="AA55" s="540"/>
      <c r="AB55" s="540"/>
      <c r="AC55" s="540"/>
      <c r="AD55" s="540"/>
      <c r="AE55" s="540"/>
      <c r="AF55" s="540"/>
      <c r="AG55" s="540"/>
      <c r="AH55" s="540"/>
      <c r="AI55" s="540"/>
      <c r="AJ55" s="540"/>
      <c r="AK55" s="540"/>
      <c r="AL55" s="540"/>
      <c r="AM55" s="540"/>
      <c r="AO55" s="129"/>
      <c r="AP55" s="129" t="str">
        <f t="shared" si="11"/>
        <v xml:space="preserve">Добавить централизованную систему для дифференциации</v>
      </c>
      <c r="AQ55" s="129"/>
      <c r="AR55" s="129"/>
      <c r="AS55" s="57">
        <v>1</v>
      </c>
    </row>
    <row r="56" s="57" customFormat="1" ht="1.05" customHeight="1">
      <c r="A56" s="133" t="s">
        <v>192</v>
      </c>
      <c r="B56" s="133"/>
      <c r="C56" s="133"/>
      <c r="D56" s="133"/>
      <c r="E56" s="489"/>
      <c r="F56" s="133"/>
      <c r="G56" s="133"/>
      <c r="H56" s="133"/>
      <c r="I56" s="133"/>
      <c r="J56" s="133"/>
      <c r="K56" s="133"/>
      <c r="L56" s="212"/>
      <c r="M56" s="537"/>
      <c r="N56" s="537"/>
      <c r="O56" s="57"/>
      <c r="P56" s="167"/>
      <c r="Q56" s="533"/>
      <c r="R56" s="167"/>
      <c r="S56" s="538"/>
      <c r="T56" s="541" t="s">
        <v>213</v>
      </c>
      <c r="U56" s="540"/>
      <c r="V56" s="540"/>
      <c r="W56" s="540"/>
      <c r="X56" s="540"/>
      <c r="Y56" s="540"/>
      <c r="Z56" s="540"/>
      <c r="AA56" s="540"/>
      <c r="AB56" s="540"/>
      <c r="AC56" s="540"/>
      <c r="AD56" s="540"/>
      <c r="AE56" s="540"/>
      <c r="AF56" s="540"/>
      <c r="AG56" s="540"/>
      <c r="AH56" s="540"/>
      <c r="AI56" s="540"/>
      <c r="AJ56" s="540"/>
      <c r="AK56" s="540"/>
      <c r="AL56" s="540"/>
      <c r="AM56" s="540"/>
      <c r="AO56" s="129"/>
      <c r="AP56" s="129" t="str">
        <f t="shared" si="11"/>
        <v xml:space="preserve">Добавить территорию для дифференциации</v>
      </c>
      <c r="AQ56" s="129"/>
      <c r="AR56" s="129"/>
      <c r="AS56" s="57">
        <v>1</v>
      </c>
    </row>
    <row r="57" s="57" customFormat="1" ht="1.05" customHeight="1">
      <c r="A57" s="133"/>
      <c r="B57" s="133"/>
      <c r="C57" s="133"/>
      <c r="D57" s="133"/>
      <c r="E57" s="133"/>
      <c r="F57" s="133"/>
      <c r="G57" s="133"/>
      <c r="H57" s="133"/>
      <c r="I57" s="133"/>
      <c r="J57" s="133"/>
      <c r="K57" s="133"/>
      <c r="L57" s="212"/>
      <c r="M57" s="537"/>
      <c r="N57" s="537"/>
      <c r="P57" s="167"/>
      <c r="Q57" s="533"/>
      <c r="R57" s="167"/>
      <c r="S57" s="538"/>
      <c r="T57" s="541" t="s">
        <v>214</v>
      </c>
      <c r="U57" s="540"/>
      <c r="V57" s="540"/>
      <c r="W57" s="540"/>
      <c r="X57" s="540"/>
      <c r="Y57" s="540"/>
      <c r="Z57" s="540"/>
      <c r="AA57" s="540"/>
      <c r="AB57" s="540"/>
      <c r="AC57" s="540"/>
      <c r="AD57" s="540"/>
      <c r="AE57" s="540"/>
      <c r="AF57" s="540"/>
      <c r="AG57" s="540"/>
      <c r="AH57" s="540"/>
      <c r="AI57" s="540"/>
      <c r="AJ57" s="540"/>
      <c r="AK57" s="540"/>
      <c r="AL57" s="540"/>
      <c r="AM57" s="540"/>
      <c r="AO57" s="129"/>
      <c r="AP57" s="129" t="str">
        <f t="shared" si="11"/>
        <v xml:space="preserve">Добавить наименование тарифа</v>
      </c>
      <c r="AQ57" s="129"/>
      <c r="AR57" s="129"/>
      <c r="AS57" s="57">
        <v>1</v>
      </c>
    </row>
    <row r="58" ht="11.5" customHeight="1">
      <c r="M58" s="53"/>
      <c r="N58" s="53"/>
      <c r="O58" s="53"/>
      <c r="P58" s="50"/>
      <c r="Q58" s="50"/>
      <c r="R58" s="50"/>
      <c r="S58" s="50"/>
      <c r="AN58" s="50"/>
      <c r="AO58" s="50"/>
      <c r="AP58" s="50"/>
      <c r="AQ58" s="50"/>
      <c r="AR58" s="50"/>
      <c r="AS58" s="50">
        <v>11</v>
      </c>
    </row>
    <row r="59" ht="28.5" customHeight="1">
      <c r="O59" s="53"/>
      <c r="S59" s="485"/>
      <c r="T59" s="583"/>
      <c r="U59" s="583"/>
      <c r="V59" s="583"/>
      <c r="W59" s="583"/>
      <c r="X59" s="583"/>
      <c r="Y59" s="583"/>
      <c r="Z59" s="583"/>
      <c r="AA59" s="583"/>
      <c r="AB59" s="583"/>
      <c r="AC59" s="583"/>
      <c r="AD59" s="583"/>
      <c r="AE59" s="583"/>
      <c r="AF59" s="583"/>
      <c r="AG59" s="583"/>
      <c r="AH59" s="583"/>
      <c r="AI59" s="583"/>
      <c r="AJ59" s="583"/>
      <c r="AK59" s="583"/>
      <c r="AL59" s="583"/>
      <c r="AM59" s="583"/>
      <c r="AS59" s="50">
        <v>27</v>
      </c>
    </row>
    <row r="60" ht="78.75" customHeight="1">
      <c r="O60" s="53"/>
      <c r="T60" s="583"/>
      <c r="U60" s="583"/>
      <c r="V60" s="583"/>
      <c r="W60" s="583"/>
      <c r="X60" s="583"/>
      <c r="Y60" s="583"/>
      <c r="Z60" s="583"/>
      <c r="AA60" s="583"/>
      <c r="AB60" s="583"/>
      <c r="AC60" s="583"/>
      <c r="AD60" s="583"/>
      <c r="AE60" s="583"/>
      <c r="AF60" s="583"/>
      <c r="AG60" s="583"/>
      <c r="AH60" s="583"/>
      <c r="AI60" s="583"/>
      <c r="AJ60" s="583"/>
      <c r="AK60" s="583"/>
      <c r="AL60" s="583"/>
      <c r="AM60" s="583"/>
      <c r="AS60" s="50">
        <v>75</v>
      </c>
    </row>
    <row r="61" ht="14.65" customHeight="1">
      <c r="O61" s="53"/>
      <c r="AS61" s="50">
        <v>14</v>
      </c>
    </row>
    <row r="62" ht="18.75" customHeight="1">
      <c r="O62" s="53"/>
      <c r="S62" s="485"/>
      <c r="T62" s="583"/>
      <c r="U62" s="583"/>
      <c r="V62" s="583"/>
      <c r="W62" s="583"/>
      <c r="X62" s="583"/>
      <c r="Y62" s="583"/>
      <c r="Z62" s="583"/>
      <c r="AA62" s="583"/>
      <c r="AB62" s="583"/>
      <c r="AC62" s="583"/>
      <c r="AD62" s="583"/>
      <c r="AE62" s="583"/>
      <c r="AF62" s="583"/>
      <c r="AG62" s="583"/>
      <c r="AH62" s="583"/>
      <c r="AI62" s="583"/>
      <c r="AJ62" s="583"/>
      <c r="AK62" s="583"/>
      <c r="AL62" s="583"/>
      <c r="AM62" s="583"/>
      <c r="AS62" s="50">
        <v>18</v>
      </c>
    </row>
    <row r="63" ht="18.75" customHeight="1">
      <c r="O63" s="53"/>
      <c r="T63" s="583"/>
      <c r="U63" s="583"/>
      <c r="V63" s="583"/>
      <c r="W63" s="583"/>
      <c r="X63" s="583"/>
      <c r="Y63" s="583"/>
      <c r="Z63" s="583"/>
      <c r="AA63" s="583"/>
      <c r="AB63" s="583"/>
      <c r="AC63" s="583"/>
      <c r="AD63" s="583"/>
      <c r="AE63" s="583"/>
      <c r="AF63" s="583"/>
      <c r="AG63" s="583"/>
      <c r="AH63" s="583"/>
      <c r="AI63" s="583"/>
      <c r="AJ63" s="583"/>
      <c r="AK63" s="583"/>
      <c r="AL63" s="583"/>
      <c r="AM63" s="583"/>
      <c r="AS63" s="50">
        <v>18</v>
      </c>
    </row>
    <row r="64" ht="39.75" customHeight="1">
      <c r="O64" s="53"/>
      <c r="S64" s="485"/>
      <c r="T64" s="583"/>
      <c r="U64" s="583"/>
      <c r="V64" s="583"/>
      <c r="W64" s="583"/>
      <c r="X64" s="583"/>
      <c r="Y64" s="583"/>
      <c r="Z64" s="583"/>
      <c r="AA64" s="583"/>
      <c r="AB64" s="583"/>
      <c r="AC64" s="583"/>
      <c r="AD64" s="583"/>
      <c r="AE64" s="583"/>
      <c r="AF64" s="583"/>
      <c r="AG64" s="583"/>
      <c r="AH64" s="583"/>
      <c r="AI64" s="583"/>
      <c r="AJ64" s="583"/>
      <c r="AK64" s="583"/>
      <c r="AL64" s="583"/>
      <c r="AM64" s="583"/>
      <c r="AS64" s="50">
        <v>38</v>
      </c>
    </row>
    <row r="65" ht="22.5" hidden="1" customHeight="1">
      <c r="A65" s="53" t="s">
        <v>83</v>
      </c>
      <c r="B65" s="53">
        <v>0</v>
      </c>
      <c r="C65" s="53">
        <v>0</v>
      </c>
      <c r="D65" s="53">
        <v>0</v>
      </c>
      <c r="E65" s="53">
        <v>0</v>
      </c>
      <c r="F65" s="53">
        <v>0</v>
      </c>
      <c r="G65" s="53">
        <v>0</v>
      </c>
      <c r="H65" s="53">
        <v>0</v>
      </c>
      <c r="I65" s="53">
        <v>0</v>
      </c>
      <c r="J65" s="53">
        <v>0</v>
      </c>
      <c r="K65" s="53">
        <v>0</v>
      </c>
      <c r="L65" s="113">
        <v>0</v>
      </c>
      <c r="M65" s="61">
        <v>0</v>
      </c>
      <c r="N65" s="61">
        <v>0</v>
      </c>
      <c r="O65" s="61">
        <v>0</v>
      </c>
      <c r="P65" s="60">
        <v>3</v>
      </c>
      <c r="Q65" s="487">
        <v>3</v>
      </c>
      <c r="R65" s="487">
        <v>3</v>
      </c>
      <c r="S65" s="86">
        <v>12</v>
      </c>
      <c r="T65" s="50">
        <v>31</v>
      </c>
      <c r="U65" s="50">
        <v>0</v>
      </c>
      <c r="V65" s="50">
        <v>0</v>
      </c>
      <c r="W65" s="50">
        <v>0</v>
      </c>
      <c r="X65" s="50">
        <v>0</v>
      </c>
      <c r="Y65" s="50">
        <v>0</v>
      </c>
      <c r="Z65" s="50">
        <v>0</v>
      </c>
      <c r="AA65" s="50">
        <v>0</v>
      </c>
      <c r="AB65" s="50">
        <v>0</v>
      </c>
      <c r="AC65" s="50">
        <v>0</v>
      </c>
      <c r="AD65" s="50">
        <v>0</v>
      </c>
      <c r="AE65" s="50">
        <v>24</v>
      </c>
      <c r="AF65" s="50">
        <v>0</v>
      </c>
      <c r="AG65" s="50">
        <v>0</v>
      </c>
      <c r="AH65" s="50">
        <v>11</v>
      </c>
      <c r="AI65" s="50">
        <v>3</v>
      </c>
      <c r="AJ65" s="50">
        <v>11</v>
      </c>
      <c r="AK65" s="50">
        <v>0</v>
      </c>
      <c r="AL65" s="50">
        <v>4</v>
      </c>
      <c r="AM65" s="50">
        <v>115</v>
      </c>
      <c r="AN65" s="57">
        <v>10</v>
      </c>
      <c r="AO65" s="57">
        <v>10</v>
      </c>
      <c r="AP65" s="57">
        <v>10</v>
      </c>
      <c r="AQ65" s="57">
        <v>10</v>
      </c>
      <c r="AR65" s="57">
        <v>10</v>
      </c>
      <c r="AS65" s="50">
        <v>23</v>
      </c>
    </row>
  </sheetData>
  <sheetProtection autoFilter="0" deleteColumns="1" deleteRows="1" formatCells="1" formatColumns="0" formatRows="0" insertColumns="1" insertHyperlinks="1" insertRows="1" objects="0" pivotTables="1" scenarios="0" selectLockedCells="0" selectUnlockedCells="0" sheet="1" sort="1"/>
  <mergeCells count="110">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K8:K9"/>
    <mergeCell ref="Z8:Z9"/>
    <mergeCell ref="AA8:AA9"/>
    <mergeCell ref="AB8:AB9"/>
    <mergeCell ref="AC8:AC9"/>
    <mergeCell ref="AH8:AH9"/>
    <mergeCell ref="AI8:AI9"/>
    <mergeCell ref="AJ8:AJ9"/>
    <mergeCell ref="AK8:AK9"/>
    <mergeCell ref="AM8:AM10"/>
    <mergeCell ref="AH17:AH18"/>
    <mergeCell ref="AI17:AI18"/>
    <mergeCell ref="AJ17:AJ18"/>
    <mergeCell ref="AK17:AK18"/>
    <mergeCell ref="S26:AJ26"/>
    <mergeCell ref="S27:AJ27"/>
    <mergeCell ref="S29:T29"/>
    <mergeCell ref="V29:AB29"/>
    <mergeCell ref="AD29:AJ29"/>
    <mergeCell ref="S30:T30"/>
    <mergeCell ref="V30:AB30"/>
    <mergeCell ref="AD30:AJ30"/>
    <mergeCell ref="S31:T31"/>
    <mergeCell ref="V31:AB31"/>
    <mergeCell ref="AD31:AJ31"/>
    <mergeCell ref="S32:T32"/>
    <mergeCell ref="V32:AB32"/>
    <mergeCell ref="AD32:AJ32"/>
    <mergeCell ref="S34:T34"/>
    <mergeCell ref="V34:AB34"/>
    <mergeCell ref="AD34:AJ34"/>
    <mergeCell ref="S35:T35"/>
    <mergeCell ref="V35:AB35"/>
    <mergeCell ref="AD35:AJ35"/>
    <mergeCell ref="V37:AC37"/>
    <mergeCell ref="AD37:AK37"/>
    <mergeCell ref="S38:AL38"/>
    <mergeCell ref="AM38:AM41"/>
    <mergeCell ref="S39:S41"/>
    <mergeCell ref="T39:T41"/>
    <mergeCell ref="V39:AB39"/>
    <mergeCell ref="AC39:AC41"/>
    <mergeCell ref="AD39:AJ39"/>
    <mergeCell ref="AK39:AK41"/>
    <mergeCell ref="AL39:AL41"/>
    <mergeCell ref="V40:V41"/>
    <mergeCell ref="W40:W41"/>
    <mergeCell ref="Z40:AB40"/>
    <mergeCell ref="AD40:AD41"/>
    <mergeCell ref="AE40:AE41"/>
    <mergeCell ref="AH40:AJ40"/>
    <mergeCell ref="AA41:AB41"/>
    <mergeCell ref="AI41:AJ41"/>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AM49:AM51"/>
    <mergeCell ref="T59:AM59"/>
    <mergeCell ref="T60:AM60"/>
    <mergeCell ref="T62:AM62"/>
    <mergeCell ref="T63:AM63"/>
    <mergeCell ref="T64:AM64"/>
  </mergeCells>
  <dataValidations count="4" disablePrompts="0">
    <dataValidation sqref="S131123:AM131129 S196659:AM196665 S262195:AM262201 S327731:AM327737 S393267:AM393273 S458803:AM458809 S524339:AM524345 S589875:AM589881 S655411:AM655417 S720947:AM720953 S786483:AM786489 S852019:AM852025 S917555:AM917561 S983091:AM983097 S65587:AM65593" type="none" allowBlank="1" errorStyle="stop" imeMode="noControl" operator="between" showDropDown="0" showErrorMessage="0" showInputMessage="0"/>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type="none" allowBlank="1" errorStyle="stop" imeMode="noControl" operator="between" promptTitle="checkPeriodRange"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3E0065-003D-45EA-A9FC-00C8000A00E1}"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 xr:uid="{00B70008-003E-49CC-A048-00E800CC0038}" type="list" allowBlank="1" error="Выберите значение из списка" errorStyle="stop" errorTitle="Ошибка" imeMode="noControl" operator="between" showDropDown="0" showErrorMessage="1" showInputMessage="1">
          <x14:formula1>
            <xm:f>kind_of_heat_transfer</xm:f>
          </x14:formula1>
          <xm:sqref>T65585 T131121 T196657 T262193 T327729 T393265 T458801 T524337 T589873 T655409 T720945 T786481 T852017 T917553 T983089</xm:sqref>
        </x14:dataValidation>
        <x14:dataValidation xr:uid="{00EF00CB-00C1-4C9F-8D55-00D000CB000D}" type="list" allowBlank="1" error="Выберите значение из списка" errorStyle="stop" errorTitle="Ошибка" imeMode="noControl" operator="between" showDropDown="0"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 xr:uid="{00C800DA-006A-41E7-894E-002E001A008E}" type="textLength" allowBlank="1" error="Допускается ввод не более 900 символов!" errorStyle="stop" errorTitle="Ошибка" imeMode="noControl" operator="lessThanOrEqual" showDropDown="0"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zoomScale="90" workbookViewId="0">
      <pane xSplit="29" ySplit="42" topLeftCell="AD43" activePane="bottomRight" state="frozen"/>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2.00390625"/>
    <col customWidth="1" hidden="1" min="10" max="10" style="53" width="9.8515625"/>
    <col customWidth="1" hidden="1" min="11" max="11" style="53" width="11.421875"/>
    <col customWidth="1" hidden="1" min="12" max="12" style="113" width="19.140625"/>
    <col customWidth="1" hidden="1" min="13" max="14" style="61" width="12.28125"/>
    <col customWidth="1" hidden="1" min="15" max="15" style="61" width="23.421875"/>
    <col customWidth="1" hidden="1" min="16" max="16" style="60" width="3.7109375"/>
    <col customWidth="1" min="17" max="18" style="487" width="3.00390625"/>
    <col customWidth="1" min="19" max="19" style="86" width="12.00390625"/>
    <col customWidth="1" min="20" max="20" style="50" width="31.00390625"/>
    <col customWidth="1" min="21" max="21" style="50" width="0.140625"/>
    <col customWidth="1" hidden="1" min="22" max="22" style="50" width="24.7109375"/>
    <col customWidth="1" hidden="1" min="23" max="23" style="50" width="0.140625"/>
    <col customWidth="1" hidden="1" min="24" max="25" style="50" width="24.7109375"/>
    <col customWidth="1" hidden="1" min="26" max="26" style="50" width="11.7109375"/>
    <col customWidth="1" hidden="1" min="27" max="27" style="50" width="3.7109375"/>
    <col customWidth="1" hidden="1" min="28" max="28" style="50" width="11.7109375"/>
    <col customWidth="1" hidden="1" min="29" max="29" style="50" width="8.57421875"/>
    <col customWidth="1" min="30" max="30" style="50" width="24.7109375"/>
    <col customWidth="1" min="31" max="31" style="50" width="0.140625"/>
    <col customWidth="1" min="32" max="33" style="50" width="24.00390625"/>
    <col customWidth="1" min="34" max="34" style="50" width="11.00390625"/>
    <col customWidth="1" min="35" max="35" style="50" width="3.7109375"/>
    <col customWidth="1" min="36" max="36" style="50" width="11.00390625"/>
    <col customWidth="1" hidden="1" min="37" max="37" style="50" width="8.57421875"/>
    <col customWidth="1" min="38" max="38" style="50" width="4.00390625"/>
    <col customWidth="1" min="39" max="39" style="50" width="115.00390625"/>
    <col customWidth="1" min="40" max="44" style="57" width="10.00390625"/>
    <col customWidth="1" hidden="1" min="45" max="45" style="50" width="8.421875"/>
  </cols>
  <sheetData>
    <row r="1" ht="22.5" hidden="1" customHeight="1">
      <c r="Y1" s="50"/>
      <c r="Z1" s="50"/>
      <c r="AG1" s="50"/>
      <c r="AH1" s="50"/>
      <c r="AS1" s="50" t="s">
        <v>14</v>
      </c>
    </row>
    <row r="2" ht="21" hidden="1" customHeight="1">
      <c r="A2" s="488"/>
      <c r="B2" s="488"/>
      <c r="C2" s="488"/>
      <c r="D2" s="488"/>
      <c r="E2" s="489">
        <v>1</v>
      </c>
      <c r="F2" s="488"/>
      <c r="G2" s="488"/>
      <c r="H2" s="488"/>
      <c r="I2" s="488"/>
      <c r="J2" s="488"/>
      <c r="K2" s="488"/>
      <c r="L2" s="490"/>
      <c r="M2" s="491"/>
      <c r="N2" s="491"/>
      <c r="O2" s="491"/>
      <c r="P2" s="60"/>
      <c r="Q2" s="143"/>
      <c r="R2" s="492"/>
      <c r="S2" s="493" t="e">
        <f>INDEX(PT_DIFFERENTIATION_NUM_NTAR,MATCH(A2,PT_DIFFERENTIATION_NTAR_ID,0))</f>
        <v>#VALUE!</v>
      </c>
      <c r="T2" s="494" t="s">
        <v>123</v>
      </c>
      <c r="U2" s="495"/>
      <c r="V2" s="496"/>
      <c r="W2" s="497"/>
      <c r="X2" s="497"/>
      <c r="Y2" s="497"/>
      <c r="Z2" s="497"/>
      <c r="AA2" s="497"/>
      <c r="AB2" s="497"/>
      <c r="AC2" s="498"/>
      <c r="AD2" s="496" t="e">
        <f>INDEX(PT_DIFFERENTIATION_NTAR,MATCH(A2,PT_DIFFERENTIATION_NTAR_ID,0))</f>
        <v>#VALUE!</v>
      </c>
      <c r="AE2" s="497"/>
      <c r="AF2" s="497"/>
      <c r="AG2" s="497"/>
      <c r="AH2" s="497"/>
      <c r="AI2" s="497"/>
      <c r="AJ2" s="497"/>
      <c r="AK2" s="497"/>
      <c r="AL2" s="498"/>
      <c r="AM2" s="499" t="s">
        <v>401</v>
      </c>
      <c r="AO2" s="129"/>
      <c r="AP2" s="129" t="str">
        <f t="shared" ref="AP2:AP9" si="12">IF(T2="","",T2)</f>
        <v xml:space="preserve">Наименование тарифа</v>
      </c>
      <c r="AQ2" s="129"/>
      <c r="AR2" s="129"/>
      <c r="AS2" s="50">
        <v>0</v>
      </c>
    </row>
    <row r="3" ht="21" hidden="1" customHeight="1">
      <c r="A3" s="488"/>
      <c r="B3" s="488"/>
      <c r="C3" s="488"/>
      <c r="D3" s="488"/>
      <c r="E3" s="500"/>
      <c r="F3" s="489">
        <v>1</v>
      </c>
      <c r="G3" s="488"/>
      <c r="H3" s="488"/>
      <c r="I3" s="488"/>
      <c r="J3" s="488"/>
      <c r="K3" s="488"/>
      <c r="L3" s="490"/>
      <c r="M3" s="491"/>
      <c r="N3" s="491"/>
      <c r="O3" s="491"/>
      <c r="P3" s="51"/>
      <c r="Q3" s="501"/>
      <c r="R3" s="502"/>
      <c r="S3" s="493" t="e">
        <f>INDEX(PT_DIFFERENTIATION_NUM_TER,MATCH(B3,PT_DIFFERENTIATION_TER_ID,0))</f>
        <v>#VALUE!</v>
      </c>
      <c r="T3" s="503" t="s">
        <v>402</v>
      </c>
      <c r="U3" s="495"/>
      <c r="V3" s="496"/>
      <c r="W3" s="497"/>
      <c r="X3" s="497"/>
      <c r="Y3" s="497"/>
      <c r="Z3" s="497"/>
      <c r="AA3" s="497"/>
      <c r="AB3" s="497"/>
      <c r="AC3" s="498"/>
      <c r="AD3" s="496" t="e">
        <f>INDEX(PT_DIFFERENTIATION_TER,MATCH(B3,PT_DIFFERENTIATION_TER_ID,0))</f>
        <v>#VALUE!</v>
      </c>
      <c r="AE3" s="497"/>
      <c r="AF3" s="497"/>
      <c r="AG3" s="497"/>
      <c r="AH3" s="497"/>
      <c r="AI3" s="497"/>
      <c r="AJ3" s="497"/>
      <c r="AK3" s="497"/>
      <c r="AL3" s="498"/>
      <c r="AM3" s="499" t="s">
        <v>403</v>
      </c>
      <c r="AO3" s="129"/>
      <c r="AP3" s="129" t="str">
        <f t="shared" si="12"/>
        <v xml:space="preserve">Территория действия тарифа</v>
      </c>
      <c r="AQ3" s="129"/>
      <c r="AR3" s="129"/>
      <c r="AS3" s="50">
        <v>0</v>
      </c>
    </row>
    <row r="4" ht="23.25" hidden="1" customHeight="1">
      <c r="A4" s="488"/>
      <c r="B4" s="488"/>
      <c r="C4" s="488"/>
      <c r="D4" s="488"/>
      <c r="E4" s="500"/>
      <c r="F4" s="500"/>
      <c r="G4" s="489">
        <v>1</v>
      </c>
      <c r="H4" s="488"/>
      <c r="I4" s="488"/>
      <c r="J4" s="488"/>
      <c r="K4" s="488"/>
      <c r="L4" s="490"/>
      <c r="M4" s="491"/>
      <c r="N4" s="491"/>
      <c r="O4" s="491"/>
      <c r="P4" s="504"/>
      <c r="Q4" s="501"/>
      <c r="R4" s="502"/>
      <c r="S4" s="493" t="e">
        <f>INDEX(PT_DIFFERENTIATION_NUM_CS,MATCH(C4,PT_DIFFERENTIATION_CS_ID,0))</f>
        <v>#VALUE!</v>
      </c>
      <c r="T4" s="505" t="s">
        <v>404</v>
      </c>
      <c r="U4" s="495"/>
      <c r="V4" s="496"/>
      <c r="W4" s="497"/>
      <c r="X4" s="497"/>
      <c r="Y4" s="497"/>
      <c r="Z4" s="497"/>
      <c r="AA4" s="497"/>
      <c r="AB4" s="497"/>
      <c r="AC4" s="498"/>
      <c r="AD4" s="496" t="e">
        <f>INDEX(PT_DIFFERENTIATION_CS,MATCH(C4,PT_DIFFERENTIATION_CS_ID,0))</f>
        <v>#VALUE!</v>
      </c>
      <c r="AE4" s="497"/>
      <c r="AF4" s="497"/>
      <c r="AG4" s="497"/>
      <c r="AH4" s="497"/>
      <c r="AI4" s="497"/>
      <c r="AJ4" s="497"/>
      <c r="AK4" s="497"/>
      <c r="AL4" s="498"/>
      <c r="AM4" s="499" t="s">
        <v>405</v>
      </c>
      <c r="AO4" s="129"/>
      <c r="AP4" s="129" t="str">
        <f t="shared" si="12"/>
        <v xml:space="preserve">Наименование системы теплоснабжения </v>
      </c>
      <c r="AQ4" s="129"/>
      <c r="AR4" s="129"/>
      <c r="AS4" s="50">
        <v>0</v>
      </c>
    </row>
    <row r="5" ht="21" hidden="1" customHeight="1">
      <c r="A5" s="488"/>
      <c r="B5" s="488"/>
      <c r="C5" s="488"/>
      <c r="D5" s="488"/>
      <c r="E5" s="500"/>
      <c r="F5" s="500"/>
      <c r="G5" s="500"/>
      <c r="H5" s="489">
        <v>1</v>
      </c>
      <c r="I5" s="488"/>
      <c r="J5" s="488"/>
      <c r="K5" s="488"/>
      <c r="L5" s="490"/>
      <c r="M5" s="491"/>
      <c r="N5" s="491"/>
      <c r="O5" s="491"/>
      <c r="P5" s="504"/>
      <c r="Q5" s="501"/>
      <c r="R5" s="502"/>
      <c r="S5" s="493" t="e">
        <f>INDEX(PT_DIFFERENTIATION_NUM_IST_TE,MATCH(D5,PT_DIFFERENTIATION_IST_TE_ID,0))</f>
        <v>#VALUE!</v>
      </c>
      <c r="T5" s="506" t="s">
        <v>406</v>
      </c>
      <c r="U5" s="495"/>
      <c r="V5" s="496"/>
      <c r="W5" s="497"/>
      <c r="X5" s="497"/>
      <c r="Y5" s="497"/>
      <c r="Z5" s="497"/>
      <c r="AA5" s="497"/>
      <c r="AB5" s="497"/>
      <c r="AC5" s="498"/>
      <c r="AD5" s="496" t="e">
        <f>INDEX(PT_DIFFERENTIATION_IST_TE,MATCH(D5,PT_DIFFERENTIATION_IST_TE_ID,0))</f>
        <v>#VALUE!</v>
      </c>
      <c r="AE5" s="497"/>
      <c r="AF5" s="497"/>
      <c r="AG5" s="497"/>
      <c r="AH5" s="497"/>
      <c r="AI5" s="497"/>
      <c r="AJ5" s="497"/>
      <c r="AK5" s="497"/>
      <c r="AL5" s="498"/>
      <c r="AM5" s="499" t="s">
        <v>407</v>
      </c>
      <c r="AO5" s="129"/>
      <c r="AP5" s="129" t="str">
        <f t="shared" si="12"/>
        <v xml:space="preserve">Источник тепловой энергии  </v>
      </c>
      <c r="AQ5" s="129"/>
      <c r="AR5" s="129"/>
      <c r="AS5" s="50">
        <v>0</v>
      </c>
    </row>
    <row r="6" ht="14.25" hidden="1" customHeight="1">
      <c r="A6" s="488"/>
      <c r="B6" s="488"/>
      <c r="C6" s="488"/>
      <c r="D6" s="488"/>
      <c r="E6" s="500"/>
      <c r="F6" s="500"/>
      <c r="G6" s="500"/>
      <c r="H6" s="500"/>
      <c r="I6" s="507" t="e">
        <f>S5&amp;".1"</f>
        <v>#VALUE!</v>
      </c>
      <c r="J6" s="488"/>
      <c r="K6" s="488"/>
      <c r="L6" s="490" t="s">
        <v>408</v>
      </c>
      <c r="M6" s="53"/>
      <c r="P6" s="132">
        <v>1</v>
      </c>
      <c r="Q6" s="132"/>
      <c r="R6" s="508"/>
      <c r="S6" s="362"/>
      <c r="T6" s="595"/>
      <c r="U6" s="596"/>
      <c r="V6" s="597"/>
      <c r="W6" s="598"/>
      <c r="X6" s="598"/>
      <c r="Y6" s="598"/>
      <c r="Z6" s="598"/>
      <c r="AA6" s="598"/>
      <c r="AB6" s="598"/>
      <c r="AC6" s="599"/>
      <c r="AD6" s="597"/>
      <c r="AE6" s="598"/>
      <c r="AF6" s="598"/>
      <c r="AG6" s="598"/>
      <c r="AH6" s="598"/>
      <c r="AI6" s="598"/>
      <c r="AJ6" s="598"/>
      <c r="AK6" s="598"/>
      <c r="AL6" s="599"/>
      <c r="AM6" s="600"/>
      <c r="AO6" s="129"/>
      <c r="AP6" s="129" t="str">
        <f t="shared" si="12"/>
        <v/>
      </c>
      <c r="AQ6" s="129"/>
      <c r="AR6" s="129"/>
      <c r="AS6" s="50">
        <v>0</v>
      </c>
    </row>
    <row r="7" ht="21" hidden="1" customHeight="1">
      <c r="A7" s="488"/>
      <c r="B7" s="488"/>
      <c r="C7" s="488"/>
      <c r="D7" s="488"/>
      <c r="E7" s="500"/>
      <c r="F7" s="500"/>
      <c r="G7" s="500"/>
      <c r="H7" s="500"/>
      <c r="I7" s="512"/>
      <c r="J7" s="507" t="e">
        <f>I6&amp;".1"</f>
        <v>#VALUE!</v>
      </c>
      <c r="K7" s="488"/>
      <c r="L7" s="490" t="s">
        <v>411</v>
      </c>
      <c r="M7" s="53"/>
      <c r="N7" s="53"/>
      <c r="P7" s="132"/>
      <c r="Q7" s="132">
        <v>1</v>
      </c>
      <c r="R7" s="513"/>
      <c r="S7" s="493" t="e">
        <f>$J7</f>
        <v>#VALUE!</v>
      </c>
      <c r="T7" s="514" t="s">
        <v>412</v>
      </c>
      <c r="U7" s="495"/>
      <c r="V7" s="440"/>
      <c r="W7" s="510"/>
      <c r="X7" s="510"/>
      <c r="Y7" s="510"/>
      <c r="Z7" s="510"/>
      <c r="AA7" s="510"/>
      <c r="AB7" s="510"/>
      <c r="AC7" s="511"/>
      <c r="AD7" s="440"/>
      <c r="AE7" s="510"/>
      <c r="AF7" s="510"/>
      <c r="AG7" s="510"/>
      <c r="AH7" s="510"/>
      <c r="AI7" s="510"/>
      <c r="AJ7" s="510"/>
      <c r="AK7" s="510"/>
      <c r="AL7" s="511"/>
      <c r="AM7" s="499" t="s">
        <v>413</v>
      </c>
      <c r="AO7" s="129"/>
      <c r="AP7" s="129" t="str">
        <f t="shared" si="12"/>
        <v xml:space="preserve">Группа потребителей</v>
      </c>
      <c r="AQ7" s="129"/>
      <c r="AR7" s="129"/>
      <c r="AS7" s="50">
        <v>0</v>
      </c>
    </row>
    <row r="8" ht="21" hidden="1" customHeight="1">
      <c r="A8" s="488"/>
      <c r="B8" s="488"/>
      <c r="C8" s="488"/>
      <c r="D8" s="488"/>
      <c r="E8" s="500"/>
      <c r="F8" s="500"/>
      <c r="G8" s="500"/>
      <c r="H8" s="500"/>
      <c r="I8" s="512"/>
      <c r="J8" s="512"/>
      <c r="K8" s="507" t="e">
        <f>J7&amp;".1"</f>
        <v>#VALUE!</v>
      </c>
      <c r="L8" s="490" t="s">
        <v>414</v>
      </c>
      <c r="M8" s="53"/>
      <c r="N8" s="53"/>
      <c r="O8" s="53"/>
      <c r="P8" s="132"/>
      <c r="Q8" s="132"/>
      <c r="R8" s="513">
        <v>1</v>
      </c>
      <c r="S8" s="493" t="e">
        <f>$K8</f>
        <v>#VALUE!</v>
      </c>
      <c r="T8" s="515"/>
      <c r="U8" s="495"/>
      <c r="V8" s="516"/>
      <c r="W8" s="517"/>
      <c r="X8" s="516"/>
      <c r="Y8" s="518"/>
      <c r="Z8" s="519"/>
      <c r="AA8" s="224" t="s">
        <v>67</v>
      </c>
      <c r="AB8" s="519"/>
      <c r="AC8" s="224" t="s">
        <v>67</v>
      </c>
      <c r="AD8" s="516"/>
      <c r="AE8" s="517"/>
      <c r="AF8" s="516"/>
      <c r="AG8" s="518"/>
      <c r="AH8" s="519"/>
      <c r="AI8" s="224" t="s">
        <v>67</v>
      </c>
      <c r="AJ8" s="519"/>
      <c r="AK8" s="224" t="s">
        <v>67</v>
      </c>
      <c r="AL8" s="517"/>
      <c r="AM8" s="520" t="s">
        <v>415</v>
      </c>
      <c r="AN8" s="57" t="e">
        <f>STRCHECKDATE(V9:AL9)</f>
        <v>#NAME?</v>
      </c>
      <c r="AO8" s="129"/>
      <c r="AP8" s="129" t="str">
        <f t="shared" si="12"/>
        <v/>
      </c>
      <c r="AQ8" s="129"/>
      <c r="AR8" s="129"/>
      <c r="AS8" s="50">
        <v>0</v>
      </c>
    </row>
    <row r="9" ht="0.75" hidden="1" customHeight="1">
      <c r="A9" s="488"/>
      <c r="B9" s="488"/>
      <c r="C9" s="488"/>
      <c r="D9" s="488"/>
      <c r="E9" s="500"/>
      <c r="F9" s="500"/>
      <c r="G9" s="500"/>
      <c r="H9" s="500"/>
      <c r="I9" s="512"/>
      <c r="J9" s="512"/>
      <c r="K9" s="507"/>
      <c r="L9" s="490"/>
      <c r="M9" s="53"/>
      <c r="N9" s="53"/>
      <c r="O9" s="53"/>
      <c r="P9" s="132"/>
      <c r="Q9" s="132"/>
      <c r="R9" s="513"/>
      <c r="S9" s="467"/>
      <c r="T9" s="495"/>
      <c r="U9" s="495"/>
      <c r="V9" s="517"/>
      <c r="W9" s="517"/>
      <c r="X9" s="517"/>
      <c r="Y9" s="521" t="str">
        <f>Z8&amp;"-"&amp;AB8</f>
        <v>-</v>
      </c>
      <c r="Z9" s="522"/>
      <c r="AA9" s="224"/>
      <c r="AB9" s="522"/>
      <c r="AC9" s="224"/>
      <c r="AD9" s="517"/>
      <c r="AE9" s="517"/>
      <c r="AF9" s="517"/>
      <c r="AG9" s="521" t="str">
        <f>AH8&amp;"-"&amp;AJ8</f>
        <v>-</v>
      </c>
      <c r="AH9" s="522"/>
      <c r="AI9" s="224"/>
      <c r="AJ9" s="522"/>
      <c r="AK9" s="224"/>
      <c r="AL9" s="517"/>
      <c r="AM9" s="523"/>
      <c r="AO9" s="129"/>
      <c r="AP9" s="129" t="str">
        <f t="shared" si="12"/>
        <v/>
      </c>
      <c r="AQ9" s="129"/>
      <c r="AR9" s="129"/>
      <c r="AS9" s="50">
        <v>0</v>
      </c>
    </row>
    <row r="10" ht="15" hidden="1" customHeight="1">
      <c r="A10" s="488"/>
      <c r="B10" s="488"/>
      <c r="C10" s="488"/>
      <c r="D10" s="488"/>
      <c r="E10" s="500"/>
      <c r="F10" s="500"/>
      <c r="G10" s="500"/>
      <c r="H10" s="500"/>
      <c r="I10" s="512"/>
      <c r="J10" s="507"/>
      <c r="K10" s="488"/>
      <c r="L10" s="490"/>
      <c r="M10" s="53"/>
      <c r="N10" s="53"/>
      <c r="P10" s="132"/>
      <c r="Q10" s="132"/>
      <c r="R10" s="508"/>
      <c r="S10" s="524"/>
      <c r="T10" s="528" t="s">
        <v>416</v>
      </c>
      <c r="U10" s="214"/>
      <c r="V10" s="214"/>
      <c r="W10" s="214"/>
      <c r="X10" s="214"/>
      <c r="Y10" s="214"/>
      <c r="Z10" s="214"/>
      <c r="AA10" s="214"/>
      <c r="AB10" s="214"/>
      <c r="AC10" s="214"/>
      <c r="AD10" s="214"/>
      <c r="AE10" s="214"/>
      <c r="AF10" s="214"/>
      <c r="AG10" s="214"/>
      <c r="AH10" s="214"/>
      <c r="AI10" s="214"/>
      <c r="AJ10" s="214"/>
      <c r="AK10" s="214"/>
      <c r="AL10" s="526"/>
      <c r="AM10" s="527"/>
      <c r="AO10" s="129"/>
      <c r="AP10" s="129" t="str">
        <f t="shared" ref="AP10:AP57" si="13">IF(T10="","",T10)</f>
        <v xml:space="preserve">Добавить вид теплоносителя (параметры теплоносителя)</v>
      </c>
      <c r="AQ10" s="129"/>
      <c r="AR10" s="129"/>
      <c r="AS10" s="50">
        <v>0</v>
      </c>
    </row>
    <row r="11" ht="15" hidden="1" customHeight="1">
      <c r="A11" s="488"/>
      <c r="B11" s="488"/>
      <c r="C11" s="488"/>
      <c r="D11" s="488"/>
      <c r="E11" s="500"/>
      <c r="F11" s="500"/>
      <c r="G11" s="500"/>
      <c r="H11" s="500"/>
      <c r="I11" s="507"/>
      <c r="J11" s="488"/>
      <c r="K11" s="488"/>
      <c r="L11" s="490"/>
      <c r="M11" s="53"/>
      <c r="P11" s="132"/>
      <c r="Q11" s="132"/>
      <c r="R11" s="508"/>
      <c r="S11" s="524"/>
      <c r="T11" s="532" t="s">
        <v>417</v>
      </c>
      <c r="U11" s="214"/>
      <c r="V11" s="214"/>
      <c r="W11" s="214"/>
      <c r="X11" s="214"/>
      <c r="Y11" s="214"/>
      <c r="Z11" s="214"/>
      <c r="AA11" s="214"/>
      <c r="AB11" s="214"/>
      <c r="AC11" s="529"/>
      <c r="AD11" s="214"/>
      <c r="AE11" s="214"/>
      <c r="AF11" s="214"/>
      <c r="AG11" s="214"/>
      <c r="AH11" s="214"/>
      <c r="AI11" s="214"/>
      <c r="AJ11" s="214"/>
      <c r="AK11" s="529"/>
      <c r="AL11" s="214"/>
      <c r="AM11" s="530"/>
      <c r="AO11" s="129"/>
      <c r="AP11" s="129" t="str">
        <f t="shared" si="13"/>
        <v xml:space="preserve">Добавить группу потребителей</v>
      </c>
      <c r="AQ11" s="129"/>
      <c r="AR11" s="129"/>
      <c r="AS11" s="50">
        <v>0</v>
      </c>
    </row>
    <row r="12" ht="14.25" hidden="1" customHeight="1">
      <c r="A12" s="488"/>
      <c r="B12" s="488"/>
      <c r="C12" s="488"/>
      <c r="D12" s="488"/>
      <c r="E12" s="500"/>
      <c r="F12" s="500"/>
      <c r="G12" s="500"/>
      <c r="H12" s="489"/>
      <c r="I12" s="488"/>
      <c r="J12" s="488"/>
      <c r="K12" s="488"/>
      <c r="L12" s="490"/>
      <c r="M12" s="491"/>
      <c r="N12" s="491"/>
      <c r="O12" s="53"/>
      <c r="P12" s="143"/>
      <c r="Q12" s="531"/>
      <c r="R12" s="492"/>
      <c r="S12" s="601"/>
      <c r="T12" s="602"/>
      <c r="U12" s="603"/>
      <c r="V12" s="603"/>
      <c r="W12" s="603"/>
      <c r="X12" s="603"/>
      <c r="Y12" s="603"/>
      <c r="Z12" s="603"/>
      <c r="AA12" s="603"/>
      <c r="AB12" s="603"/>
      <c r="AC12" s="603"/>
      <c r="AD12" s="603"/>
      <c r="AE12" s="603"/>
      <c r="AF12" s="603"/>
      <c r="AG12" s="603"/>
      <c r="AH12" s="603"/>
      <c r="AI12" s="603"/>
      <c r="AJ12" s="603"/>
      <c r="AK12" s="603"/>
      <c r="AL12" s="603"/>
      <c r="AM12" s="604"/>
      <c r="AO12" s="129"/>
      <c r="AP12" s="129" t="str">
        <f t="shared" si="13"/>
        <v/>
      </c>
      <c r="AQ12" s="129"/>
      <c r="AR12" s="129"/>
      <c r="AS12" s="50">
        <v>0</v>
      </c>
    </row>
    <row r="13" s="57" customFormat="1" ht="0.75" hidden="1" customHeight="1">
      <c r="A13" s="133"/>
      <c r="B13" s="133"/>
      <c r="C13" s="133"/>
      <c r="D13" s="133"/>
      <c r="E13" s="500"/>
      <c r="F13" s="500"/>
      <c r="G13" s="489"/>
      <c r="H13" s="133"/>
      <c r="I13" s="133"/>
      <c r="J13" s="133"/>
      <c r="K13" s="133"/>
      <c r="L13" s="212"/>
      <c r="M13" s="473"/>
      <c r="N13" s="473"/>
      <c r="P13" s="167"/>
      <c r="Q13" s="533"/>
      <c r="R13" s="167"/>
      <c r="S13" s="534"/>
      <c r="T13" s="535" t="s">
        <v>211</v>
      </c>
      <c r="U13" s="536"/>
      <c r="V13" s="536"/>
      <c r="W13" s="536"/>
      <c r="X13" s="536"/>
      <c r="Y13" s="536"/>
      <c r="Z13" s="536"/>
      <c r="AA13" s="536"/>
      <c r="AB13" s="536"/>
      <c r="AC13" s="536"/>
      <c r="AD13" s="536"/>
      <c r="AE13" s="536"/>
      <c r="AF13" s="536"/>
      <c r="AG13" s="536"/>
      <c r="AH13" s="536"/>
      <c r="AI13" s="536"/>
      <c r="AJ13" s="536"/>
      <c r="AK13" s="536"/>
      <c r="AL13" s="536"/>
      <c r="AM13" s="536"/>
      <c r="AO13" s="129"/>
      <c r="AP13" s="129" t="str">
        <f t="shared" si="13"/>
        <v xml:space="preserve">Добавить источник для дифференциации</v>
      </c>
      <c r="AQ13" s="129"/>
      <c r="AR13" s="129"/>
      <c r="AS13" s="57">
        <v>0</v>
      </c>
    </row>
    <row r="14" s="57" customFormat="1" ht="0.75" hidden="1" customHeight="1">
      <c r="A14" s="133"/>
      <c r="B14" s="133"/>
      <c r="C14" s="133"/>
      <c r="D14" s="133"/>
      <c r="E14" s="500"/>
      <c r="F14" s="489"/>
      <c r="G14" s="133"/>
      <c r="H14" s="133"/>
      <c r="I14" s="133"/>
      <c r="J14" s="133"/>
      <c r="K14" s="133"/>
      <c r="L14" s="212"/>
      <c r="M14" s="537"/>
      <c r="N14" s="537"/>
      <c r="P14" s="167"/>
      <c r="Q14" s="533"/>
      <c r="R14" s="167"/>
      <c r="S14" s="538"/>
      <c r="T14" s="539" t="s">
        <v>212</v>
      </c>
      <c r="U14" s="540"/>
      <c r="V14" s="540"/>
      <c r="W14" s="540"/>
      <c r="X14" s="540"/>
      <c r="Y14" s="540"/>
      <c r="Z14" s="540"/>
      <c r="AA14" s="540"/>
      <c r="AB14" s="540"/>
      <c r="AC14" s="540"/>
      <c r="AD14" s="540"/>
      <c r="AE14" s="540"/>
      <c r="AF14" s="540"/>
      <c r="AG14" s="540"/>
      <c r="AH14" s="540"/>
      <c r="AI14" s="540"/>
      <c r="AJ14" s="540"/>
      <c r="AK14" s="540"/>
      <c r="AL14" s="540"/>
      <c r="AM14" s="540"/>
      <c r="AO14" s="129"/>
      <c r="AP14" s="129" t="str">
        <f t="shared" si="13"/>
        <v xml:space="preserve">Добавить централизованную систему для дифференциации</v>
      </c>
      <c r="AQ14" s="129"/>
      <c r="AR14" s="129"/>
      <c r="AS14" s="57">
        <v>0</v>
      </c>
    </row>
    <row r="15" s="57" customFormat="1" ht="0.75" hidden="1" customHeight="1">
      <c r="A15" s="133"/>
      <c r="B15" s="133"/>
      <c r="C15" s="133"/>
      <c r="D15" s="133"/>
      <c r="E15" s="489"/>
      <c r="F15" s="133"/>
      <c r="G15" s="133"/>
      <c r="H15" s="133"/>
      <c r="I15" s="133"/>
      <c r="J15" s="133"/>
      <c r="K15" s="133"/>
      <c r="L15" s="212"/>
      <c r="M15" s="537"/>
      <c r="N15" s="537"/>
      <c r="P15" s="167"/>
      <c r="Q15" s="533"/>
      <c r="R15" s="167"/>
      <c r="S15" s="538"/>
      <c r="T15" s="541" t="s">
        <v>213</v>
      </c>
      <c r="U15" s="540"/>
      <c r="V15" s="540"/>
      <c r="W15" s="540"/>
      <c r="X15" s="540"/>
      <c r="Y15" s="540"/>
      <c r="Z15" s="540"/>
      <c r="AA15" s="540"/>
      <c r="AB15" s="540"/>
      <c r="AC15" s="540"/>
      <c r="AD15" s="540"/>
      <c r="AE15" s="540"/>
      <c r="AF15" s="540"/>
      <c r="AG15" s="540"/>
      <c r="AH15" s="540"/>
      <c r="AI15" s="540"/>
      <c r="AJ15" s="540"/>
      <c r="AK15" s="540"/>
      <c r="AL15" s="540"/>
      <c r="AM15" s="540"/>
      <c r="AO15" s="129"/>
      <c r="AP15" s="129" t="str">
        <f t="shared" si="13"/>
        <v xml:space="preserve">Добавить территорию для дифференциации</v>
      </c>
      <c r="AQ15" s="129"/>
      <c r="AR15" s="129"/>
      <c r="AS15" s="57">
        <v>0</v>
      </c>
    </row>
    <row r="16" ht="14.25" hidden="1" customHeight="1">
      <c r="AC16" s="50"/>
      <c r="AK16" s="50"/>
      <c r="AS16" s="50">
        <v>0</v>
      </c>
    </row>
    <row r="17" ht="14.25" hidden="1" customHeight="1">
      <c r="AD17" s="542"/>
      <c r="AE17" s="542"/>
      <c r="AF17" s="542"/>
      <c r="AG17" s="543"/>
      <c r="AH17" s="544"/>
      <c r="AI17" s="545" t="s">
        <v>67</v>
      </c>
      <c r="AJ17" s="544"/>
      <c r="AK17" s="545" t="s">
        <v>67</v>
      </c>
      <c r="AS17" s="50">
        <v>0</v>
      </c>
    </row>
    <row r="18" ht="14.25" hidden="1" customHeight="1">
      <c r="AD18" s="542"/>
      <c r="AE18" s="542"/>
      <c r="AF18" s="542"/>
      <c r="AG18" s="521" t="str">
        <f>AH17&amp;"-"&amp;AJ17</f>
        <v>-</v>
      </c>
      <c r="AH18" s="545"/>
      <c r="AI18" s="545"/>
      <c r="AJ18" s="545"/>
      <c r="AK18" s="545"/>
      <c r="AS18" s="50">
        <v>0</v>
      </c>
    </row>
    <row r="19" ht="14.25" hidden="1" customHeight="1">
      <c r="AK19" s="50"/>
      <c r="AS19" s="50">
        <v>0</v>
      </c>
    </row>
    <row r="20" s="53" customFormat="1" ht="22.5" hidden="1" customHeight="1">
      <c r="L20" s="113"/>
      <c r="M20" s="61"/>
      <c r="N20" s="61"/>
      <c r="O20" s="546" t="s">
        <v>419</v>
      </c>
      <c r="P20" s="61"/>
      <c r="Q20" s="547"/>
      <c r="R20" s="547"/>
      <c r="S20" s="491"/>
      <c r="Z20" s="546"/>
      <c r="AB20" s="546"/>
      <c r="AC20" s="53"/>
      <c r="AH20" s="546"/>
      <c r="AJ20" s="546"/>
      <c r="AK20" s="53"/>
      <c r="AN20" s="57"/>
      <c r="AO20" s="57"/>
      <c r="AP20" s="57"/>
      <c r="AQ20" s="57"/>
      <c r="AR20" s="57"/>
      <c r="AS20" s="53">
        <v>0</v>
      </c>
    </row>
    <row r="21" s="53" customFormat="1" ht="14.25" hidden="1" customHeight="1">
      <c r="L21" s="113"/>
      <c r="M21" s="61"/>
      <c r="N21" s="61"/>
      <c r="O21" s="61"/>
      <c r="P21" s="61"/>
      <c r="Q21" s="547"/>
      <c r="R21" s="547"/>
      <c r="S21" s="491"/>
      <c r="AC21" s="53"/>
      <c r="AK21" s="53"/>
      <c r="AN21" s="57"/>
      <c r="AO21" s="57"/>
      <c r="AP21" s="57"/>
      <c r="AQ21" s="57"/>
      <c r="AR21" s="57"/>
      <c r="AS21" s="53">
        <v>0</v>
      </c>
    </row>
    <row r="22" s="53" customFormat="1" ht="14.25" hidden="1" customHeight="1">
      <c r="L22" s="113"/>
      <c r="M22" s="61"/>
      <c r="N22" s="61"/>
      <c r="O22" s="490" t="s">
        <v>420</v>
      </c>
      <c r="P22" s="61"/>
      <c r="Q22" s="547"/>
      <c r="R22" s="547"/>
      <c r="S22" s="491"/>
      <c r="T22" s="53" t="s">
        <v>421</v>
      </c>
      <c r="AA22" s="151" t="s">
        <v>422</v>
      </c>
      <c r="AC22" s="151" t="s">
        <v>423</v>
      </c>
      <c r="AD22" s="53" t="s">
        <v>421</v>
      </c>
      <c r="AI22" s="151" t="s">
        <v>424</v>
      </c>
      <c r="AK22" s="151" t="s">
        <v>423</v>
      </c>
      <c r="AN22" s="57"/>
      <c r="AO22" s="57"/>
      <c r="AP22" s="57"/>
      <c r="AQ22" s="57"/>
      <c r="AR22" s="57"/>
      <c r="AS22" s="53">
        <v>0</v>
      </c>
    </row>
    <row r="23" ht="14.25" hidden="1" customHeight="1">
      <c r="O23" s="490"/>
      <c r="AS23" s="50">
        <v>0</v>
      </c>
    </row>
    <row r="24" ht="14.25" hidden="1" customHeight="1">
      <c r="O24" s="490"/>
      <c r="AS24" s="50">
        <v>0</v>
      </c>
    </row>
    <row r="25" ht="14.65" customHeight="1">
      <c r="Q25" s="548"/>
      <c r="R25" s="548"/>
      <c r="S25" s="549"/>
      <c r="T25" s="91"/>
      <c r="U25" s="91"/>
      <c r="V25" s="50"/>
      <c r="W25" s="50"/>
      <c r="X25" s="50"/>
      <c r="Y25" s="50"/>
      <c r="Z25" s="50"/>
      <c r="AA25" s="50"/>
      <c r="AB25" s="50"/>
      <c r="AC25" s="50"/>
      <c r="AD25" s="50"/>
      <c r="AE25" s="50"/>
      <c r="AF25" s="50"/>
      <c r="AG25" s="50"/>
      <c r="AH25" s="50"/>
      <c r="AI25" s="50"/>
      <c r="AJ25" s="50"/>
      <c r="AK25" s="50"/>
      <c r="AS25" s="50">
        <v>14</v>
      </c>
    </row>
    <row r="26" ht="63" customHeight="1">
      <c r="Q26" s="548"/>
      <c r="R26" s="548"/>
      <c r="S26" s="461" t="str">
        <f>IF(TEMPLATE_GROUP="P",PT_P_FORM_HEAT_5_NAME_FORM,PT_R_FORM_HEAT_22_NAME_FORM)</f>
        <v xml:space="preserve">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461"/>
      <c r="U26" s="461"/>
      <c r="V26" s="461"/>
      <c r="W26" s="461"/>
      <c r="X26" s="461"/>
      <c r="Y26" s="461"/>
      <c r="Z26" s="461"/>
      <c r="AA26" s="461"/>
      <c r="AB26" s="461"/>
      <c r="AC26" s="461"/>
      <c r="AD26" s="461"/>
      <c r="AE26" s="461"/>
      <c r="AF26" s="461"/>
      <c r="AG26" s="461"/>
      <c r="AH26" s="461"/>
      <c r="AI26" s="461"/>
      <c r="AJ26" s="461"/>
      <c r="AK26" s="240"/>
      <c r="AS26" s="50">
        <v>60</v>
      </c>
    </row>
    <row r="27" ht="14.65" customHeight="1">
      <c r="Q27" s="548"/>
      <c r="R27" s="548"/>
      <c r="S27" s="316" t="str">
        <f>IF(org=0,"Не определено",org)</f>
        <v xml:space="preserve">АО "ДГК"</v>
      </c>
      <c r="T27" s="316"/>
      <c r="U27" s="316"/>
      <c r="V27" s="316"/>
      <c r="W27" s="316"/>
      <c r="X27" s="316"/>
      <c r="Y27" s="316"/>
      <c r="Z27" s="316"/>
      <c r="AA27" s="316"/>
      <c r="AB27" s="316"/>
      <c r="AC27" s="316"/>
      <c r="AD27" s="316"/>
      <c r="AE27" s="316"/>
      <c r="AF27" s="316"/>
      <c r="AG27" s="316"/>
      <c r="AH27" s="316"/>
      <c r="AI27" s="316"/>
      <c r="AJ27" s="316"/>
      <c r="AK27" s="240"/>
      <c r="AS27" s="50">
        <v>14</v>
      </c>
    </row>
    <row r="28" ht="14.25" hidden="1" customHeight="1">
      <c r="Q28" s="548"/>
      <c r="R28" s="548"/>
      <c r="S28" s="549"/>
      <c r="T28" s="91"/>
      <c r="U28" s="91"/>
      <c r="V28" s="550"/>
      <c r="W28" s="550"/>
      <c r="X28" s="550"/>
      <c r="Y28" s="550"/>
      <c r="Z28" s="550"/>
      <c r="AA28" s="550"/>
      <c r="AB28" s="550"/>
      <c r="AC28" s="550"/>
      <c r="AD28" s="550"/>
      <c r="AE28" s="550"/>
      <c r="AF28" s="550"/>
      <c r="AG28" s="550"/>
      <c r="AH28" s="550"/>
      <c r="AI28" s="550"/>
      <c r="AJ28" s="550"/>
      <c r="AK28" s="550"/>
      <c r="AL28" s="50"/>
      <c r="AS28" s="50">
        <v>0</v>
      </c>
    </row>
    <row r="29" s="184" customFormat="1" ht="25.5" hidden="1" customHeight="1">
      <c r="A29" s="151"/>
      <c r="B29" s="151"/>
      <c r="C29" s="151"/>
      <c r="D29" s="151"/>
      <c r="E29" s="151"/>
      <c r="F29" s="151"/>
      <c r="G29" s="151"/>
      <c r="H29" s="151"/>
      <c r="I29" s="151"/>
      <c r="J29" s="151"/>
      <c r="K29" s="151"/>
      <c r="L29" s="490"/>
      <c r="M29" s="151"/>
      <c r="N29" s="151"/>
      <c r="O29" s="151"/>
      <c r="S29" s="551" t="s">
        <v>42</v>
      </c>
      <c r="T29" s="551"/>
      <c r="U29" s="552"/>
      <c r="V29" s="553" t="str">
        <f>IF(TITLE_NAME_OR_PR_CHANGE="",IF(TITLE_NAME_OR_PR="","",TITLE_NAME_OR_PR),TITLE_NAME_OR_PR_CHANGE)</f>
        <v/>
      </c>
      <c r="W29" s="553"/>
      <c r="X29" s="553"/>
      <c r="Y29" s="553"/>
      <c r="Z29" s="553"/>
      <c r="AA29" s="553"/>
      <c r="AB29" s="553"/>
      <c r="AC29" s="50"/>
      <c r="AD29" s="553" t="str">
        <f>IF(TITLE_NAME_OR_PR_CHANGE="",IF(TITLE_NAME_OR_PR="","",TITLE_NAME_OR_PR),TITLE_NAME_OR_PR_CHANGE)</f>
        <v/>
      </c>
      <c r="AE29" s="553"/>
      <c r="AF29" s="553"/>
      <c r="AG29" s="553"/>
      <c r="AH29" s="553"/>
      <c r="AI29" s="553"/>
      <c r="AJ29" s="553"/>
      <c r="AK29" s="50"/>
      <c r="AL29" s="50"/>
      <c r="AM29" s="554"/>
      <c r="AN29" s="129"/>
      <c r="AO29" s="129"/>
      <c r="AP29" s="129"/>
      <c r="AQ29" s="129"/>
      <c r="AR29" s="129"/>
      <c r="AS29" s="184">
        <v>0</v>
      </c>
    </row>
    <row r="30" s="184" customFormat="1" ht="18.75" hidden="1" customHeight="1">
      <c r="A30" s="151"/>
      <c r="B30" s="151"/>
      <c r="C30" s="151"/>
      <c r="D30" s="151"/>
      <c r="E30" s="151"/>
      <c r="F30" s="151"/>
      <c r="G30" s="151"/>
      <c r="H30" s="151"/>
      <c r="I30" s="151"/>
      <c r="J30" s="151"/>
      <c r="K30" s="151"/>
      <c r="L30" s="490"/>
      <c r="M30" s="151"/>
      <c r="N30" s="151"/>
      <c r="O30" s="151"/>
      <c r="S30" s="551" t="s">
        <v>425</v>
      </c>
      <c r="T30" s="551"/>
      <c r="U30" s="552"/>
      <c r="V30" s="555">
        <f>IF(TITLE_DATE_PR_CHANGE="",IF(TITLE_DATE_PR="","",TITLE_DATE_PR),TITLE_DATE_PR_CHANGE)</f>
        <v>46212.428518518522</v>
      </c>
      <c r="W30" s="555"/>
      <c r="X30" s="555"/>
      <c r="Y30" s="555"/>
      <c r="Z30" s="555"/>
      <c r="AA30" s="555"/>
      <c r="AB30" s="555"/>
      <c r="AC30" s="50"/>
      <c r="AD30" s="555">
        <f>IF(TITLE_DATE_PR_CHANGE="",IF(TITLE_DATE_PR="","",TITLE_DATE_PR),TITLE_DATE_PR_CHANGE)</f>
        <v>46212.428518518522</v>
      </c>
      <c r="AE30" s="555"/>
      <c r="AF30" s="555"/>
      <c r="AG30" s="555"/>
      <c r="AH30" s="555"/>
      <c r="AI30" s="555"/>
      <c r="AJ30" s="555"/>
      <c r="AK30" s="50"/>
      <c r="AL30" s="50"/>
      <c r="AM30" s="554"/>
      <c r="AN30" s="129"/>
      <c r="AO30" s="129"/>
      <c r="AP30" s="129"/>
      <c r="AQ30" s="129"/>
      <c r="AR30" s="129"/>
      <c r="AS30" s="184">
        <v>0</v>
      </c>
    </row>
    <row r="31" s="184" customFormat="1" ht="18.75" hidden="1" customHeight="1">
      <c r="A31" s="151"/>
      <c r="B31" s="151"/>
      <c r="C31" s="151"/>
      <c r="D31" s="151"/>
      <c r="E31" s="151"/>
      <c r="F31" s="151"/>
      <c r="G31" s="151"/>
      <c r="H31" s="151"/>
      <c r="I31" s="151"/>
      <c r="J31" s="151"/>
      <c r="K31" s="151"/>
      <c r="L31" s="490"/>
      <c r="M31" s="151"/>
      <c r="N31" s="151"/>
      <c r="O31" s="151"/>
      <c r="S31" s="551" t="s">
        <v>426</v>
      </c>
      <c r="T31" s="551"/>
      <c r="U31" s="552"/>
      <c r="V31" s="553" t="str">
        <f>IF(TITLE_NUMBER_PR_CHANGE="",IF(TITLE_NUMBER_PR="","",TITLE_NUMBER_PR),TITLE_NUMBER_PR_CHANGE)</f>
        <v>Исх-260/1397</v>
      </c>
      <c r="W31" s="553"/>
      <c r="X31" s="553"/>
      <c r="Y31" s="553"/>
      <c r="Z31" s="553"/>
      <c r="AA31" s="553"/>
      <c r="AB31" s="553"/>
      <c r="AC31" s="50"/>
      <c r="AD31" s="553" t="str">
        <f>IF(TITLE_NUMBER_PR_CHANGE="",IF(TITLE_NUMBER_PR="","",TITLE_NUMBER_PR),TITLE_NUMBER_PR_CHANGE)</f>
        <v>Исх-260/1397</v>
      </c>
      <c r="AE31" s="553"/>
      <c r="AF31" s="553"/>
      <c r="AG31" s="553"/>
      <c r="AH31" s="553"/>
      <c r="AI31" s="553"/>
      <c r="AJ31" s="553"/>
      <c r="AK31" s="50"/>
      <c r="AL31" s="50"/>
      <c r="AM31" s="554"/>
      <c r="AN31" s="129"/>
      <c r="AO31" s="129"/>
      <c r="AP31" s="129"/>
      <c r="AQ31" s="129"/>
      <c r="AR31" s="129"/>
      <c r="AS31" s="184">
        <v>0</v>
      </c>
    </row>
    <row r="32" s="184" customFormat="1" ht="18.75" hidden="1" customHeight="1">
      <c r="A32" s="151"/>
      <c r="B32" s="151"/>
      <c r="C32" s="151"/>
      <c r="D32" s="151"/>
      <c r="E32" s="151"/>
      <c r="F32" s="151"/>
      <c r="G32" s="151"/>
      <c r="H32" s="151"/>
      <c r="I32" s="151"/>
      <c r="J32" s="151"/>
      <c r="K32" s="151"/>
      <c r="L32" s="490"/>
      <c r="M32" s="151"/>
      <c r="N32" s="151"/>
      <c r="O32" s="151"/>
      <c r="S32" s="551" t="s">
        <v>43</v>
      </c>
      <c r="T32" s="551"/>
      <c r="U32" s="552"/>
      <c r="V32" s="553" t="str">
        <f>IF(TITLE_IST_PUB_CHANGE="",IF(TITLE_IST_PUB="","",TITLE_IST_PUB),TITLE_IST_PUB_CHANGE)</f>
        <v/>
      </c>
      <c r="W32" s="553"/>
      <c r="X32" s="553"/>
      <c r="Y32" s="553"/>
      <c r="Z32" s="553"/>
      <c r="AA32" s="553"/>
      <c r="AB32" s="553"/>
      <c r="AC32" s="50"/>
      <c r="AD32" s="553" t="str">
        <f>IF(TITLE_IST_PUB_CHANGE="",IF(TITLE_IST_PUB="","",TITLE_IST_PUB),TITLE_IST_PUB_CHANGE)</f>
        <v/>
      </c>
      <c r="AE32" s="553"/>
      <c r="AF32" s="553"/>
      <c r="AG32" s="553"/>
      <c r="AH32" s="553"/>
      <c r="AI32" s="553"/>
      <c r="AJ32" s="553"/>
      <c r="AK32" s="50"/>
      <c r="AL32" s="50"/>
      <c r="AM32" s="554"/>
      <c r="AN32" s="129"/>
      <c r="AO32" s="129"/>
      <c r="AP32" s="129"/>
      <c r="AQ32" s="129"/>
      <c r="AR32" s="129"/>
      <c r="AS32" s="184">
        <v>0</v>
      </c>
    </row>
    <row r="33" ht="14.25" customHeight="1">
      <c r="Q33" s="548"/>
      <c r="R33" s="548"/>
      <c r="S33" s="549"/>
      <c r="T33" s="91"/>
      <c r="U33" s="91"/>
      <c r="V33" s="550"/>
      <c r="W33" s="550"/>
      <c r="X33" s="550"/>
      <c r="Y33" s="550"/>
      <c r="Z33" s="550"/>
      <c r="AA33" s="550"/>
      <c r="AB33" s="550"/>
      <c r="AC33" s="550"/>
      <c r="AD33" s="550"/>
      <c r="AE33" s="550"/>
      <c r="AF33" s="550"/>
      <c r="AG33" s="550"/>
      <c r="AH33" s="550"/>
      <c r="AI33" s="550"/>
      <c r="AJ33" s="550"/>
      <c r="AK33" s="550"/>
      <c r="AL33" s="50"/>
      <c r="AS33" s="50">
        <v>0</v>
      </c>
    </row>
    <row r="34" s="184" customFormat="1" ht="18.75" customHeight="1">
      <c r="A34" s="151"/>
      <c r="B34" s="151"/>
      <c r="C34" s="151"/>
      <c r="D34" s="151"/>
      <c r="E34" s="151"/>
      <c r="F34" s="151"/>
      <c r="G34" s="151"/>
      <c r="H34" s="151"/>
      <c r="I34" s="151"/>
      <c r="J34" s="151"/>
      <c r="K34" s="151"/>
      <c r="L34" s="490"/>
      <c r="M34" s="151"/>
      <c r="N34" s="151"/>
      <c r="O34" s="151"/>
      <c r="S34" s="551" t="s">
        <v>427</v>
      </c>
      <c r="T34" s="551"/>
      <c r="U34" s="552"/>
      <c r="V34" s="555">
        <f>IF(TITLE_DATE_PR_CHANGE="",IF(TITLE_DATE_PR="","",TITLE_DATE_PR),TITLE_DATE_PR_CHANGE)</f>
        <v>46212.428518518522</v>
      </c>
      <c r="W34" s="555"/>
      <c r="X34" s="555"/>
      <c r="Y34" s="555"/>
      <c r="Z34" s="555"/>
      <c r="AA34" s="555"/>
      <c r="AB34" s="555"/>
      <c r="AC34" s="50"/>
      <c r="AD34" s="555">
        <f>IF(TITLE_DATE_PR_CHANGE="",IF(TITLE_DATE_PR="","",TITLE_DATE_PR),TITLE_DATE_PR_CHANGE)</f>
        <v>46212.428518518522</v>
      </c>
      <c r="AE34" s="555"/>
      <c r="AF34" s="555"/>
      <c r="AG34" s="555"/>
      <c r="AH34" s="555"/>
      <c r="AI34" s="555"/>
      <c r="AJ34" s="555"/>
      <c r="AK34" s="50"/>
      <c r="AL34" s="50"/>
      <c r="AM34" s="554"/>
      <c r="AN34" s="129"/>
      <c r="AO34" s="129"/>
      <c r="AP34" s="129"/>
      <c r="AQ34" s="129"/>
      <c r="AR34" s="129"/>
      <c r="AS34" s="184">
        <v>0</v>
      </c>
    </row>
    <row r="35" s="184" customFormat="1" ht="18.75" customHeight="1">
      <c r="A35" s="151"/>
      <c r="B35" s="151"/>
      <c r="C35" s="151"/>
      <c r="D35" s="151"/>
      <c r="E35" s="151"/>
      <c r="F35" s="151"/>
      <c r="G35" s="151"/>
      <c r="H35" s="151"/>
      <c r="I35" s="151"/>
      <c r="J35" s="151"/>
      <c r="K35" s="151"/>
      <c r="L35" s="490"/>
      <c r="M35" s="151"/>
      <c r="N35" s="151"/>
      <c r="O35" s="151"/>
      <c r="S35" s="551" t="s">
        <v>428</v>
      </c>
      <c r="T35" s="551"/>
      <c r="U35" s="552"/>
      <c r="V35" s="553" t="str">
        <f>IF(TITLE_NUMBER_PR_CHANGE="",IF(TITLE_NUMBER_PR="","",TITLE_NUMBER_PR),TITLE_NUMBER_PR_CHANGE)</f>
        <v>Исх-260/1397</v>
      </c>
      <c r="W35" s="553"/>
      <c r="X35" s="553"/>
      <c r="Y35" s="553"/>
      <c r="Z35" s="553"/>
      <c r="AA35" s="553"/>
      <c r="AB35" s="553"/>
      <c r="AC35" s="50"/>
      <c r="AD35" s="553" t="str">
        <f>IF(TITLE_NUMBER_PR_CHANGE="",IF(TITLE_NUMBER_PR="","",TITLE_NUMBER_PR),TITLE_NUMBER_PR_CHANGE)</f>
        <v>Исх-260/1397</v>
      </c>
      <c r="AE35" s="553"/>
      <c r="AF35" s="553"/>
      <c r="AG35" s="553"/>
      <c r="AH35" s="553"/>
      <c r="AI35" s="553"/>
      <c r="AJ35" s="553"/>
      <c r="AK35" s="50"/>
      <c r="AL35" s="50"/>
      <c r="AM35" s="554"/>
      <c r="AN35" s="129"/>
      <c r="AO35" s="129"/>
      <c r="AP35" s="129"/>
      <c r="AQ35" s="129"/>
      <c r="AR35" s="129"/>
      <c r="AS35" s="184">
        <v>0</v>
      </c>
    </row>
    <row r="36" s="184" customFormat="1" ht="0" customHeight="1">
      <c r="A36" s="151"/>
      <c r="B36" s="151"/>
      <c r="C36" s="151"/>
      <c r="D36" s="151"/>
      <c r="E36" s="151"/>
      <c r="F36" s="151"/>
      <c r="G36" s="151"/>
      <c r="H36" s="151"/>
      <c r="I36" s="151"/>
      <c r="J36" s="151"/>
      <c r="K36" s="151"/>
      <c r="L36" s="490"/>
      <c r="M36" s="151"/>
      <c r="N36" s="151"/>
      <c r="O36" s="151"/>
      <c r="S36" s="50"/>
      <c r="T36" s="50"/>
      <c r="U36" s="140"/>
      <c r="V36" s="50"/>
      <c r="W36" s="50"/>
      <c r="X36" s="50"/>
      <c r="Y36" s="50"/>
      <c r="Z36" s="50"/>
      <c r="AA36" s="50"/>
      <c r="AB36" s="50"/>
      <c r="AC36" s="57" t="s">
        <v>429</v>
      </c>
      <c r="AD36" s="50"/>
      <c r="AE36" s="50"/>
      <c r="AF36" s="50"/>
      <c r="AG36" s="50"/>
      <c r="AH36" s="50"/>
      <c r="AI36" s="50"/>
      <c r="AJ36" s="50"/>
      <c r="AK36" s="57" t="s">
        <v>429</v>
      </c>
      <c r="AN36" s="129"/>
      <c r="AO36" s="129"/>
      <c r="AP36" s="129"/>
      <c r="AQ36" s="129"/>
      <c r="AR36" s="129"/>
      <c r="AS36" s="184">
        <v>0</v>
      </c>
    </row>
    <row r="37" ht="14.65" customHeight="1">
      <c r="Q37" s="548"/>
      <c r="R37" s="548"/>
      <c r="S37" s="549"/>
      <c r="T37" s="91"/>
      <c r="U37" s="556"/>
      <c r="V37" s="557"/>
      <c r="W37" s="557"/>
      <c r="X37" s="557"/>
      <c r="Y37" s="557"/>
      <c r="Z37" s="557"/>
      <c r="AA37" s="557"/>
      <c r="AB37" s="557"/>
      <c r="AC37" s="557"/>
      <c r="AD37" s="557"/>
      <c r="AE37" s="557"/>
      <c r="AF37" s="557"/>
      <c r="AG37" s="557"/>
      <c r="AH37" s="557"/>
      <c r="AI37" s="557"/>
      <c r="AJ37" s="557"/>
      <c r="AK37" s="557"/>
      <c r="AS37" s="50">
        <v>14</v>
      </c>
    </row>
    <row r="38" ht="14.65" customHeight="1">
      <c r="Q38" s="548"/>
      <c r="R38" s="548"/>
      <c r="S38" s="157" t="s">
        <v>305</v>
      </c>
      <c r="T38" s="157"/>
      <c r="U38" s="157"/>
      <c r="V38" s="157"/>
      <c r="W38" s="157"/>
      <c r="X38" s="157"/>
      <c r="Y38" s="157"/>
      <c r="Z38" s="157"/>
      <c r="AA38" s="157"/>
      <c r="AB38" s="157"/>
      <c r="AC38" s="157"/>
      <c r="AD38" s="157"/>
      <c r="AE38" s="157"/>
      <c r="AF38" s="157"/>
      <c r="AG38" s="157"/>
      <c r="AH38" s="157"/>
      <c r="AI38" s="157"/>
      <c r="AJ38" s="157"/>
      <c r="AK38" s="157"/>
      <c r="AL38" s="157"/>
      <c r="AM38" s="157" t="s">
        <v>306</v>
      </c>
      <c r="AS38" s="50">
        <v>14</v>
      </c>
    </row>
    <row r="39" ht="14.65" customHeight="1">
      <c r="Q39" s="548"/>
      <c r="R39" s="548"/>
      <c r="S39" s="493" t="s">
        <v>89</v>
      </c>
      <c r="T39" s="358" t="s">
        <v>430</v>
      </c>
      <c r="U39" s="558"/>
      <c r="V39" s="559" t="s">
        <v>431</v>
      </c>
      <c r="W39" s="560"/>
      <c r="X39" s="560"/>
      <c r="Y39" s="560"/>
      <c r="Z39" s="560"/>
      <c r="AA39" s="560"/>
      <c r="AB39" s="561"/>
      <c r="AC39" s="562" t="s">
        <v>432</v>
      </c>
      <c r="AD39" s="559" t="s">
        <v>431</v>
      </c>
      <c r="AE39" s="560"/>
      <c r="AF39" s="560"/>
      <c r="AG39" s="560"/>
      <c r="AH39" s="560"/>
      <c r="AI39" s="560"/>
      <c r="AJ39" s="561"/>
      <c r="AK39" s="562" t="s">
        <v>433</v>
      </c>
      <c r="AL39" s="563" t="s">
        <v>434</v>
      </c>
      <c r="AM39" s="157"/>
      <c r="AS39" s="50">
        <v>14</v>
      </c>
    </row>
    <row r="40" ht="35.649999999999999" customHeight="1">
      <c r="Q40" s="548"/>
      <c r="R40" s="548"/>
      <c r="S40" s="493"/>
      <c r="T40" s="358"/>
      <c r="U40" s="564"/>
      <c r="V40" s="320" t="s">
        <v>435</v>
      </c>
      <c r="W40" s="565"/>
      <c r="X40" s="73" t="s">
        <v>437</v>
      </c>
      <c r="Y40" s="72"/>
      <c r="Z40" s="73" t="s">
        <v>438</v>
      </c>
      <c r="AA40" s="145"/>
      <c r="AB40" s="72"/>
      <c r="AC40" s="566"/>
      <c r="AD40" s="320" t="s">
        <v>451</v>
      </c>
      <c r="AE40" s="565"/>
      <c r="AF40" s="73" t="s">
        <v>437</v>
      </c>
      <c r="AG40" s="72"/>
      <c r="AH40" s="73" t="s">
        <v>438</v>
      </c>
      <c r="AI40" s="145"/>
      <c r="AJ40" s="72"/>
      <c r="AK40" s="566"/>
      <c r="AL40" s="567"/>
      <c r="AM40" s="157"/>
      <c r="AS40" s="50">
        <v>34</v>
      </c>
    </row>
    <row r="41" ht="35.649999999999999" customHeight="1">
      <c r="A41" s="151"/>
      <c r="B41" s="151" t="s">
        <v>135</v>
      </c>
      <c r="C41" s="151" t="s">
        <v>136</v>
      </c>
      <c r="D41" s="151" t="s">
        <v>137</v>
      </c>
      <c r="E41" s="490" t="s">
        <v>439</v>
      </c>
      <c r="F41" s="490" t="s">
        <v>440</v>
      </c>
      <c r="G41" s="490" t="s">
        <v>441</v>
      </c>
      <c r="H41" s="490" t="s">
        <v>442</v>
      </c>
      <c r="I41" s="490" t="s">
        <v>443</v>
      </c>
      <c r="J41" s="490" t="s">
        <v>444</v>
      </c>
      <c r="K41" s="490" t="s">
        <v>445</v>
      </c>
      <c r="L41" s="490" t="s">
        <v>420</v>
      </c>
      <c r="Q41" s="548"/>
      <c r="R41" s="548"/>
      <c r="S41" s="493"/>
      <c r="T41" s="358"/>
      <c r="U41" s="568"/>
      <c r="V41" s="162"/>
      <c r="W41" s="569"/>
      <c r="X41" s="246" t="s">
        <v>446</v>
      </c>
      <c r="Y41" s="246" t="s">
        <v>447</v>
      </c>
      <c r="Z41" s="246" t="s">
        <v>448</v>
      </c>
      <c r="AA41" s="424" t="s">
        <v>449</v>
      </c>
      <c r="AB41" s="426"/>
      <c r="AC41" s="570"/>
      <c r="AD41" s="162"/>
      <c r="AE41" s="569"/>
      <c r="AF41" s="246" t="s">
        <v>446</v>
      </c>
      <c r="AG41" s="246" t="s">
        <v>447</v>
      </c>
      <c r="AH41" s="246" t="s">
        <v>448</v>
      </c>
      <c r="AI41" s="424" t="s">
        <v>449</v>
      </c>
      <c r="AJ41" s="426"/>
      <c r="AK41" s="570"/>
      <c r="AL41" s="571"/>
      <c r="AM41" s="157"/>
      <c r="AS41" s="50">
        <v>34</v>
      </c>
    </row>
    <row r="42" s="131" customFormat="1" ht="11.25" hidden="1" customHeight="1">
      <c r="A42" s="151"/>
      <c r="B42" s="151"/>
      <c r="C42" s="151"/>
      <c r="D42" s="151"/>
      <c r="E42" s="151"/>
      <c r="F42" s="151"/>
      <c r="G42" s="151"/>
      <c r="H42" s="151"/>
      <c r="I42" s="151"/>
      <c r="J42" s="151"/>
      <c r="K42" s="151"/>
      <c r="L42" s="490"/>
      <c r="M42" s="61"/>
      <c r="N42" s="61"/>
      <c r="O42" s="61"/>
      <c r="P42" s="572"/>
      <c r="Q42" s="573"/>
      <c r="R42" s="574">
        <v>1</v>
      </c>
      <c r="S42" s="575" t="s">
        <v>109</v>
      </c>
      <c r="T42" s="576" t="s">
        <v>110</v>
      </c>
      <c r="U42" s="577" t="str">
        <f ca="1">OFFSET(U42,0,-1)</f>
        <v>2</v>
      </c>
      <c r="V42" s="578">
        <f ca="1">OFFSET(V42,0,-1)+1</f>
        <v>3</v>
      </c>
      <c r="W42" s="578"/>
      <c r="X42" s="578">
        <f ca="1">OFFSET(X42,0,-1)+1</f>
        <v>1</v>
      </c>
      <c r="Y42" s="578">
        <f ca="1">OFFSET(Y42,0,-1)+1</f>
        <v>2</v>
      </c>
      <c r="Z42" s="578">
        <f ca="1">OFFSET(Z42,0,-1)+1</f>
        <v>3</v>
      </c>
      <c r="AA42" s="578">
        <f ca="1">OFFSET(AA42,0,-1)+1</f>
        <v>4</v>
      </c>
      <c r="AB42" s="578"/>
      <c r="AC42" s="578">
        <f ca="1">OFFSET(AC42,0,-2)+1</f>
        <v>5</v>
      </c>
      <c r="AD42" s="578">
        <f ca="1">OFFSET(AD42,0,-1)+1</f>
        <v>6</v>
      </c>
      <c r="AE42" s="578"/>
      <c r="AF42" s="578">
        <f ca="1">OFFSET(AF42,0,-1)+1</f>
        <v>1</v>
      </c>
      <c r="AG42" s="578">
        <f ca="1">OFFSET(AG42,0,-1)+1</f>
        <v>2</v>
      </c>
      <c r="AH42" s="578">
        <f ca="1">OFFSET(AH42,0,-1)+1</f>
        <v>3</v>
      </c>
      <c r="AI42" s="578">
        <f ca="1">OFFSET(AI42,0,-1)+1</f>
        <v>4</v>
      </c>
      <c r="AJ42" s="578"/>
      <c r="AK42" s="578">
        <f ca="1">OFFSET(AK42,0,-2)+1</f>
        <v>5</v>
      </c>
      <c r="AL42" s="577">
        <f ca="1">OFFSET(AL42,0,-1)</f>
        <v>5</v>
      </c>
      <c r="AM42" s="578">
        <f ca="1">OFFSET(AM42,0,-1)+1</f>
        <v>6</v>
      </c>
      <c r="AN42" s="57"/>
      <c r="AO42" s="57"/>
      <c r="AP42" s="57"/>
      <c r="AQ42" s="57"/>
      <c r="AR42" s="57"/>
      <c r="AS42" s="131">
        <v>0</v>
      </c>
    </row>
    <row r="43" ht="22" customHeight="1">
      <c r="A43" s="488" t="s">
        <v>168</v>
      </c>
      <c r="B43" s="488"/>
      <c r="C43" s="488"/>
      <c r="D43" s="488"/>
      <c r="E43" s="489">
        <v>1</v>
      </c>
      <c r="F43" s="488"/>
      <c r="G43" s="488"/>
      <c r="H43" s="488"/>
      <c r="I43" s="488"/>
      <c r="J43" s="488"/>
      <c r="K43" s="488"/>
      <c r="L43" s="490"/>
      <c r="M43" s="491"/>
      <c r="N43" s="491"/>
      <c r="O43" s="491"/>
      <c r="P43" s="60"/>
      <c r="Q43" s="143"/>
      <c r="R43" s="492"/>
      <c r="S43" s="493">
        <f>INDEX(PT_DIFFERENTIATION_NUM_NTAR,MATCH(A43,PT_DIFFERENTIATION_NTAR_ID,0))</f>
        <v>0</v>
      </c>
      <c r="T43" s="494" t="s">
        <v>123</v>
      </c>
      <c r="U43" s="495"/>
      <c r="V43" s="496"/>
      <c r="W43" s="497"/>
      <c r="X43" s="497"/>
      <c r="Y43" s="497"/>
      <c r="Z43" s="497"/>
      <c r="AA43" s="497"/>
      <c r="AB43" s="497"/>
      <c r="AC43" s="498"/>
      <c r="AD43" s="496" t="str">
        <f>INDEX(PT_DIFFERENTIATION_NTAR,MATCH(A43,PT_DIFFERENTIATION_NTAR_ID,0))</f>
        <v/>
      </c>
      <c r="AE43" s="497"/>
      <c r="AF43" s="497"/>
      <c r="AG43" s="497"/>
      <c r="AH43" s="497"/>
      <c r="AI43" s="497"/>
      <c r="AJ43" s="497"/>
      <c r="AK43" s="497"/>
      <c r="AL43" s="498"/>
      <c r="AM43" s="49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29"/>
      <c r="AP43" s="129" t="str">
        <f t="shared" si="13"/>
        <v xml:space="preserve">Наименование тарифа</v>
      </c>
      <c r="AQ43" s="129"/>
      <c r="AR43" s="129"/>
      <c r="AS43" s="50">
        <v>21</v>
      </c>
    </row>
    <row r="44" ht="22" customHeight="1">
      <c r="A44" s="488" t="s">
        <v>168</v>
      </c>
      <c r="B44" s="488" t="s">
        <v>169</v>
      </c>
      <c r="C44" s="488"/>
      <c r="D44" s="488"/>
      <c r="E44" s="500"/>
      <c r="F44" s="489">
        <v>1</v>
      </c>
      <c r="G44" s="488"/>
      <c r="H44" s="488"/>
      <c r="I44" s="488"/>
      <c r="J44" s="488"/>
      <c r="K44" s="488"/>
      <c r="L44" s="490"/>
      <c r="M44" s="491"/>
      <c r="N44" s="491"/>
      <c r="O44" s="491"/>
      <c r="P44" s="51"/>
      <c r="Q44" s="501"/>
      <c r="R44" s="502"/>
      <c r="S44" s="493" t="str">
        <f>INDEX(PT_DIFFERENTIATION_NUM_TER,MATCH(B44,PT_DIFFERENTIATION_TER_ID,0))</f>
        <v>.</v>
      </c>
      <c r="T44" s="503" t="s">
        <v>402</v>
      </c>
      <c r="U44" s="495"/>
      <c r="V44" s="496"/>
      <c r="W44" s="497"/>
      <c r="X44" s="497"/>
      <c r="Y44" s="497"/>
      <c r="Z44" s="497"/>
      <c r="AA44" s="497"/>
      <c r="AB44" s="497"/>
      <c r="AC44" s="498"/>
      <c r="AD44" s="496" t="str">
        <f>INDEX(PT_DIFFERENTIATION_TER,MATCH(B44,PT_DIFFERENTIATION_TER_ID,0))</f>
        <v/>
      </c>
      <c r="AE44" s="497"/>
      <c r="AF44" s="497"/>
      <c r="AG44" s="497"/>
      <c r="AH44" s="497"/>
      <c r="AI44" s="497"/>
      <c r="AJ44" s="497"/>
      <c r="AK44" s="497"/>
      <c r="AL44" s="498"/>
      <c r="AM44" s="499" t="s">
        <v>403</v>
      </c>
      <c r="AO44" s="129"/>
      <c r="AP44" s="129" t="str">
        <f t="shared" si="13"/>
        <v xml:space="preserve">Территория действия тарифа</v>
      </c>
      <c r="AQ44" s="129"/>
      <c r="AR44" s="129"/>
      <c r="AS44" s="50">
        <v>21</v>
      </c>
    </row>
    <row r="45" ht="24" customHeight="1">
      <c r="A45" s="488" t="s">
        <v>168</v>
      </c>
      <c r="B45" s="488" t="s">
        <v>169</v>
      </c>
      <c r="C45" s="488" t="s">
        <v>170</v>
      </c>
      <c r="D45" s="488"/>
      <c r="E45" s="500"/>
      <c r="F45" s="500"/>
      <c r="G45" s="489">
        <v>1</v>
      </c>
      <c r="H45" s="488"/>
      <c r="I45" s="488"/>
      <c r="J45" s="488"/>
      <c r="K45" s="488"/>
      <c r="L45" s="490"/>
      <c r="M45" s="491"/>
      <c r="N45" s="491"/>
      <c r="O45" s="491"/>
      <c r="P45" s="504"/>
      <c r="Q45" s="501"/>
      <c r="R45" s="502"/>
      <c r="S45" s="493" t="str">
        <f>INDEX(PT_DIFFERENTIATION_NUM_CS,MATCH(C45,PT_DIFFERENTIATION_CS_ID,0))</f>
        <v>..</v>
      </c>
      <c r="T45" s="505" t="s">
        <v>404</v>
      </c>
      <c r="U45" s="495"/>
      <c r="V45" s="496"/>
      <c r="W45" s="497"/>
      <c r="X45" s="497"/>
      <c r="Y45" s="497"/>
      <c r="Z45" s="497"/>
      <c r="AA45" s="497"/>
      <c r="AB45" s="497"/>
      <c r="AC45" s="498"/>
      <c r="AD45" s="496" t="str">
        <f>INDEX(PT_DIFFERENTIATION_CS,MATCH(C45,PT_DIFFERENTIATION_CS_ID,0))</f>
        <v/>
      </c>
      <c r="AE45" s="497"/>
      <c r="AF45" s="497"/>
      <c r="AG45" s="497"/>
      <c r="AH45" s="497"/>
      <c r="AI45" s="497"/>
      <c r="AJ45" s="497"/>
      <c r="AK45" s="497"/>
      <c r="AL45" s="498"/>
      <c r="AM45" s="499" t="s">
        <v>405</v>
      </c>
      <c r="AO45" s="129"/>
      <c r="AP45" s="129" t="str">
        <f t="shared" si="13"/>
        <v xml:space="preserve">Наименование системы теплоснабжения </v>
      </c>
      <c r="AQ45" s="129"/>
      <c r="AR45" s="129"/>
      <c r="AS45" s="50">
        <v>23</v>
      </c>
    </row>
    <row r="46" ht="22" customHeight="1">
      <c r="A46" s="488" t="s">
        <v>168</v>
      </c>
      <c r="B46" s="488" t="s">
        <v>169</v>
      </c>
      <c r="C46" s="488" t="s">
        <v>170</v>
      </c>
      <c r="D46" s="488" t="s">
        <v>171</v>
      </c>
      <c r="E46" s="500"/>
      <c r="F46" s="500"/>
      <c r="G46" s="500"/>
      <c r="H46" s="489">
        <v>1</v>
      </c>
      <c r="I46" s="488"/>
      <c r="J46" s="488"/>
      <c r="K46" s="488"/>
      <c r="L46" s="490"/>
      <c r="M46" s="491"/>
      <c r="N46" s="491"/>
      <c r="O46" s="491"/>
      <c r="P46" s="504"/>
      <c r="Q46" s="501"/>
      <c r="R46" s="502"/>
      <c r="S46" s="493" t="str">
        <f>INDEX(PT_DIFFERENTIATION_NUM_IST_TE,MATCH(D46,PT_DIFFERENTIATION_IST_TE_ID,0))</f>
        <v>...</v>
      </c>
      <c r="T46" s="506" t="s">
        <v>406</v>
      </c>
      <c r="U46" s="495"/>
      <c r="V46" s="496"/>
      <c r="W46" s="497"/>
      <c r="X46" s="497"/>
      <c r="Y46" s="497"/>
      <c r="Z46" s="497"/>
      <c r="AA46" s="497"/>
      <c r="AB46" s="497"/>
      <c r="AC46" s="498"/>
      <c r="AD46" s="496" t="str">
        <f>INDEX(PT_DIFFERENTIATION_IST_TE,MATCH(D46,PT_DIFFERENTIATION_IST_TE_ID,0))</f>
        <v/>
      </c>
      <c r="AE46" s="497"/>
      <c r="AF46" s="497"/>
      <c r="AG46" s="497"/>
      <c r="AH46" s="497"/>
      <c r="AI46" s="497"/>
      <c r="AJ46" s="497"/>
      <c r="AK46" s="497"/>
      <c r="AL46" s="498"/>
      <c r="AM46" s="499" t="s">
        <v>407</v>
      </c>
      <c r="AO46" s="129"/>
      <c r="AP46" s="129" t="str">
        <f t="shared" si="13"/>
        <v xml:space="preserve">Источник тепловой энергии  </v>
      </c>
      <c r="AQ46" s="129"/>
      <c r="AR46" s="129"/>
      <c r="AS46" s="50">
        <v>21</v>
      </c>
    </row>
    <row r="47" s="57" customFormat="1" ht="0" customHeight="1">
      <c r="A47" s="133" t="s">
        <v>168</v>
      </c>
      <c r="B47" s="133" t="s">
        <v>169</v>
      </c>
      <c r="C47" s="133" t="s">
        <v>170</v>
      </c>
      <c r="D47" s="133" t="s">
        <v>171</v>
      </c>
      <c r="E47" s="500"/>
      <c r="F47" s="500"/>
      <c r="G47" s="500"/>
      <c r="H47" s="500"/>
      <c r="I47" s="507" t="str">
        <f>S46&amp;".1"</f>
        <v>....1</v>
      </c>
      <c r="J47" s="133"/>
      <c r="K47" s="133"/>
      <c r="L47" s="212" t="s">
        <v>408</v>
      </c>
      <c r="M47" s="605"/>
      <c r="N47" s="605"/>
      <c r="O47" s="605"/>
      <c r="P47" s="132">
        <v>1</v>
      </c>
      <c r="Q47" s="132"/>
      <c r="R47" s="508"/>
      <c r="S47" s="362"/>
      <c r="T47" s="595"/>
      <c r="U47" s="596"/>
      <c r="V47" s="597"/>
      <c r="W47" s="598"/>
      <c r="X47" s="598"/>
      <c r="Y47" s="598"/>
      <c r="Z47" s="598"/>
      <c r="AA47" s="598"/>
      <c r="AB47" s="598"/>
      <c r="AC47" s="599"/>
      <c r="AD47" s="597"/>
      <c r="AE47" s="598"/>
      <c r="AF47" s="598"/>
      <c r="AG47" s="598"/>
      <c r="AH47" s="598"/>
      <c r="AI47" s="598"/>
      <c r="AJ47" s="598"/>
      <c r="AK47" s="598"/>
      <c r="AL47" s="599"/>
      <c r="AM47" s="600"/>
      <c r="AO47" s="129"/>
      <c r="AP47" s="129" t="str">
        <f t="shared" si="13"/>
        <v/>
      </c>
      <c r="AQ47" s="129"/>
      <c r="AR47" s="129"/>
      <c r="AS47" s="57">
        <v>0</v>
      </c>
    </row>
    <row r="48" ht="22" customHeight="1">
      <c r="A48" s="488" t="s">
        <v>168</v>
      </c>
      <c r="B48" s="488" t="s">
        <v>169</v>
      </c>
      <c r="C48" s="488" t="s">
        <v>170</v>
      </c>
      <c r="D48" s="488" t="s">
        <v>171</v>
      </c>
      <c r="E48" s="500"/>
      <c r="F48" s="500"/>
      <c r="G48" s="500"/>
      <c r="H48" s="500"/>
      <c r="I48" s="512"/>
      <c r="J48" s="507" t="str">
        <f>S46&amp;".1"</f>
        <v>....1</v>
      </c>
      <c r="K48" s="488"/>
      <c r="L48" s="490" t="s">
        <v>411</v>
      </c>
      <c r="P48" s="132"/>
      <c r="Q48" s="132">
        <v>1</v>
      </c>
      <c r="R48" s="513"/>
      <c r="S48" s="493" t="str">
        <f>$J48</f>
        <v>....1</v>
      </c>
      <c r="T48" s="514" t="s">
        <v>412</v>
      </c>
      <c r="U48" s="495"/>
      <c r="V48" s="440"/>
      <c r="W48" s="510"/>
      <c r="X48" s="510"/>
      <c r="Y48" s="510"/>
      <c r="Z48" s="510"/>
      <c r="AA48" s="510"/>
      <c r="AB48" s="510"/>
      <c r="AC48" s="511"/>
      <c r="AD48" s="440"/>
      <c r="AE48" s="510"/>
      <c r="AF48" s="510"/>
      <c r="AG48" s="510"/>
      <c r="AH48" s="510"/>
      <c r="AI48" s="510"/>
      <c r="AJ48" s="510"/>
      <c r="AK48" s="510"/>
      <c r="AL48" s="511"/>
      <c r="AM48" s="499" t="s">
        <v>413</v>
      </c>
      <c r="AO48" s="129"/>
      <c r="AP48" s="129" t="str">
        <f t="shared" si="13"/>
        <v xml:space="preserve">Группа потребителей</v>
      </c>
      <c r="AQ48" s="129"/>
      <c r="AR48" s="129"/>
      <c r="AS48" s="50">
        <v>21</v>
      </c>
    </row>
    <row r="49" ht="22" customHeight="1">
      <c r="A49" s="488" t="s">
        <v>168</v>
      </c>
      <c r="B49" s="488" t="s">
        <v>169</v>
      </c>
      <c r="C49" s="488" t="s">
        <v>170</v>
      </c>
      <c r="D49" s="488" t="s">
        <v>171</v>
      </c>
      <c r="E49" s="500"/>
      <c r="F49" s="500"/>
      <c r="G49" s="500"/>
      <c r="H49" s="500"/>
      <c r="I49" s="512"/>
      <c r="J49" s="512"/>
      <c r="K49" s="507" t="str">
        <f>J48&amp;".1"</f>
        <v>....1.1</v>
      </c>
      <c r="L49" s="490" t="s">
        <v>414</v>
      </c>
      <c r="P49" s="132"/>
      <c r="Q49" s="132"/>
      <c r="R49" s="513">
        <v>1</v>
      </c>
      <c r="S49" s="493" t="str">
        <f>$K49</f>
        <v>....1.1</v>
      </c>
      <c r="T49" s="515"/>
      <c r="U49" s="495"/>
      <c r="V49" s="516"/>
      <c r="W49" s="517"/>
      <c r="X49" s="516"/>
      <c r="Y49" s="518"/>
      <c r="Z49" s="519"/>
      <c r="AA49" s="224" t="s">
        <v>67</v>
      </c>
      <c r="AB49" s="519"/>
      <c r="AC49" s="224" t="s">
        <v>67</v>
      </c>
      <c r="AD49" s="516"/>
      <c r="AE49" s="517"/>
      <c r="AF49" s="516"/>
      <c r="AG49" s="518"/>
      <c r="AH49" s="519"/>
      <c r="AI49" s="224" t="s">
        <v>67</v>
      </c>
      <c r="AJ49" s="579"/>
      <c r="AK49" s="224" t="s">
        <v>67</v>
      </c>
      <c r="AL49" s="580"/>
      <c r="AM49" s="520" t="s">
        <v>452</v>
      </c>
      <c r="AN49" s="57" t="e">
        <f>STRCHECKDATE(V50:AL50)</f>
        <v>#NAME?</v>
      </c>
      <c r="AO49" s="129"/>
      <c r="AP49" s="129" t="str">
        <f t="shared" si="13"/>
        <v/>
      </c>
      <c r="AQ49" s="129"/>
      <c r="AR49" s="129"/>
      <c r="AS49" s="50">
        <v>21</v>
      </c>
    </row>
    <row r="50" ht="1.05" customHeight="1">
      <c r="A50" s="488" t="s">
        <v>168</v>
      </c>
      <c r="B50" s="488" t="s">
        <v>169</v>
      </c>
      <c r="C50" s="488" t="s">
        <v>170</v>
      </c>
      <c r="D50" s="488" t="s">
        <v>171</v>
      </c>
      <c r="E50" s="500"/>
      <c r="F50" s="500"/>
      <c r="G50" s="500"/>
      <c r="H50" s="500"/>
      <c r="I50" s="512"/>
      <c r="J50" s="512"/>
      <c r="K50" s="507"/>
      <c r="L50" s="490"/>
      <c r="P50" s="132"/>
      <c r="Q50" s="132"/>
      <c r="R50" s="513"/>
      <c r="S50" s="467"/>
      <c r="T50" s="495"/>
      <c r="U50" s="495"/>
      <c r="V50" s="517"/>
      <c r="W50" s="517"/>
      <c r="X50" s="517"/>
      <c r="Y50" s="521" t="str">
        <f>Z49&amp;"-"&amp;AB49</f>
        <v>-</v>
      </c>
      <c r="Z50" s="522"/>
      <c r="AA50" s="224"/>
      <c r="AB50" s="522"/>
      <c r="AC50" s="224"/>
      <c r="AD50" s="517"/>
      <c r="AE50" s="517"/>
      <c r="AF50" s="517"/>
      <c r="AG50" s="521" t="str">
        <f>AH49&amp;"-"&amp;AJ49</f>
        <v>-</v>
      </c>
      <c r="AH50" s="522"/>
      <c r="AI50" s="224"/>
      <c r="AJ50" s="581"/>
      <c r="AK50" s="224"/>
      <c r="AL50" s="582"/>
      <c r="AM50" s="523"/>
      <c r="AO50" s="129"/>
      <c r="AP50" s="129" t="str">
        <f t="shared" si="13"/>
        <v/>
      </c>
      <c r="AQ50" s="129"/>
      <c r="AR50" s="129"/>
      <c r="AS50" s="50">
        <v>1</v>
      </c>
    </row>
    <row r="51" ht="11.5" customHeight="1">
      <c r="A51" s="488" t="s">
        <v>168</v>
      </c>
      <c r="B51" s="488" t="s">
        <v>169</v>
      </c>
      <c r="C51" s="488" t="s">
        <v>170</v>
      </c>
      <c r="D51" s="488" t="s">
        <v>171</v>
      </c>
      <c r="E51" s="500"/>
      <c r="F51" s="500"/>
      <c r="G51" s="500"/>
      <c r="H51" s="500"/>
      <c r="I51" s="512"/>
      <c r="J51" s="507"/>
      <c r="K51" s="488"/>
      <c r="L51" s="490"/>
      <c r="P51" s="132"/>
      <c r="Q51" s="132"/>
      <c r="R51" s="508"/>
      <c r="S51" s="524"/>
      <c r="T51" s="528" t="s">
        <v>416</v>
      </c>
      <c r="U51" s="214"/>
      <c r="V51" s="214"/>
      <c r="W51" s="214"/>
      <c r="X51" s="214"/>
      <c r="Y51" s="214"/>
      <c r="Z51" s="214"/>
      <c r="AA51" s="214"/>
      <c r="AB51" s="214"/>
      <c r="AC51" s="214"/>
      <c r="AD51" s="214"/>
      <c r="AE51" s="214"/>
      <c r="AF51" s="214"/>
      <c r="AG51" s="214"/>
      <c r="AH51" s="214"/>
      <c r="AI51" s="214"/>
      <c r="AJ51" s="214"/>
      <c r="AK51" s="214"/>
      <c r="AL51" s="526"/>
      <c r="AM51" s="527"/>
      <c r="AO51" s="129"/>
      <c r="AP51" s="129" t="str">
        <f t="shared" si="13"/>
        <v xml:space="preserve">Добавить вид теплоносителя (параметры теплоносителя)</v>
      </c>
      <c r="AQ51" s="129"/>
      <c r="AR51" s="129"/>
      <c r="AS51" s="50">
        <v>11</v>
      </c>
    </row>
    <row r="52" ht="11.5" customHeight="1">
      <c r="A52" s="488" t="s">
        <v>168</v>
      </c>
      <c r="B52" s="488" t="s">
        <v>169</v>
      </c>
      <c r="C52" s="488" t="s">
        <v>170</v>
      </c>
      <c r="D52" s="488" t="s">
        <v>171</v>
      </c>
      <c r="E52" s="500"/>
      <c r="F52" s="500"/>
      <c r="G52" s="500"/>
      <c r="H52" s="500"/>
      <c r="I52" s="507"/>
      <c r="J52" s="488"/>
      <c r="K52" s="488"/>
      <c r="L52" s="490"/>
      <c r="P52" s="132"/>
      <c r="Q52" s="132"/>
      <c r="R52" s="508"/>
      <c r="S52" s="524"/>
      <c r="T52" s="532" t="s">
        <v>417</v>
      </c>
      <c r="U52" s="214"/>
      <c r="V52" s="214"/>
      <c r="W52" s="214"/>
      <c r="X52" s="214"/>
      <c r="Y52" s="214"/>
      <c r="Z52" s="214"/>
      <c r="AA52" s="214"/>
      <c r="AB52" s="214"/>
      <c r="AC52" s="529"/>
      <c r="AD52" s="214"/>
      <c r="AE52" s="214"/>
      <c r="AF52" s="214"/>
      <c r="AG52" s="214"/>
      <c r="AH52" s="214"/>
      <c r="AI52" s="214"/>
      <c r="AJ52" s="214"/>
      <c r="AK52" s="529"/>
      <c r="AL52" s="214"/>
      <c r="AM52" s="530"/>
      <c r="AO52" s="129"/>
      <c r="AP52" s="129" t="str">
        <f t="shared" si="13"/>
        <v xml:space="preserve">Добавить группу потребителей</v>
      </c>
      <c r="AQ52" s="129"/>
      <c r="AR52" s="129"/>
      <c r="AS52" s="50">
        <v>11</v>
      </c>
    </row>
    <row r="53" ht="0" customHeight="1">
      <c r="A53" s="488" t="s">
        <v>168</v>
      </c>
      <c r="B53" s="488" t="s">
        <v>169</v>
      </c>
      <c r="C53" s="488" t="s">
        <v>170</v>
      </c>
      <c r="D53" s="488" t="s">
        <v>171</v>
      </c>
      <c r="E53" s="500"/>
      <c r="F53" s="500"/>
      <c r="G53" s="500"/>
      <c r="H53" s="489"/>
      <c r="I53" s="488"/>
      <c r="J53" s="488"/>
      <c r="K53" s="488"/>
      <c r="L53" s="490"/>
      <c r="M53" s="491"/>
      <c r="N53" s="491"/>
      <c r="O53" s="53"/>
      <c r="P53" s="143"/>
      <c r="Q53" s="531"/>
      <c r="R53" s="492"/>
      <c r="S53" s="601"/>
      <c r="T53" s="602"/>
      <c r="U53" s="603"/>
      <c r="V53" s="603"/>
      <c r="W53" s="603"/>
      <c r="X53" s="603"/>
      <c r="Y53" s="603"/>
      <c r="Z53" s="603"/>
      <c r="AA53" s="603"/>
      <c r="AB53" s="603"/>
      <c r="AC53" s="603"/>
      <c r="AD53" s="603"/>
      <c r="AE53" s="603"/>
      <c r="AF53" s="603"/>
      <c r="AG53" s="603"/>
      <c r="AH53" s="603"/>
      <c r="AI53" s="603"/>
      <c r="AJ53" s="603"/>
      <c r="AK53" s="603"/>
      <c r="AL53" s="603"/>
      <c r="AM53" s="604"/>
      <c r="AO53" s="129"/>
      <c r="AP53" s="129" t="str">
        <f t="shared" si="13"/>
        <v/>
      </c>
      <c r="AQ53" s="129"/>
      <c r="AR53" s="129"/>
      <c r="AS53" s="50">
        <v>0</v>
      </c>
    </row>
    <row r="54" s="57" customFormat="1" ht="1.05" customHeight="1">
      <c r="A54" s="133" t="s">
        <v>168</v>
      </c>
      <c r="B54" s="133" t="s">
        <v>169</v>
      </c>
      <c r="C54" s="133" t="s">
        <v>170</v>
      </c>
      <c r="D54" s="133"/>
      <c r="E54" s="500"/>
      <c r="F54" s="500"/>
      <c r="G54" s="489"/>
      <c r="H54" s="133"/>
      <c r="I54" s="133"/>
      <c r="J54" s="133"/>
      <c r="K54" s="133"/>
      <c r="L54" s="212"/>
      <c r="M54" s="473"/>
      <c r="N54" s="473"/>
      <c r="P54" s="167"/>
      <c r="Q54" s="533"/>
      <c r="R54" s="167"/>
      <c r="S54" s="538"/>
      <c r="T54" s="541" t="s">
        <v>211</v>
      </c>
      <c r="U54" s="540"/>
      <c r="V54" s="540"/>
      <c r="W54" s="540"/>
      <c r="X54" s="540"/>
      <c r="Y54" s="540"/>
      <c r="Z54" s="540"/>
      <c r="AA54" s="540"/>
      <c r="AB54" s="540"/>
      <c r="AC54" s="540"/>
      <c r="AD54" s="540"/>
      <c r="AE54" s="540"/>
      <c r="AF54" s="540"/>
      <c r="AG54" s="540"/>
      <c r="AH54" s="540"/>
      <c r="AI54" s="540"/>
      <c r="AJ54" s="540"/>
      <c r="AK54" s="540"/>
      <c r="AL54" s="540"/>
      <c r="AM54" s="540"/>
      <c r="AO54" s="129"/>
      <c r="AP54" s="129" t="str">
        <f t="shared" si="13"/>
        <v xml:space="preserve">Добавить источник для дифференциации</v>
      </c>
      <c r="AQ54" s="129"/>
      <c r="AR54" s="129"/>
      <c r="AS54" s="57">
        <v>1</v>
      </c>
    </row>
    <row r="55" s="57" customFormat="1" ht="1.05" customHeight="1">
      <c r="A55" s="133" t="s">
        <v>168</v>
      </c>
      <c r="B55" s="133" t="s">
        <v>169</v>
      </c>
      <c r="C55" s="133"/>
      <c r="D55" s="133"/>
      <c r="E55" s="500"/>
      <c r="F55" s="489"/>
      <c r="G55" s="133"/>
      <c r="H55" s="133"/>
      <c r="I55" s="133"/>
      <c r="J55" s="133"/>
      <c r="K55" s="133"/>
      <c r="L55" s="212"/>
      <c r="M55" s="537"/>
      <c r="N55" s="537"/>
      <c r="P55" s="167"/>
      <c r="Q55" s="533"/>
      <c r="R55" s="167"/>
      <c r="S55" s="538"/>
      <c r="T55" s="541" t="s">
        <v>212</v>
      </c>
      <c r="U55" s="540"/>
      <c r="V55" s="540"/>
      <c r="W55" s="540"/>
      <c r="X55" s="540"/>
      <c r="Y55" s="540"/>
      <c r="Z55" s="540"/>
      <c r="AA55" s="540"/>
      <c r="AB55" s="540"/>
      <c r="AC55" s="540"/>
      <c r="AD55" s="540"/>
      <c r="AE55" s="540"/>
      <c r="AF55" s="540"/>
      <c r="AG55" s="540"/>
      <c r="AH55" s="540"/>
      <c r="AI55" s="540"/>
      <c r="AJ55" s="540"/>
      <c r="AK55" s="540"/>
      <c r="AL55" s="540"/>
      <c r="AM55" s="540"/>
      <c r="AO55" s="129"/>
      <c r="AP55" s="129" t="str">
        <f t="shared" si="13"/>
        <v xml:space="preserve">Добавить централизованную систему для дифференциации</v>
      </c>
      <c r="AQ55" s="129"/>
      <c r="AR55" s="129"/>
      <c r="AS55" s="57">
        <v>1</v>
      </c>
    </row>
    <row r="56" s="57" customFormat="1" ht="1.05" customHeight="1">
      <c r="A56" s="133" t="s">
        <v>168</v>
      </c>
      <c r="B56" s="133"/>
      <c r="C56" s="133"/>
      <c r="D56" s="133"/>
      <c r="E56" s="489"/>
      <c r="F56" s="133"/>
      <c r="G56" s="133"/>
      <c r="H56" s="133"/>
      <c r="I56" s="133"/>
      <c r="J56" s="133"/>
      <c r="K56" s="133"/>
      <c r="L56" s="212"/>
      <c r="M56" s="537"/>
      <c r="N56" s="537"/>
      <c r="O56" s="57"/>
      <c r="P56" s="167"/>
      <c r="Q56" s="533"/>
      <c r="R56" s="167"/>
      <c r="S56" s="538"/>
      <c r="T56" s="541" t="s">
        <v>213</v>
      </c>
      <c r="U56" s="540"/>
      <c r="V56" s="540"/>
      <c r="W56" s="540"/>
      <c r="X56" s="540"/>
      <c r="Y56" s="540"/>
      <c r="Z56" s="540"/>
      <c r="AA56" s="540"/>
      <c r="AB56" s="540"/>
      <c r="AC56" s="540"/>
      <c r="AD56" s="540"/>
      <c r="AE56" s="540"/>
      <c r="AF56" s="540"/>
      <c r="AG56" s="540"/>
      <c r="AH56" s="540"/>
      <c r="AI56" s="540"/>
      <c r="AJ56" s="540"/>
      <c r="AK56" s="540"/>
      <c r="AL56" s="540"/>
      <c r="AM56" s="540"/>
      <c r="AO56" s="129"/>
      <c r="AP56" s="129" t="str">
        <f t="shared" si="13"/>
        <v xml:space="preserve">Добавить территорию для дифференциации</v>
      </c>
      <c r="AQ56" s="129"/>
      <c r="AR56" s="129"/>
      <c r="AS56" s="57">
        <v>1</v>
      </c>
    </row>
    <row r="57" s="57" customFormat="1" ht="1.05" customHeight="1">
      <c r="A57" s="133"/>
      <c r="B57" s="133"/>
      <c r="C57" s="133"/>
      <c r="D57" s="133"/>
      <c r="E57" s="133"/>
      <c r="F57" s="133"/>
      <c r="G57" s="133"/>
      <c r="H57" s="133"/>
      <c r="I57" s="133"/>
      <c r="J57" s="133"/>
      <c r="K57" s="133"/>
      <c r="L57" s="212"/>
      <c r="M57" s="537"/>
      <c r="N57" s="537"/>
      <c r="P57" s="167"/>
      <c r="Q57" s="533"/>
      <c r="R57" s="167"/>
      <c r="S57" s="538"/>
      <c r="T57" s="541" t="s">
        <v>214</v>
      </c>
      <c r="U57" s="540"/>
      <c r="V57" s="540"/>
      <c r="W57" s="540"/>
      <c r="X57" s="540"/>
      <c r="Y57" s="540"/>
      <c r="Z57" s="540"/>
      <c r="AA57" s="540"/>
      <c r="AB57" s="540"/>
      <c r="AC57" s="540"/>
      <c r="AD57" s="540"/>
      <c r="AE57" s="540"/>
      <c r="AF57" s="540"/>
      <c r="AG57" s="540"/>
      <c r="AH57" s="540"/>
      <c r="AI57" s="540"/>
      <c r="AJ57" s="540"/>
      <c r="AK57" s="540"/>
      <c r="AL57" s="540"/>
      <c r="AM57" s="540"/>
      <c r="AO57" s="129"/>
      <c r="AP57" s="129" t="str">
        <f t="shared" si="13"/>
        <v xml:space="preserve">Добавить наименование тарифа</v>
      </c>
      <c r="AQ57" s="129"/>
      <c r="AR57" s="129"/>
      <c r="AS57" s="57">
        <v>1</v>
      </c>
    </row>
    <row r="58" ht="11.5" customHeight="1">
      <c r="M58" s="53"/>
      <c r="N58" s="53"/>
      <c r="O58" s="53"/>
      <c r="P58" s="50"/>
      <c r="Q58" s="50"/>
      <c r="R58" s="50"/>
      <c r="S58" s="50"/>
      <c r="AN58" s="50"/>
      <c r="AO58" s="50"/>
      <c r="AP58" s="50"/>
      <c r="AQ58" s="50"/>
      <c r="AR58" s="50"/>
      <c r="AS58" s="50">
        <v>11</v>
      </c>
    </row>
    <row r="59" ht="19.949999999999999" customHeight="1">
      <c r="O59" s="53"/>
      <c r="S59" s="485"/>
      <c r="T59" s="583"/>
      <c r="U59" s="583"/>
      <c r="V59" s="583"/>
      <c r="W59" s="583"/>
      <c r="X59" s="583"/>
      <c r="Y59" s="583"/>
      <c r="Z59" s="583"/>
      <c r="AA59" s="583"/>
      <c r="AB59" s="583"/>
      <c r="AC59" s="583"/>
      <c r="AD59" s="583"/>
      <c r="AE59" s="583"/>
      <c r="AF59" s="583"/>
      <c r="AG59" s="583"/>
      <c r="AH59" s="583"/>
      <c r="AI59" s="583"/>
      <c r="AJ59" s="583"/>
      <c r="AK59" s="583"/>
      <c r="AL59" s="583"/>
      <c r="AM59" s="583"/>
      <c r="AS59" s="50">
        <v>19</v>
      </c>
    </row>
    <row r="60" ht="29.25" customHeight="1">
      <c r="O60" s="53"/>
      <c r="T60" s="583"/>
      <c r="U60" s="583"/>
      <c r="V60" s="583"/>
      <c r="W60" s="583"/>
      <c r="X60" s="583"/>
      <c r="Y60" s="583"/>
      <c r="Z60" s="583"/>
      <c r="AA60" s="583"/>
      <c r="AB60" s="583"/>
      <c r="AC60" s="583"/>
      <c r="AD60" s="583"/>
      <c r="AE60" s="583"/>
      <c r="AF60" s="583"/>
      <c r="AG60" s="583"/>
      <c r="AH60" s="583"/>
      <c r="AI60" s="583"/>
      <c r="AJ60" s="583"/>
      <c r="AK60" s="583"/>
      <c r="AL60" s="583"/>
      <c r="AM60" s="583"/>
      <c r="AS60" s="50">
        <v>28</v>
      </c>
    </row>
    <row r="61" ht="42" customHeight="1">
      <c r="O61" s="53"/>
      <c r="T61" s="583"/>
      <c r="U61" s="583"/>
      <c r="V61" s="583"/>
      <c r="W61" s="583"/>
      <c r="X61" s="583"/>
      <c r="Y61" s="583"/>
      <c r="Z61" s="583"/>
      <c r="AA61" s="583"/>
      <c r="AB61" s="583"/>
      <c r="AC61" s="583"/>
      <c r="AD61" s="583"/>
      <c r="AE61" s="583"/>
      <c r="AF61" s="583"/>
      <c r="AG61" s="583"/>
      <c r="AH61" s="583"/>
      <c r="AI61" s="583"/>
      <c r="AJ61" s="583"/>
      <c r="AK61" s="583"/>
      <c r="AL61" s="583"/>
      <c r="AM61" s="583"/>
      <c r="AS61" s="50">
        <v>40</v>
      </c>
    </row>
    <row r="62" ht="14.65" customHeight="1">
      <c r="O62" s="53"/>
      <c r="AS62" s="50">
        <v>14</v>
      </c>
    </row>
    <row r="63" ht="21" customHeight="1">
      <c r="O63" s="53"/>
      <c r="S63" s="485"/>
      <c r="T63" s="303"/>
      <c r="U63" s="583"/>
      <c r="V63" s="583"/>
      <c r="W63" s="583"/>
      <c r="X63" s="583"/>
      <c r="Y63" s="583"/>
      <c r="Z63" s="583"/>
      <c r="AA63" s="583"/>
      <c r="AB63" s="583"/>
      <c r="AC63" s="583"/>
      <c r="AD63" s="583"/>
      <c r="AE63" s="583"/>
      <c r="AF63" s="583"/>
      <c r="AG63" s="583"/>
      <c r="AH63" s="583"/>
      <c r="AI63" s="583"/>
      <c r="AJ63" s="583"/>
      <c r="AK63" s="583"/>
      <c r="AL63" s="583"/>
      <c r="AM63" s="583"/>
      <c r="AS63" s="50">
        <v>20</v>
      </c>
    </row>
    <row r="64" ht="29.25" customHeight="1">
      <c r="O64" s="53"/>
      <c r="T64" s="583"/>
      <c r="U64" s="583"/>
      <c r="V64" s="583"/>
      <c r="W64" s="583"/>
      <c r="X64" s="583"/>
      <c r="Y64" s="583"/>
      <c r="Z64" s="583"/>
      <c r="AA64" s="583"/>
      <c r="AB64" s="583"/>
      <c r="AC64" s="583"/>
      <c r="AD64" s="583"/>
      <c r="AE64" s="583"/>
      <c r="AF64" s="583"/>
      <c r="AG64" s="583"/>
      <c r="AH64" s="583"/>
      <c r="AI64" s="583"/>
      <c r="AJ64" s="583"/>
      <c r="AK64" s="583"/>
      <c r="AL64" s="583"/>
      <c r="AM64" s="583"/>
      <c r="AS64" s="50">
        <v>28</v>
      </c>
    </row>
    <row r="65" ht="35.649999999999999" customHeight="1">
      <c r="T65" s="583"/>
      <c r="U65" s="583"/>
      <c r="V65" s="583"/>
      <c r="W65" s="583"/>
      <c r="X65" s="583"/>
      <c r="Y65" s="583"/>
      <c r="Z65" s="583"/>
      <c r="AA65" s="583"/>
      <c r="AB65" s="583"/>
      <c r="AC65" s="583"/>
      <c r="AD65" s="583"/>
      <c r="AE65" s="583"/>
      <c r="AF65" s="583"/>
      <c r="AG65" s="583"/>
      <c r="AH65" s="583"/>
      <c r="AI65" s="583"/>
      <c r="AJ65" s="583"/>
      <c r="AK65" s="583"/>
      <c r="AL65" s="583"/>
      <c r="AM65" s="583"/>
      <c r="AS65" s="50">
        <v>34</v>
      </c>
    </row>
    <row r="66" ht="22.5" hidden="1" customHeight="1">
      <c r="A66" s="53" t="s">
        <v>83</v>
      </c>
      <c r="B66" s="53">
        <v>0</v>
      </c>
      <c r="C66" s="53">
        <v>0</v>
      </c>
      <c r="D66" s="53">
        <v>0</v>
      </c>
      <c r="E66" s="53">
        <v>0</v>
      </c>
      <c r="F66" s="53">
        <v>0</v>
      </c>
      <c r="G66" s="53">
        <v>0</v>
      </c>
      <c r="H66" s="53">
        <v>0</v>
      </c>
      <c r="I66" s="53">
        <v>0</v>
      </c>
      <c r="J66" s="53">
        <v>0</v>
      </c>
      <c r="K66" s="53">
        <v>0</v>
      </c>
      <c r="L66" s="113">
        <v>0</v>
      </c>
      <c r="M66" s="61">
        <v>0</v>
      </c>
      <c r="N66" s="61">
        <v>0</v>
      </c>
      <c r="O66" s="61">
        <v>0</v>
      </c>
      <c r="P66" s="60">
        <v>0</v>
      </c>
      <c r="Q66" s="487">
        <v>3</v>
      </c>
      <c r="R66" s="487">
        <v>3</v>
      </c>
      <c r="S66" s="86">
        <v>12</v>
      </c>
      <c r="T66" s="50">
        <v>31</v>
      </c>
      <c r="U66" s="50">
        <v>0</v>
      </c>
      <c r="V66" s="50">
        <v>0</v>
      </c>
      <c r="W66" s="50">
        <v>0</v>
      </c>
      <c r="X66" s="50">
        <v>0</v>
      </c>
      <c r="Y66" s="50">
        <v>0</v>
      </c>
      <c r="Z66" s="50">
        <v>0</v>
      </c>
      <c r="AA66" s="50">
        <v>0</v>
      </c>
      <c r="AB66" s="50">
        <v>0</v>
      </c>
      <c r="AC66" s="50">
        <v>0</v>
      </c>
      <c r="AD66" s="50">
        <v>24</v>
      </c>
      <c r="AE66" s="50">
        <v>0</v>
      </c>
      <c r="AF66" s="50">
        <v>24</v>
      </c>
      <c r="AG66" s="50">
        <v>24</v>
      </c>
      <c r="AH66" s="50">
        <v>11</v>
      </c>
      <c r="AI66" s="50">
        <v>3</v>
      </c>
      <c r="AJ66" s="50">
        <v>11</v>
      </c>
      <c r="AK66" s="50">
        <v>0</v>
      </c>
      <c r="AL66" s="50">
        <v>4</v>
      </c>
      <c r="AM66" s="50">
        <v>115</v>
      </c>
      <c r="AN66" s="57">
        <v>10</v>
      </c>
      <c r="AO66" s="57">
        <v>10</v>
      </c>
      <c r="AP66" s="57">
        <v>10</v>
      </c>
      <c r="AQ66" s="57">
        <v>10</v>
      </c>
      <c r="AR66" s="57">
        <v>10</v>
      </c>
      <c r="AS66" s="50">
        <v>23</v>
      </c>
    </row>
  </sheetData>
  <sheetProtection autoFilter="0" deleteColumns="1" deleteRows="1" formatCells="1" formatColumns="0" formatRows="0" insertColumns="1" insertHyperlinks="1" insertRows="1" objects="0" pivotTables="1" scenarios="0" selectLockedCells="0" selectUnlockedCells="0" sheet="1" sort="1"/>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K8:K9"/>
    <mergeCell ref="Z8:Z9"/>
    <mergeCell ref="AA8:AA9"/>
    <mergeCell ref="AB8:AB9"/>
    <mergeCell ref="AC8:AC9"/>
    <mergeCell ref="AH8:AH9"/>
    <mergeCell ref="AI8:AI9"/>
    <mergeCell ref="AJ8:AJ9"/>
    <mergeCell ref="AK8:AK9"/>
    <mergeCell ref="AM8:AM10"/>
    <mergeCell ref="AH17:AH18"/>
    <mergeCell ref="AI17:AI18"/>
    <mergeCell ref="AJ17:AJ18"/>
    <mergeCell ref="AK17:AK18"/>
    <mergeCell ref="S26:AJ26"/>
    <mergeCell ref="S27:AJ27"/>
    <mergeCell ref="S29:T29"/>
    <mergeCell ref="V29:AB29"/>
    <mergeCell ref="AD29:AJ29"/>
    <mergeCell ref="S30:T30"/>
    <mergeCell ref="V30:AB30"/>
    <mergeCell ref="AD30:AJ30"/>
    <mergeCell ref="S31:T31"/>
    <mergeCell ref="V31:AB31"/>
    <mergeCell ref="AD31:AJ31"/>
    <mergeCell ref="S32:T32"/>
    <mergeCell ref="V32:AB32"/>
    <mergeCell ref="AD32:AJ32"/>
    <mergeCell ref="S34:T34"/>
    <mergeCell ref="V34:AB34"/>
    <mergeCell ref="AD34:AJ34"/>
    <mergeCell ref="S35:T35"/>
    <mergeCell ref="V35:AB35"/>
    <mergeCell ref="AD35:AJ35"/>
    <mergeCell ref="V37:AC37"/>
    <mergeCell ref="AD37:AK37"/>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AH40:AJ40"/>
    <mergeCell ref="AA41:AB41"/>
    <mergeCell ref="AI41:AJ41"/>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AM49:AM51"/>
    <mergeCell ref="T59:AM59"/>
    <mergeCell ref="T60:AM60"/>
    <mergeCell ref="T61:AM61"/>
    <mergeCell ref="T63:AM63"/>
    <mergeCell ref="T64:AM64"/>
    <mergeCell ref="T65:AM65"/>
  </mergeCells>
  <dataValidations count="4" disablePrompts="0">
    <dataValidation sqref="S131123:AM131129 S196659:AM196665 S262195:AM262201 S327731:AM327737 S393267:AM393273 S458803:AM458809 S524339:AM524345 S589875:AM589881 S655411:AM655417 S720947:AM720953 S786483:AM786489 S852019:AM852025 S917555:AM917561 S983091:AM983097 S65587:AM65593" type="none" allowBlank="1" errorStyle="stop" imeMode="noControl" operator="between" showDropDown="0" showErrorMessage="0" showInputMessage="0"/>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type="none" allowBlank="1" errorStyle="stop" imeMode="noControl" operator="between" promptTitle="checkPeriodRange"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18009C-006E-41E0-B22B-000800A30074}"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 xr:uid="{00D000BD-0092-4FC3-AC9E-008A0085003A}" type="list" allowBlank="1" error="Выберите значение из списка" errorStyle="stop" errorTitle="Ошибка" imeMode="noControl" operator="between" showDropDown="0"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 xr:uid="{00DD00EB-009C-464F-A6B7-00D1008D005D}" type="textLength" allowBlank="1" error="Допускается ввод не более 900 символов!" errorStyle="stop" errorTitle="Ошибка" imeMode="noControl" operator="lessThanOrEqual" showDropDown="0"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 xr:uid="{00F80067-0015-4484-B3D3-003B001A00B7}" type="list" allowBlank="1" error="Выберите значение из списка" errorStyle="stop" errorTitle="Ошибка" imeMode="noControl" operator="between" showDropDown="0" showErrorMessage="1" showInputMessage="1">
          <x14:formula1>
            <xm:f>kind_of_heat_transfer</xm:f>
          </x14:formula1>
          <xm:sqref>T65585 T131121 T196657 T262193 T327729 T393265 T458801 T524337 T589873 T655409 T720945 T786481 T852017 T917553 T983089</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zoomScale="90" workbookViewId="0">
      <pane xSplit="29" ySplit="42" topLeftCell="AD43" activePane="bottomRight" state="frozen"/>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2.00390625"/>
    <col customWidth="1" hidden="1" min="10" max="10" style="53" width="9.8515625"/>
    <col customWidth="1" hidden="1" min="11" max="11" style="53" width="11.421875"/>
    <col customWidth="1" hidden="1" min="12" max="12" style="113" width="19.140625"/>
    <col customWidth="1" hidden="1" min="13" max="14" style="61" width="12.28125"/>
    <col customWidth="1" hidden="1" min="15" max="15" style="61" width="23.421875"/>
    <col customWidth="1" hidden="1" min="16" max="16" style="60" width="3.7109375"/>
    <col customWidth="1" min="17" max="18" style="487" width="3.00390625"/>
    <col customWidth="1" min="19" max="19" style="86" width="12.00390625"/>
    <col customWidth="1" min="20" max="20" style="50" width="31.00390625"/>
    <col customWidth="1" min="21" max="21" style="50" width="0.140625"/>
    <col customWidth="1" hidden="1" min="22" max="22" style="50" width="24.7109375"/>
    <col customWidth="1" hidden="1" min="23" max="23" style="50" width="0.140625"/>
    <col customWidth="1" hidden="1" min="24" max="25" style="50" width="24.7109375"/>
    <col customWidth="1" hidden="1" min="26" max="26" style="50" width="11.7109375"/>
    <col customWidth="1" hidden="1" min="27" max="27" style="50" width="3.7109375"/>
    <col customWidth="1" hidden="1" min="28" max="28" style="50" width="11.7109375"/>
    <col customWidth="1" hidden="1" min="29" max="29" style="50" width="8.57421875"/>
    <col customWidth="1" min="30" max="30" style="50" width="24.7109375"/>
    <col customWidth="1" min="31" max="31" style="50" width="0.140625"/>
    <col customWidth="1" min="32" max="33" style="50" width="24.00390625"/>
    <col customWidth="1" min="34" max="34" style="50" width="11.00390625"/>
    <col customWidth="1" min="35" max="35" style="50" width="3.7109375"/>
    <col customWidth="1" min="36" max="36" style="50" width="11.00390625"/>
    <col customWidth="1" hidden="1" min="37" max="37" style="50" width="8.57421875"/>
    <col customWidth="1" min="38" max="38" style="50" width="4.00390625"/>
    <col customWidth="1" min="39" max="39" style="50" width="115.00390625"/>
    <col customWidth="1" min="40" max="44" style="57" width="10.00390625"/>
    <col hidden="1" min="45" max="45" style="50" width="10.57421875"/>
  </cols>
  <sheetData>
    <row r="1" ht="22.5" hidden="1" customHeight="1">
      <c r="A1" s="606"/>
      <c r="Y1" s="50"/>
      <c r="Z1" s="50"/>
      <c r="AG1" s="50"/>
      <c r="AH1" s="50"/>
      <c r="AS1" s="50" t="s">
        <v>14</v>
      </c>
    </row>
    <row r="2" ht="21" hidden="1" customHeight="1">
      <c r="A2" s="488"/>
      <c r="B2" s="488"/>
      <c r="C2" s="488"/>
      <c r="D2" s="488"/>
      <c r="E2" s="489">
        <v>1</v>
      </c>
      <c r="F2" s="488"/>
      <c r="G2" s="488"/>
      <c r="H2" s="488"/>
      <c r="I2" s="488"/>
      <c r="J2" s="488"/>
      <c r="K2" s="488"/>
      <c r="L2" s="490"/>
      <c r="M2" s="491"/>
      <c r="N2" s="491"/>
      <c r="O2" s="491"/>
      <c r="P2" s="60"/>
      <c r="Q2" s="143"/>
      <c r="R2" s="492"/>
      <c r="S2" s="493" t="e">
        <f>INDEX(PT_DIFFERENTIATION_NUM_NTAR,MATCH(A2,PT_DIFFERENTIATION_NTAR_ID,0))</f>
        <v>#VALUE!</v>
      </c>
      <c r="T2" s="494" t="s">
        <v>123</v>
      </c>
      <c r="U2" s="495"/>
      <c r="V2" s="496"/>
      <c r="W2" s="497"/>
      <c r="X2" s="497"/>
      <c r="Y2" s="497"/>
      <c r="Z2" s="497"/>
      <c r="AA2" s="497"/>
      <c r="AB2" s="497"/>
      <c r="AC2" s="498"/>
      <c r="AD2" s="496" t="e">
        <f>INDEX(PT_DIFFERENTIATION_NTAR,MATCH(A2,PT_DIFFERENTIATION_NTAR_ID,0))</f>
        <v>#VALUE!</v>
      </c>
      <c r="AE2" s="497"/>
      <c r="AF2" s="497"/>
      <c r="AG2" s="497"/>
      <c r="AH2" s="497"/>
      <c r="AI2" s="497"/>
      <c r="AJ2" s="497"/>
      <c r="AK2" s="497"/>
      <c r="AL2" s="498"/>
      <c r="AM2" s="499" t="s">
        <v>401</v>
      </c>
      <c r="AO2" s="129"/>
      <c r="AP2" s="129" t="str">
        <f t="shared" ref="AP2:AP9" si="14">IF(T2="","",T2)</f>
        <v xml:space="preserve">Наименование тарифа</v>
      </c>
      <c r="AQ2" s="129"/>
      <c r="AR2" s="129"/>
      <c r="AS2" s="50">
        <v>0</v>
      </c>
    </row>
    <row r="3" ht="21" hidden="1" customHeight="1">
      <c r="A3" s="488"/>
      <c r="B3" s="488"/>
      <c r="C3" s="488"/>
      <c r="D3" s="488"/>
      <c r="E3" s="500"/>
      <c r="F3" s="489">
        <v>1</v>
      </c>
      <c r="G3" s="488"/>
      <c r="H3" s="488"/>
      <c r="I3" s="488"/>
      <c r="J3" s="488"/>
      <c r="K3" s="488"/>
      <c r="L3" s="490"/>
      <c r="M3" s="491"/>
      <c r="N3" s="491"/>
      <c r="O3" s="491"/>
      <c r="P3" s="51"/>
      <c r="Q3" s="501"/>
      <c r="R3" s="502"/>
      <c r="S3" s="493" t="e">
        <f>INDEX(PT_DIFFERENTIATION_NUM_TER,MATCH(B3,PT_DIFFERENTIATION_TER_ID,0))</f>
        <v>#VALUE!</v>
      </c>
      <c r="T3" s="503" t="s">
        <v>402</v>
      </c>
      <c r="U3" s="495"/>
      <c r="V3" s="496"/>
      <c r="W3" s="497"/>
      <c r="X3" s="497"/>
      <c r="Y3" s="497"/>
      <c r="Z3" s="497"/>
      <c r="AA3" s="497"/>
      <c r="AB3" s="497"/>
      <c r="AC3" s="498"/>
      <c r="AD3" s="496" t="e">
        <f>INDEX(PT_DIFFERENTIATION_TER,MATCH(B3,PT_DIFFERENTIATION_TER_ID,0))</f>
        <v>#VALUE!</v>
      </c>
      <c r="AE3" s="497"/>
      <c r="AF3" s="497"/>
      <c r="AG3" s="497"/>
      <c r="AH3" s="497"/>
      <c r="AI3" s="497"/>
      <c r="AJ3" s="497"/>
      <c r="AK3" s="497"/>
      <c r="AL3" s="498"/>
      <c r="AM3" s="499" t="s">
        <v>403</v>
      </c>
      <c r="AO3" s="129"/>
      <c r="AP3" s="129" t="str">
        <f t="shared" si="14"/>
        <v xml:space="preserve">Территория действия тарифа</v>
      </c>
      <c r="AQ3" s="129"/>
      <c r="AR3" s="129"/>
      <c r="AS3" s="50">
        <v>0</v>
      </c>
    </row>
    <row r="4" ht="23.25" hidden="1" customHeight="1">
      <c r="A4" s="488"/>
      <c r="B4" s="488"/>
      <c r="C4" s="488"/>
      <c r="D4" s="488"/>
      <c r="E4" s="500"/>
      <c r="F4" s="500"/>
      <c r="G4" s="489">
        <v>1</v>
      </c>
      <c r="H4" s="488"/>
      <c r="I4" s="488"/>
      <c r="J4" s="488"/>
      <c r="K4" s="488"/>
      <c r="L4" s="490"/>
      <c r="M4" s="491"/>
      <c r="N4" s="491"/>
      <c r="O4" s="491"/>
      <c r="P4" s="504"/>
      <c r="Q4" s="501"/>
      <c r="R4" s="502"/>
      <c r="S4" s="607" t="e">
        <f>INDEX(PT_DIFFERENTIATION_NUM_CS,MATCH(C4,PT_DIFFERENTIATION_CS_ID,0))</f>
        <v>#VALUE!</v>
      </c>
      <c r="T4" s="608" t="s">
        <v>404</v>
      </c>
      <c r="U4" s="609"/>
      <c r="V4" s="610"/>
      <c r="W4" s="611"/>
      <c r="X4" s="611"/>
      <c r="Y4" s="611"/>
      <c r="Z4" s="611"/>
      <c r="AA4" s="611"/>
      <c r="AB4" s="611"/>
      <c r="AC4" s="612"/>
      <c r="AD4" s="610" t="e">
        <f>INDEX(PT_DIFFERENTIATION_CS,MATCH(C4,PT_DIFFERENTIATION_CS_ID,0))</f>
        <v>#VALUE!</v>
      </c>
      <c r="AE4" s="611"/>
      <c r="AF4" s="611"/>
      <c r="AG4" s="611"/>
      <c r="AH4" s="611"/>
      <c r="AI4" s="611"/>
      <c r="AJ4" s="611"/>
      <c r="AK4" s="611"/>
      <c r="AL4" s="612"/>
      <c r="AM4" s="499" t="s">
        <v>405</v>
      </c>
      <c r="AO4" s="129"/>
      <c r="AP4" s="129" t="str">
        <f t="shared" si="14"/>
        <v xml:space="preserve">Наименование системы теплоснабжения </v>
      </c>
      <c r="AQ4" s="129"/>
      <c r="AR4" s="129"/>
      <c r="AS4" s="50">
        <v>0</v>
      </c>
    </row>
    <row r="5" ht="21" hidden="1" customHeight="1">
      <c r="A5" s="488"/>
      <c r="B5" s="488"/>
      <c r="C5" s="488"/>
      <c r="D5" s="488"/>
      <c r="E5" s="500"/>
      <c r="F5" s="500"/>
      <c r="G5" s="500"/>
      <c r="H5" s="489">
        <v>1</v>
      </c>
      <c r="I5" s="488"/>
      <c r="J5" s="488"/>
      <c r="K5" s="488"/>
      <c r="L5" s="490"/>
      <c r="M5" s="491"/>
      <c r="N5" s="491"/>
      <c r="O5" s="491"/>
      <c r="P5" s="504"/>
      <c r="Q5" s="501"/>
      <c r="R5" s="50"/>
      <c r="S5" s="493" t="e">
        <f>INDEX(PT_DIFFERENTIATION_NUM_IST_TE,MATCH(D5,PT_DIFFERENTIATION_IST_TE_ID,0))</f>
        <v>#VALUE!</v>
      </c>
      <c r="T5" s="506" t="s">
        <v>406</v>
      </c>
      <c r="U5" s="495"/>
      <c r="V5" s="613"/>
      <c r="W5" s="613"/>
      <c r="X5" s="613"/>
      <c r="Y5" s="613"/>
      <c r="Z5" s="613"/>
      <c r="AA5" s="613"/>
      <c r="AB5" s="613"/>
      <c r="AC5" s="613"/>
      <c r="AD5" s="613" t="e">
        <f>INDEX(PT_DIFFERENTIATION_IST_TE,MATCH(D5,PT_DIFFERENTIATION_IST_TE_ID,0))</f>
        <v>#VALUE!</v>
      </c>
      <c r="AE5" s="613"/>
      <c r="AF5" s="613"/>
      <c r="AG5" s="613"/>
      <c r="AH5" s="613"/>
      <c r="AI5" s="613"/>
      <c r="AJ5" s="613"/>
      <c r="AK5" s="613"/>
      <c r="AL5" s="613"/>
      <c r="AM5" s="614" t="s">
        <v>407</v>
      </c>
      <c r="AO5" s="129"/>
      <c r="AP5" s="129" t="str">
        <f t="shared" si="14"/>
        <v xml:space="preserve">Источник тепловой энергии  </v>
      </c>
      <c r="AQ5" s="129"/>
      <c r="AR5" s="129"/>
      <c r="AS5" s="50">
        <v>0</v>
      </c>
    </row>
    <row r="6" ht="0.75" hidden="1" customHeight="1">
      <c r="A6" s="488"/>
      <c r="B6" s="488"/>
      <c r="C6" s="488"/>
      <c r="D6" s="488"/>
      <c r="E6" s="500"/>
      <c r="F6" s="500"/>
      <c r="G6" s="500"/>
      <c r="H6" s="500"/>
      <c r="I6" s="507" t="e">
        <f>S5&amp;".1"</f>
        <v>#VALUE!</v>
      </c>
      <c r="J6" s="488"/>
      <c r="K6" s="488"/>
      <c r="L6" s="490" t="s">
        <v>408</v>
      </c>
      <c r="M6" s="53"/>
      <c r="P6" s="132">
        <v>1</v>
      </c>
      <c r="Q6" s="132"/>
      <c r="R6" s="132"/>
      <c r="S6" s="362"/>
      <c r="T6" s="595"/>
      <c r="U6" s="596"/>
      <c r="V6" s="362"/>
      <c r="W6" s="362"/>
      <c r="X6" s="362"/>
      <c r="Y6" s="362"/>
      <c r="Z6" s="362"/>
      <c r="AA6" s="362"/>
      <c r="AB6" s="362"/>
      <c r="AC6" s="362"/>
      <c r="AD6" s="362"/>
      <c r="AE6" s="362"/>
      <c r="AF6" s="362"/>
      <c r="AG6" s="362"/>
      <c r="AH6" s="362"/>
      <c r="AI6" s="362"/>
      <c r="AJ6" s="362"/>
      <c r="AK6" s="362"/>
      <c r="AL6" s="362"/>
      <c r="AM6" s="615"/>
      <c r="AO6" s="129"/>
      <c r="AP6" s="129" t="str">
        <f t="shared" si="14"/>
        <v/>
      </c>
      <c r="AQ6" s="129"/>
      <c r="AR6" s="129"/>
      <c r="AS6" s="50">
        <v>0</v>
      </c>
    </row>
    <row r="7" ht="84" hidden="1" customHeight="1">
      <c r="A7" s="488"/>
      <c r="B7" s="488"/>
      <c r="C7" s="488"/>
      <c r="D7" s="488"/>
      <c r="E7" s="500"/>
      <c r="F7" s="500"/>
      <c r="G7" s="500"/>
      <c r="H7" s="500"/>
      <c r="I7" s="512"/>
      <c r="J7" s="507" t="e">
        <f>I6&amp;".1"</f>
        <v>#VALUE!</v>
      </c>
      <c r="K7" s="488"/>
      <c r="L7" s="490" t="s">
        <v>411</v>
      </c>
      <c r="M7" s="53"/>
      <c r="N7" s="53"/>
      <c r="P7" s="132"/>
      <c r="Q7" s="132">
        <v>1</v>
      </c>
      <c r="R7" s="57"/>
      <c r="S7" s="493" t="e">
        <f>$J7</f>
        <v>#VALUE!</v>
      </c>
      <c r="T7" s="514" t="s">
        <v>412</v>
      </c>
      <c r="U7" s="495"/>
      <c r="V7" s="616"/>
      <c r="W7" s="616"/>
      <c r="X7" s="616"/>
      <c r="Y7" s="616"/>
      <c r="Z7" s="616"/>
      <c r="AA7" s="616"/>
      <c r="AB7" s="616"/>
      <c r="AC7" s="616"/>
      <c r="AD7" s="616"/>
      <c r="AE7" s="616"/>
      <c r="AF7" s="616"/>
      <c r="AG7" s="616"/>
      <c r="AH7" s="616"/>
      <c r="AI7" s="616"/>
      <c r="AJ7" s="616"/>
      <c r="AK7" s="616"/>
      <c r="AL7" s="616"/>
      <c r="AM7" s="614" t="s">
        <v>413</v>
      </c>
      <c r="AO7" s="129"/>
      <c r="AP7" s="129" t="str">
        <f t="shared" si="14"/>
        <v xml:space="preserve">Группа потребителей</v>
      </c>
      <c r="AQ7" s="129"/>
      <c r="AR7" s="129"/>
      <c r="AS7" s="50">
        <v>0</v>
      </c>
    </row>
    <row r="8" ht="11.25" hidden="1" customHeight="1">
      <c r="A8" s="488"/>
      <c r="B8" s="488"/>
      <c r="C8" s="488"/>
      <c r="D8" s="488"/>
      <c r="E8" s="500"/>
      <c r="F8" s="500"/>
      <c r="G8" s="500"/>
      <c r="H8" s="500"/>
      <c r="I8" s="512"/>
      <c r="J8" s="512"/>
      <c r="K8" s="507" t="e">
        <f>J7&amp;".1"</f>
        <v>#VALUE!</v>
      </c>
      <c r="L8" s="490" t="s">
        <v>414</v>
      </c>
      <c r="M8" s="53"/>
      <c r="N8" s="53"/>
      <c r="O8" s="53"/>
      <c r="P8" s="132"/>
      <c r="Q8" s="132"/>
      <c r="R8" s="513">
        <v>1</v>
      </c>
      <c r="S8" s="617" t="e">
        <f>$K8</f>
        <v>#VALUE!</v>
      </c>
      <c r="T8" s="618"/>
      <c r="U8" s="619"/>
      <c r="V8" s="620"/>
      <c r="W8" s="582"/>
      <c r="X8" s="620"/>
      <c r="Y8" s="621"/>
      <c r="Z8" s="622"/>
      <c r="AA8" s="220" t="s">
        <v>67</v>
      </c>
      <c r="AB8" s="622"/>
      <c r="AC8" s="220" t="s">
        <v>67</v>
      </c>
      <c r="AD8" s="620"/>
      <c r="AE8" s="582"/>
      <c r="AF8" s="620"/>
      <c r="AG8" s="621"/>
      <c r="AH8" s="622"/>
      <c r="AI8" s="220" t="s">
        <v>67</v>
      </c>
      <c r="AJ8" s="622"/>
      <c r="AK8" s="220" t="s">
        <v>67</v>
      </c>
      <c r="AL8" s="582"/>
      <c r="AM8" s="520" t="s">
        <v>415</v>
      </c>
      <c r="AN8" s="57" t="e">
        <f>STRCHECKDATE(V9:AL9)</f>
        <v>#NAME?</v>
      </c>
      <c r="AO8" s="129"/>
      <c r="AP8" s="129" t="str">
        <f t="shared" si="14"/>
        <v/>
      </c>
      <c r="AQ8" s="129"/>
      <c r="AR8" s="129"/>
      <c r="AS8" s="50">
        <v>0</v>
      </c>
    </row>
    <row r="9" ht="0.75" hidden="1" customHeight="1">
      <c r="A9" s="488"/>
      <c r="B9" s="488"/>
      <c r="C9" s="488"/>
      <c r="D9" s="488"/>
      <c r="E9" s="500"/>
      <c r="F9" s="500"/>
      <c r="G9" s="500"/>
      <c r="H9" s="500"/>
      <c r="I9" s="512"/>
      <c r="J9" s="512"/>
      <c r="K9" s="507"/>
      <c r="L9" s="490"/>
      <c r="M9" s="53"/>
      <c r="N9" s="53"/>
      <c r="O9" s="53"/>
      <c r="P9" s="132"/>
      <c r="Q9" s="132"/>
      <c r="R9" s="513"/>
      <c r="S9" s="467"/>
      <c r="T9" s="495"/>
      <c r="U9" s="495"/>
      <c r="V9" s="517"/>
      <c r="W9" s="517"/>
      <c r="X9" s="517"/>
      <c r="Y9" s="521" t="str">
        <f>Z8&amp;"-"&amp;AB8</f>
        <v>-</v>
      </c>
      <c r="Z9" s="522"/>
      <c r="AA9" s="224"/>
      <c r="AB9" s="522"/>
      <c r="AC9" s="224"/>
      <c r="AD9" s="517"/>
      <c r="AE9" s="517"/>
      <c r="AF9" s="517"/>
      <c r="AG9" s="521" t="str">
        <f>AH8&amp;"-"&amp;AJ8</f>
        <v>-</v>
      </c>
      <c r="AH9" s="522"/>
      <c r="AI9" s="224"/>
      <c r="AJ9" s="522"/>
      <c r="AK9" s="224"/>
      <c r="AL9" s="517"/>
      <c r="AM9" s="523"/>
      <c r="AO9" s="129"/>
      <c r="AP9" s="129" t="str">
        <f t="shared" si="14"/>
        <v/>
      </c>
      <c r="AQ9" s="129"/>
      <c r="AR9" s="129"/>
      <c r="AS9" s="50">
        <v>0</v>
      </c>
    </row>
    <row r="10" ht="11.25" hidden="1" customHeight="1">
      <c r="A10" s="488"/>
      <c r="B10" s="488"/>
      <c r="C10" s="488"/>
      <c r="D10" s="488"/>
      <c r="E10" s="500"/>
      <c r="F10" s="500"/>
      <c r="G10" s="500"/>
      <c r="H10" s="500"/>
      <c r="I10" s="512"/>
      <c r="J10" s="507"/>
      <c r="K10" s="488"/>
      <c r="L10" s="490"/>
      <c r="M10" s="53"/>
      <c r="N10" s="53"/>
      <c r="P10" s="132"/>
      <c r="Q10" s="132"/>
      <c r="R10" s="508"/>
      <c r="S10" s="524"/>
      <c r="T10" s="528" t="s">
        <v>416</v>
      </c>
      <c r="U10" s="214"/>
      <c r="V10" s="214"/>
      <c r="W10" s="214"/>
      <c r="X10" s="214"/>
      <c r="Y10" s="214"/>
      <c r="Z10" s="214"/>
      <c r="AA10" s="214"/>
      <c r="AB10" s="214"/>
      <c r="AC10" s="214"/>
      <c r="AD10" s="214"/>
      <c r="AE10" s="214"/>
      <c r="AF10" s="214"/>
      <c r="AG10" s="214"/>
      <c r="AH10" s="214"/>
      <c r="AI10" s="214"/>
      <c r="AJ10" s="214"/>
      <c r="AK10" s="214"/>
      <c r="AL10" s="526"/>
      <c r="AM10" s="527"/>
      <c r="AO10" s="129"/>
      <c r="AP10" s="129" t="str">
        <f t="shared" ref="AP10:AP57" si="15">IF(T10="","",T10)</f>
        <v xml:space="preserve">Добавить вид теплоносителя (параметры теплоносителя)</v>
      </c>
      <c r="AQ10" s="129"/>
      <c r="AR10" s="129"/>
      <c r="AS10" s="50">
        <v>0</v>
      </c>
    </row>
    <row r="11" ht="11.25" hidden="1" customHeight="1">
      <c r="A11" s="488"/>
      <c r="B11" s="488"/>
      <c r="C11" s="488"/>
      <c r="D11" s="488"/>
      <c r="E11" s="500"/>
      <c r="F11" s="500"/>
      <c r="G11" s="500"/>
      <c r="H11" s="500"/>
      <c r="I11" s="507"/>
      <c r="J11" s="488"/>
      <c r="K11" s="488"/>
      <c r="L11" s="490"/>
      <c r="M11" s="53"/>
      <c r="P11" s="132"/>
      <c r="Q11" s="132"/>
      <c r="R11" s="508"/>
      <c r="S11" s="524"/>
      <c r="T11" s="532" t="s">
        <v>417</v>
      </c>
      <c r="U11" s="214"/>
      <c r="V11" s="214"/>
      <c r="W11" s="214"/>
      <c r="X11" s="214"/>
      <c r="Y11" s="214"/>
      <c r="Z11" s="214"/>
      <c r="AA11" s="214"/>
      <c r="AB11" s="214"/>
      <c r="AC11" s="529"/>
      <c r="AD11" s="214"/>
      <c r="AE11" s="214"/>
      <c r="AF11" s="214"/>
      <c r="AG11" s="214"/>
      <c r="AH11" s="214"/>
      <c r="AI11" s="214"/>
      <c r="AJ11" s="214"/>
      <c r="AK11" s="529"/>
      <c r="AL11" s="214"/>
      <c r="AM11" s="530"/>
      <c r="AO11" s="129"/>
      <c r="AP11" s="129" t="str">
        <f t="shared" si="15"/>
        <v xml:space="preserve">Добавить группу потребителей</v>
      </c>
      <c r="AQ11" s="129"/>
      <c r="AR11" s="129"/>
      <c r="AS11" s="50">
        <v>0</v>
      </c>
    </row>
    <row r="12" ht="0.75" hidden="1" customHeight="1">
      <c r="A12" s="488"/>
      <c r="B12" s="488"/>
      <c r="C12" s="488"/>
      <c r="D12" s="488"/>
      <c r="E12" s="500"/>
      <c r="F12" s="500"/>
      <c r="G12" s="500"/>
      <c r="H12" s="489"/>
      <c r="I12" s="488"/>
      <c r="J12" s="488"/>
      <c r="K12" s="488"/>
      <c r="L12" s="490"/>
      <c r="M12" s="491"/>
      <c r="N12" s="491"/>
      <c r="O12" s="53"/>
      <c r="P12" s="143"/>
      <c r="Q12" s="531"/>
      <c r="R12" s="492"/>
      <c r="S12" s="601"/>
      <c r="T12" s="602"/>
      <c r="U12" s="603"/>
      <c r="V12" s="603"/>
      <c r="W12" s="603"/>
      <c r="X12" s="603"/>
      <c r="Y12" s="603"/>
      <c r="Z12" s="603"/>
      <c r="AA12" s="603"/>
      <c r="AB12" s="603"/>
      <c r="AC12" s="603"/>
      <c r="AD12" s="603"/>
      <c r="AE12" s="603"/>
      <c r="AF12" s="603"/>
      <c r="AG12" s="603"/>
      <c r="AH12" s="603"/>
      <c r="AI12" s="603"/>
      <c r="AJ12" s="603"/>
      <c r="AK12" s="603"/>
      <c r="AL12" s="603"/>
      <c r="AM12" s="604"/>
      <c r="AO12" s="129"/>
      <c r="AP12" s="129" t="str">
        <f t="shared" si="15"/>
        <v/>
      </c>
      <c r="AQ12" s="129"/>
      <c r="AR12" s="129"/>
      <c r="AS12" s="50">
        <v>0</v>
      </c>
    </row>
    <row r="13" s="57" customFormat="1" ht="0.75" hidden="1" customHeight="1">
      <c r="A13" s="133"/>
      <c r="B13" s="133"/>
      <c r="C13" s="133"/>
      <c r="D13" s="133"/>
      <c r="E13" s="500"/>
      <c r="F13" s="500"/>
      <c r="G13" s="489"/>
      <c r="H13" s="133"/>
      <c r="I13" s="133"/>
      <c r="J13" s="133"/>
      <c r="K13" s="133"/>
      <c r="L13" s="212"/>
      <c r="M13" s="473"/>
      <c r="N13" s="473"/>
      <c r="P13" s="167"/>
      <c r="Q13" s="533"/>
      <c r="R13" s="167"/>
      <c r="S13" s="534"/>
      <c r="T13" s="535" t="s">
        <v>211</v>
      </c>
      <c r="U13" s="536"/>
      <c r="V13" s="536"/>
      <c r="W13" s="536"/>
      <c r="X13" s="536"/>
      <c r="Y13" s="536"/>
      <c r="Z13" s="536"/>
      <c r="AA13" s="536"/>
      <c r="AB13" s="536"/>
      <c r="AC13" s="536"/>
      <c r="AD13" s="536"/>
      <c r="AE13" s="536"/>
      <c r="AF13" s="536"/>
      <c r="AG13" s="536"/>
      <c r="AH13" s="536"/>
      <c r="AI13" s="536"/>
      <c r="AJ13" s="536"/>
      <c r="AK13" s="536"/>
      <c r="AL13" s="536"/>
      <c r="AM13" s="536"/>
      <c r="AO13" s="129"/>
      <c r="AP13" s="129" t="str">
        <f t="shared" si="15"/>
        <v xml:space="preserve">Добавить источник для дифференциации</v>
      </c>
      <c r="AQ13" s="129"/>
      <c r="AR13" s="129"/>
      <c r="AS13" s="57">
        <v>0</v>
      </c>
    </row>
    <row r="14" s="57" customFormat="1" ht="0.75" hidden="1" customHeight="1">
      <c r="A14" s="133"/>
      <c r="B14" s="133"/>
      <c r="C14" s="133"/>
      <c r="D14" s="133"/>
      <c r="E14" s="500"/>
      <c r="F14" s="489"/>
      <c r="G14" s="133"/>
      <c r="H14" s="133"/>
      <c r="I14" s="133"/>
      <c r="J14" s="133"/>
      <c r="K14" s="133"/>
      <c r="L14" s="212"/>
      <c r="M14" s="537"/>
      <c r="N14" s="537"/>
      <c r="P14" s="167"/>
      <c r="Q14" s="533"/>
      <c r="R14" s="167"/>
      <c r="S14" s="538"/>
      <c r="T14" s="539" t="s">
        <v>212</v>
      </c>
      <c r="U14" s="540"/>
      <c r="V14" s="540"/>
      <c r="W14" s="540"/>
      <c r="X14" s="540"/>
      <c r="Y14" s="540"/>
      <c r="Z14" s="540"/>
      <c r="AA14" s="540"/>
      <c r="AB14" s="540"/>
      <c r="AC14" s="540"/>
      <c r="AD14" s="540"/>
      <c r="AE14" s="540"/>
      <c r="AF14" s="540"/>
      <c r="AG14" s="540"/>
      <c r="AH14" s="540"/>
      <c r="AI14" s="540"/>
      <c r="AJ14" s="540"/>
      <c r="AK14" s="540"/>
      <c r="AL14" s="540"/>
      <c r="AM14" s="540"/>
      <c r="AO14" s="129"/>
      <c r="AP14" s="129" t="str">
        <f t="shared" si="15"/>
        <v xml:space="preserve">Добавить централизованную систему для дифференциации</v>
      </c>
      <c r="AQ14" s="129"/>
      <c r="AR14" s="129"/>
      <c r="AS14" s="57">
        <v>0</v>
      </c>
    </row>
    <row r="15" s="57" customFormat="1" ht="0.75" hidden="1" customHeight="1">
      <c r="A15" s="133"/>
      <c r="B15" s="133"/>
      <c r="C15" s="133"/>
      <c r="D15" s="133"/>
      <c r="E15" s="489"/>
      <c r="F15" s="133"/>
      <c r="G15" s="133"/>
      <c r="H15" s="133"/>
      <c r="I15" s="133"/>
      <c r="J15" s="133"/>
      <c r="K15" s="133"/>
      <c r="L15" s="212"/>
      <c r="M15" s="537"/>
      <c r="N15" s="537"/>
      <c r="P15" s="167"/>
      <c r="Q15" s="533"/>
      <c r="R15" s="167"/>
      <c r="S15" s="538"/>
      <c r="T15" s="541" t="s">
        <v>213</v>
      </c>
      <c r="U15" s="540"/>
      <c r="V15" s="540"/>
      <c r="W15" s="540"/>
      <c r="X15" s="540"/>
      <c r="Y15" s="540"/>
      <c r="Z15" s="540"/>
      <c r="AA15" s="540"/>
      <c r="AB15" s="540"/>
      <c r="AC15" s="540"/>
      <c r="AD15" s="540"/>
      <c r="AE15" s="540"/>
      <c r="AF15" s="540"/>
      <c r="AG15" s="540"/>
      <c r="AH15" s="540"/>
      <c r="AI15" s="540"/>
      <c r="AJ15" s="540"/>
      <c r="AK15" s="540"/>
      <c r="AL15" s="540"/>
      <c r="AM15" s="540"/>
      <c r="AO15" s="129"/>
      <c r="AP15" s="129" t="str">
        <f t="shared" si="15"/>
        <v xml:space="preserve">Добавить территорию для дифференциации</v>
      </c>
      <c r="AQ15" s="129"/>
      <c r="AR15" s="129"/>
      <c r="AS15" s="57">
        <v>0</v>
      </c>
    </row>
    <row r="16" ht="14.25" hidden="1" customHeight="1">
      <c r="AC16" s="50"/>
      <c r="AK16" s="50"/>
      <c r="AS16" s="50">
        <v>0</v>
      </c>
    </row>
    <row r="17" ht="14.25" hidden="1" customHeight="1">
      <c r="AD17" s="542"/>
      <c r="AE17" s="542"/>
      <c r="AF17" s="542"/>
      <c r="AG17" s="543"/>
      <c r="AH17" s="544"/>
      <c r="AI17" s="545" t="s">
        <v>67</v>
      </c>
      <c r="AJ17" s="544"/>
      <c r="AK17" s="545" t="s">
        <v>67</v>
      </c>
      <c r="AS17" s="50">
        <v>0</v>
      </c>
    </row>
    <row r="18" ht="14.25" hidden="1" customHeight="1">
      <c r="AD18" s="542"/>
      <c r="AE18" s="542"/>
      <c r="AF18" s="542"/>
      <c r="AG18" s="521" t="str">
        <f>AH17&amp;"-"&amp;AJ17</f>
        <v>-</v>
      </c>
      <c r="AH18" s="545"/>
      <c r="AI18" s="545"/>
      <c r="AJ18" s="545"/>
      <c r="AK18" s="545"/>
      <c r="AS18" s="50">
        <v>0</v>
      </c>
    </row>
    <row r="19" ht="14.25" hidden="1" customHeight="1">
      <c r="AK19" s="50"/>
      <c r="AS19" s="50">
        <v>0</v>
      </c>
    </row>
    <row r="20" s="53" customFormat="1" ht="22.5" hidden="1" customHeight="1">
      <c r="L20" s="113"/>
      <c r="M20" s="61"/>
      <c r="N20" s="61"/>
      <c r="O20" s="546" t="s">
        <v>419</v>
      </c>
      <c r="P20" s="61"/>
      <c r="Q20" s="547"/>
      <c r="R20" s="547"/>
      <c r="S20" s="491"/>
      <c r="Z20" s="546"/>
      <c r="AB20" s="546"/>
      <c r="AC20" s="53"/>
      <c r="AH20" s="546"/>
      <c r="AJ20" s="546"/>
      <c r="AK20" s="53"/>
      <c r="AN20" s="57"/>
      <c r="AO20" s="57"/>
      <c r="AP20" s="57"/>
      <c r="AQ20" s="57"/>
      <c r="AR20" s="57"/>
      <c r="AS20" s="53">
        <v>0</v>
      </c>
    </row>
    <row r="21" s="53" customFormat="1" ht="14.25" hidden="1" customHeight="1">
      <c r="L21" s="113"/>
      <c r="M21" s="61"/>
      <c r="N21" s="61"/>
      <c r="O21" s="61"/>
      <c r="P21" s="61"/>
      <c r="Q21" s="547"/>
      <c r="R21" s="547"/>
      <c r="S21" s="491"/>
      <c r="AC21" s="53"/>
      <c r="AK21" s="53"/>
      <c r="AN21" s="57"/>
      <c r="AO21" s="57"/>
      <c r="AP21" s="57"/>
      <c r="AQ21" s="57"/>
      <c r="AR21" s="57"/>
      <c r="AS21" s="53">
        <v>0</v>
      </c>
    </row>
    <row r="22" s="53" customFormat="1" ht="14.25" hidden="1" customHeight="1">
      <c r="L22" s="113"/>
      <c r="M22" s="61"/>
      <c r="N22" s="61"/>
      <c r="O22" s="490" t="s">
        <v>420</v>
      </c>
      <c r="P22" s="61"/>
      <c r="Q22" s="547"/>
      <c r="R22" s="547"/>
      <c r="S22" s="491"/>
      <c r="T22" s="53" t="s">
        <v>421</v>
      </c>
      <c r="AA22" s="151" t="s">
        <v>422</v>
      </c>
      <c r="AC22" s="151" t="s">
        <v>423</v>
      </c>
      <c r="AD22" s="53" t="s">
        <v>421</v>
      </c>
      <c r="AI22" s="151" t="s">
        <v>424</v>
      </c>
      <c r="AK22" s="151" t="s">
        <v>423</v>
      </c>
      <c r="AN22" s="57"/>
      <c r="AO22" s="57"/>
      <c r="AP22" s="57"/>
      <c r="AQ22" s="57"/>
      <c r="AR22" s="57"/>
      <c r="AS22" s="53">
        <v>0</v>
      </c>
    </row>
    <row r="23" ht="14.25" hidden="1" customHeight="1">
      <c r="O23" s="490"/>
      <c r="AS23" s="50">
        <v>0</v>
      </c>
    </row>
    <row r="24" ht="14.25" hidden="1" customHeight="1">
      <c r="O24" s="490"/>
      <c r="AS24" s="50">
        <v>0</v>
      </c>
    </row>
    <row r="25" ht="14.65" customHeight="1">
      <c r="Q25" s="548"/>
      <c r="R25" s="548"/>
      <c r="S25" s="549"/>
      <c r="T25" s="91"/>
      <c r="U25" s="91"/>
      <c r="V25" s="50"/>
      <c r="W25" s="50"/>
      <c r="X25" s="50"/>
      <c r="Y25" s="50"/>
      <c r="Z25" s="50"/>
      <c r="AA25" s="50"/>
      <c r="AB25" s="50"/>
      <c r="AC25" s="50"/>
      <c r="AD25" s="50"/>
      <c r="AE25" s="50"/>
      <c r="AF25" s="50"/>
      <c r="AG25" s="50"/>
      <c r="AH25" s="50"/>
      <c r="AI25" s="50"/>
      <c r="AJ25" s="50"/>
      <c r="AK25" s="50"/>
      <c r="AS25" s="50">
        <v>14</v>
      </c>
    </row>
    <row r="26" ht="54.75" customHeight="1">
      <c r="Q26" s="548"/>
      <c r="R26" s="548"/>
      <c r="S26" s="311" t="str">
        <f>IF(TEMPLATE_GROUP="P",PT_P_FORM_HEAT_5_NAME_FORM,PT_R_FORM_HEAT_22_NAME_FORM)</f>
        <v xml:space="preserve">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311"/>
      <c r="U26" s="311"/>
      <c r="V26" s="311"/>
      <c r="W26" s="311"/>
      <c r="X26" s="311"/>
      <c r="Y26" s="311"/>
      <c r="Z26" s="311"/>
      <c r="AA26" s="311"/>
      <c r="AB26" s="311"/>
      <c r="AC26" s="311"/>
      <c r="AD26" s="311"/>
      <c r="AE26" s="311"/>
      <c r="AF26" s="311"/>
      <c r="AG26" s="311"/>
      <c r="AH26" s="311"/>
      <c r="AI26" s="311"/>
      <c r="AJ26" s="311"/>
      <c r="AK26" s="240"/>
      <c r="AS26" s="50">
        <v>52</v>
      </c>
    </row>
    <row r="27" ht="14.65" customHeight="1">
      <c r="Q27" s="548"/>
      <c r="R27" s="548"/>
      <c r="S27" s="316" t="str">
        <f>IF(org=0,"Не определено",org)</f>
        <v xml:space="preserve">АО "ДГК"</v>
      </c>
      <c r="T27" s="316"/>
      <c r="U27" s="316"/>
      <c r="V27" s="316"/>
      <c r="W27" s="316"/>
      <c r="X27" s="316"/>
      <c r="Y27" s="316"/>
      <c r="Z27" s="316"/>
      <c r="AA27" s="316"/>
      <c r="AB27" s="316"/>
      <c r="AC27" s="316"/>
      <c r="AD27" s="316"/>
      <c r="AE27" s="316"/>
      <c r="AF27" s="316"/>
      <c r="AG27" s="316"/>
      <c r="AH27" s="316"/>
      <c r="AI27" s="316"/>
      <c r="AJ27" s="316"/>
      <c r="AK27" s="240"/>
      <c r="AS27" s="50">
        <v>14</v>
      </c>
    </row>
    <row r="28" ht="14.25" hidden="1" customHeight="1">
      <c r="Q28" s="548"/>
      <c r="R28" s="548"/>
      <c r="S28" s="549"/>
      <c r="T28" s="91"/>
      <c r="U28" s="91"/>
      <c r="V28" s="550"/>
      <c r="W28" s="550"/>
      <c r="X28" s="550"/>
      <c r="Y28" s="550"/>
      <c r="Z28" s="550"/>
      <c r="AA28" s="550"/>
      <c r="AB28" s="550"/>
      <c r="AC28" s="550"/>
      <c r="AD28" s="550"/>
      <c r="AE28" s="550"/>
      <c r="AF28" s="550"/>
      <c r="AG28" s="550"/>
      <c r="AH28" s="550"/>
      <c r="AI28" s="550"/>
      <c r="AJ28" s="550"/>
      <c r="AK28" s="550"/>
      <c r="AL28" s="50"/>
      <c r="AS28" s="50">
        <v>0</v>
      </c>
    </row>
    <row r="29" s="184" customFormat="1" ht="25.5" hidden="1" customHeight="1">
      <c r="A29" s="151"/>
      <c r="B29" s="151"/>
      <c r="C29" s="151"/>
      <c r="D29" s="151"/>
      <c r="E29" s="151"/>
      <c r="F29" s="151"/>
      <c r="G29" s="151"/>
      <c r="H29" s="151"/>
      <c r="I29" s="151"/>
      <c r="J29" s="151"/>
      <c r="K29" s="151"/>
      <c r="L29" s="490"/>
      <c r="M29" s="151"/>
      <c r="N29" s="151"/>
      <c r="O29" s="151"/>
      <c r="S29" s="551" t="s">
        <v>42</v>
      </c>
      <c r="T29" s="551"/>
      <c r="U29" s="552"/>
      <c r="V29" s="553" t="str">
        <f>IF(TITLE_NAME_OR_PR_CHANGE="",IF(TITLE_NAME_OR_PR="","",TITLE_NAME_OR_PR),TITLE_NAME_OR_PR_CHANGE)</f>
        <v/>
      </c>
      <c r="W29" s="553"/>
      <c r="X29" s="553"/>
      <c r="Y29" s="553"/>
      <c r="Z29" s="553"/>
      <c r="AA29" s="553"/>
      <c r="AB29" s="553"/>
      <c r="AC29" s="50"/>
      <c r="AD29" s="553" t="str">
        <f>IF(TITLE_NAME_OR_PR_CHANGE="",IF(TITLE_NAME_OR_PR="","",TITLE_NAME_OR_PR),TITLE_NAME_OR_PR_CHANGE)</f>
        <v/>
      </c>
      <c r="AE29" s="553"/>
      <c r="AF29" s="553"/>
      <c r="AG29" s="553"/>
      <c r="AH29" s="553"/>
      <c r="AI29" s="553"/>
      <c r="AJ29" s="553"/>
      <c r="AK29" s="50"/>
      <c r="AL29" s="50"/>
      <c r="AM29" s="554"/>
      <c r="AN29" s="129"/>
      <c r="AO29" s="129"/>
      <c r="AP29" s="129"/>
      <c r="AQ29" s="129"/>
      <c r="AR29" s="129"/>
      <c r="AS29" s="184">
        <v>0</v>
      </c>
    </row>
    <row r="30" s="184" customFormat="1" ht="18.75" hidden="1" customHeight="1">
      <c r="A30" s="151"/>
      <c r="B30" s="151"/>
      <c r="C30" s="151"/>
      <c r="D30" s="151"/>
      <c r="E30" s="151"/>
      <c r="F30" s="151"/>
      <c r="G30" s="151"/>
      <c r="H30" s="151"/>
      <c r="I30" s="151"/>
      <c r="J30" s="151"/>
      <c r="K30" s="151"/>
      <c r="L30" s="490"/>
      <c r="M30" s="151"/>
      <c r="N30" s="151"/>
      <c r="O30" s="151"/>
      <c r="S30" s="551" t="s">
        <v>425</v>
      </c>
      <c r="T30" s="551"/>
      <c r="U30" s="552"/>
      <c r="V30" s="555">
        <f>IF(TITLE_DATE_PR_CHANGE="",IF(TITLE_DATE_PR="","",TITLE_DATE_PR),TITLE_DATE_PR_CHANGE)</f>
        <v>46212.428518518522</v>
      </c>
      <c r="W30" s="555"/>
      <c r="X30" s="555"/>
      <c r="Y30" s="555"/>
      <c r="Z30" s="555"/>
      <c r="AA30" s="555"/>
      <c r="AB30" s="555"/>
      <c r="AC30" s="50"/>
      <c r="AD30" s="555">
        <f>IF(TITLE_DATE_PR_CHANGE="",IF(TITLE_DATE_PR="","",TITLE_DATE_PR),TITLE_DATE_PR_CHANGE)</f>
        <v>46212.428518518522</v>
      </c>
      <c r="AE30" s="555"/>
      <c r="AF30" s="555"/>
      <c r="AG30" s="555"/>
      <c r="AH30" s="555"/>
      <c r="AI30" s="555"/>
      <c r="AJ30" s="555"/>
      <c r="AK30" s="50"/>
      <c r="AL30" s="50"/>
      <c r="AM30" s="554"/>
      <c r="AN30" s="129"/>
      <c r="AO30" s="129"/>
      <c r="AP30" s="129"/>
      <c r="AQ30" s="129"/>
      <c r="AR30" s="129"/>
      <c r="AS30" s="184">
        <v>0</v>
      </c>
    </row>
    <row r="31" s="184" customFormat="1" ht="18.75" hidden="1" customHeight="1">
      <c r="A31" s="151"/>
      <c r="B31" s="151"/>
      <c r="C31" s="151"/>
      <c r="D31" s="151"/>
      <c r="E31" s="151"/>
      <c r="F31" s="151"/>
      <c r="G31" s="151"/>
      <c r="H31" s="151"/>
      <c r="I31" s="151"/>
      <c r="J31" s="151"/>
      <c r="K31" s="151"/>
      <c r="L31" s="490"/>
      <c r="M31" s="151"/>
      <c r="N31" s="151"/>
      <c r="O31" s="151"/>
      <c r="S31" s="551" t="s">
        <v>426</v>
      </c>
      <c r="T31" s="551"/>
      <c r="U31" s="552"/>
      <c r="V31" s="553" t="str">
        <f>IF(TITLE_NUMBER_PR_CHANGE="",IF(TITLE_NUMBER_PR="","",TITLE_NUMBER_PR),TITLE_NUMBER_PR_CHANGE)</f>
        <v>Исх-260/1397</v>
      </c>
      <c r="W31" s="553"/>
      <c r="X31" s="553"/>
      <c r="Y31" s="553"/>
      <c r="Z31" s="553"/>
      <c r="AA31" s="553"/>
      <c r="AB31" s="553"/>
      <c r="AC31" s="50"/>
      <c r="AD31" s="553" t="str">
        <f>IF(TITLE_NUMBER_PR_CHANGE="",IF(TITLE_NUMBER_PR="","",TITLE_NUMBER_PR),TITLE_NUMBER_PR_CHANGE)</f>
        <v>Исх-260/1397</v>
      </c>
      <c r="AE31" s="553"/>
      <c r="AF31" s="553"/>
      <c r="AG31" s="553"/>
      <c r="AH31" s="553"/>
      <c r="AI31" s="553"/>
      <c r="AJ31" s="553"/>
      <c r="AK31" s="50"/>
      <c r="AL31" s="50"/>
      <c r="AM31" s="554"/>
      <c r="AN31" s="129"/>
      <c r="AO31" s="129"/>
      <c r="AP31" s="129"/>
      <c r="AQ31" s="129"/>
      <c r="AR31" s="129"/>
      <c r="AS31" s="184">
        <v>0</v>
      </c>
    </row>
    <row r="32" s="184" customFormat="1" ht="18.75" hidden="1" customHeight="1">
      <c r="A32" s="151"/>
      <c r="B32" s="151"/>
      <c r="C32" s="151"/>
      <c r="D32" s="151"/>
      <c r="E32" s="151"/>
      <c r="F32" s="151"/>
      <c r="G32" s="151"/>
      <c r="H32" s="151"/>
      <c r="I32" s="151"/>
      <c r="J32" s="151"/>
      <c r="K32" s="151"/>
      <c r="L32" s="490"/>
      <c r="M32" s="151"/>
      <c r="N32" s="151"/>
      <c r="O32" s="151"/>
      <c r="S32" s="551" t="s">
        <v>43</v>
      </c>
      <c r="T32" s="551"/>
      <c r="U32" s="552"/>
      <c r="V32" s="553" t="str">
        <f>IF(TITLE_IST_PUB_CHANGE="",IF(TITLE_IST_PUB="","",TITLE_IST_PUB),TITLE_IST_PUB_CHANGE)</f>
        <v/>
      </c>
      <c r="W32" s="553"/>
      <c r="X32" s="553"/>
      <c r="Y32" s="553"/>
      <c r="Z32" s="553"/>
      <c r="AA32" s="553"/>
      <c r="AB32" s="553"/>
      <c r="AC32" s="50"/>
      <c r="AD32" s="553" t="str">
        <f>IF(TITLE_IST_PUB_CHANGE="",IF(TITLE_IST_PUB="","",TITLE_IST_PUB),TITLE_IST_PUB_CHANGE)</f>
        <v/>
      </c>
      <c r="AE32" s="553"/>
      <c r="AF32" s="553"/>
      <c r="AG32" s="553"/>
      <c r="AH32" s="553"/>
      <c r="AI32" s="553"/>
      <c r="AJ32" s="553"/>
      <c r="AK32" s="50"/>
      <c r="AL32" s="50"/>
      <c r="AM32" s="554"/>
      <c r="AN32" s="129"/>
      <c r="AO32" s="129"/>
      <c r="AP32" s="129"/>
      <c r="AQ32" s="129"/>
      <c r="AR32" s="129"/>
      <c r="AS32" s="184">
        <v>0</v>
      </c>
    </row>
    <row r="33" ht="14.25" customHeight="1">
      <c r="Q33" s="548"/>
      <c r="R33" s="548"/>
      <c r="S33" s="549"/>
      <c r="T33" s="91"/>
      <c r="U33" s="91"/>
      <c r="V33" s="550"/>
      <c r="W33" s="550"/>
      <c r="X33" s="550"/>
      <c r="Y33" s="550"/>
      <c r="Z33" s="550"/>
      <c r="AA33" s="550"/>
      <c r="AB33" s="550"/>
      <c r="AC33" s="550"/>
      <c r="AD33" s="550"/>
      <c r="AE33" s="550"/>
      <c r="AF33" s="550"/>
      <c r="AG33" s="550"/>
      <c r="AH33" s="550"/>
      <c r="AI33" s="550"/>
      <c r="AJ33" s="550"/>
      <c r="AK33" s="550"/>
      <c r="AL33" s="50"/>
      <c r="AS33" s="50">
        <v>0</v>
      </c>
    </row>
    <row r="34" s="184" customFormat="1" ht="18.75" customHeight="1">
      <c r="A34" s="151"/>
      <c r="B34" s="151"/>
      <c r="C34" s="151"/>
      <c r="D34" s="151"/>
      <c r="E34" s="151"/>
      <c r="F34" s="151"/>
      <c r="G34" s="151"/>
      <c r="H34" s="151"/>
      <c r="I34" s="151"/>
      <c r="J34" s="151"/>
      <c r="K34" s="151"/>
      <c r="L34" s="490"/>
      <c r="M34" s="151"/>
      <c r="N34" s="151"/>
      <c r="O34" s="151"/>
      <c r="S34" s="551" t="s">
        <v>427</v>
      </c>
      <c r="T34" s="551"/>
      <c r="U34" s="552"/>
      <c r="V34" s="555">
        <f>IF(TITLE_DATE_PR_CHANGE="",IF(TITLE_DATE_PR="","",TITLE_DATE_PR),TITLE_DATE_PR_CHANGE)</f>
        <v>46212.428518518522</v>
      </c>
      <c r="W34" s="555"/>
      <c r="X34" s="555"/>
      <c r="Y34" s="555"/>
      <c r="Z34" s="555"/>
      <c r="AA34" s="555"/>
      <c r="AB34" s="555"/>
      <c r="AC34" s="50"/>
      <c r="AD34" s="555">
        <f>IF(TITLE_DATE_PR_CHANGE="",IF(TITLE_DATE_PR="","",TITLE_DATE_PR),TITLE_DATE_PR_CHANGE)</f>
        <v>46212.428518518522</v>
      </c>
      <c r="AE34" s="555"/>
      <c r="AF34" s="555"/>
      <c r="AG34" s="555"/>
      <c r="AH34" s="555"/>
      <c r="AI34" s="555"/>
      <c r="AJ34" s="555"/>
      <c r="AK34" s="50"/>
      <c r="AL34" s="50"/>
      <c r="AM34" s="554"/>
      <c r="AN34" s="129"/>
      <c r="AO34" s="129"/>
      <c r="AP34" s="129"/>
      <c r="AQ34" s="129"/>
      <c r="AR34" s="129"/>
      <c r="AS34" s="184">
        <v>0</v>
      </c>
    </row>
    <row r="35" s="184" customFormat="1" ht="18.75" customHeight="1">
      <c r="A35" s="151"/>
      <c r="B35" s="151"/>
      <c r="C35" s="151"/>
      <c r="D35" s="151"/>
      <c r="E35" s="151"/>
      <c r="F35" s="151"/>
      <c r="G35" s="151"/>
      <c r="H35" s="151"/>
      <c r="I35" s="151"/>
      <c r="J35" s="151"/>
      <c r="K35" s="151"/>
      <c r="L35" s="490"/>
      <c r="M35" s="151"/>
      <c r="N35" s="151"/>
      <c r="O35" s="151"/>
      <c r="S35" s="551" t="s">
        <v>428</v>
      </c>
      <c r="T35" s="551"/>
      <c r="U35" s="552"/>
      <c r="V35" s="553" t="str">
        <f>IF(TITLE_NUMBER_PR_CHANGE="",IF(TITLE_NUMBER_PR="","",TITLE_NUMBER_PR),TITLE_NUMBER_PR_CHANGE)</f>
        <v>Исх-260/1397</v>
      </c>
      <c r="W35" s="553"/>
      <c r="X35" s="553"/>
      <c r="Y35" s="553"/>
      <c r="Z35" s="553"/>
      <c r="AA35" s="553"/>
      <c r="AB35" s="553"/>
      <c r="AC35" s="50"/>
      <c r="AD35" s="553" t="str">
        <f>IF(TITLE_NUMBER_PR_CHANGE="",IF(TITLE_NUMBER_PR="","",TITLE_NUMBER_PR),TITLE_NUMBER_PR_CHANGE)</f>
        <v>Исх-260/1397</v>
      </c>
      <c r="AE35" s="553"/>
      <c r="AF35" s="553"/>
      <c r="AG35" s="553"/>
      <c r="AH35" s="553"/>
      <c r="AI35" s="553"/>
      <c r="AJ35" s="553"/>
      <c r="AK35" s="50"/>
      <c r="AL35" s="50"/>
      <c r="AM35" s="554"/>
      <c r="AN35" s="129"/>
      <c r="AO35" s="129"/>
      <c r="AP35" s="129"/>
      <c r="AQ35" s="129"/>
      <c r="AR35" s="129"/>
      <c r="AS35" s="184">
        <v>0</v>
      </c>
    </row>
    <row r="36" s="184" customFormat="1" ht="0" customHeight="1">
      <c r="A36" s="151"/>
      <c r="B36" s="151"/>
      <c r="C36" s="151"/>
      <c r="D36" s="151"/>
      <c r="E36" s="151"/>
      <c r="F36" s="151"/>
      <c r="G36" s="151"/>
      <c r="H36" s="151"/>
      <c r="I36" s="151"/>
      <c r="J36" s="151"/>
      <c r="K36" s="151"/>
      <c r="L36" s="490"/>
      <c r="M36" s="151"/>
      <c r="N36" s="151"/>
      <c r="O36" s="151"/>
      <c r="S36" s="50"/>
      <c r="T36" s="50"/>
      <c r="U36" s="140"/>
      <c r="V36" s="50"/>
      <c r="W36" s="50"/>
      <c r="X36" s="50"/>
      <c r="Y36" s="50"/>
      <c r="Z36" s="50"/>
      <c r="AA36" s="50"/>
      <c r="AB36" s="50"/>
      <c r="AC36" s="57" t="s">
        <v>429</v>
      </c>
      <c r="AD36" s="50"/>
      <c r="AE36" s="50"/>
      <c r="AF36" s="50"/>
      <c r="AG36" s="50"/>
      <c r="AH36" s="50"/>
      <c r="AI36" s="50"/>
      <c r="AJ36" s="50"/>
      <c r="AK36" s="57" t="s">
        <v>429</v>
      </c>
      <c r="AN36" s="129"/>
      <c r="AO36" s="129"/>
      <c r="AP36" s="129"/>
      <c r="AQ36" s="129"/>
      <c r="AR36" s="129"/>
      <c r="AS36" s="184">
        <v>0</v>
      </c>
    </row>
    <row r="37" ht="14.65" customHeight="1">
      <c r="Q37" s="548"/>
      <c r="R37" s="548"/>
      <c r="S37" s="549"/>
      <c r="T37" s="91"/>
      <c r="U37" s="556"/>
      <c r="V37" s="557"/>
      <c r="W37" s="557"/>
      <c r="X37" s="557"/>
      <c r="Y37" s="557"/>
      <c r="Z37" s="557"/>
      <c r="AA37" s="557"/>
      <c r="AB37" s="557"/>
      <c r="AC37" s="557"/>
      <c r="AD37" s="557"/>
      <c r="AE37" s="557"/>
      <c r="AF37" s="557"/>
      <c r="AG37" s="557"/>
      <c r="AH37" s="557"/>
      <c r="AI37" s="557"/>
      <c r="AJ37" s="557"/>
      <c r="AK37" s="557"/>
      <c r="AS37" s="50">
        <v>14</v>
      </c>
    </row>
    <row r="38" ht="14.65" customHeight="1">
      <c r="Q38" s="548"/>
      <c r="R38" s="548"/>
      <c r="S38" s="157" t="s">
        <v>305</v>
      </c>
      <c r="T38" s="157"/>
      <c r="U38" s="157"/>
      <c r="V38" s="157"/>
      <c r="W38" s="157"/>
      <c r="X38" s="157"/>
      <c r="Y38" s="157"/>
      <c r="Z38" s="157"/>
      <c r="AA38" s="157"/>
      <c r="AB38" s="157"/>
      <c r="AC38" s="157"/>
      <c r="AD38" s="157"/>
      <c r="AE38" s="157"/>
      <c r="AF38" s="157"/>
      <c r="AG38" s="157"/>
      <c r="AH38" s="157"/>
      <c r="AI38" s="157"/>
      <c r="AJ38" s="157"/>
      <c r="AK38" s="157"/>
      <c r="AL38" s="157"/>
      <c r="AM38" s="157" t="s">
        <v>306</v>
      </c>
      <c r="AS38" s="50">
        <v>14</v>
      </c>
    </row>
    <row r="39" ht="14.65" customHeight="1">
      <c r="Q39" s="548"/>
      <c r="R39" s="548"/>
      <c r="S39" s="493" t="s">
        <v>89</v>
      </c>
      <c r="T39" s="358" t="s">
        <v>430</v>
      </c>
      <c r="U39" s="558"/>
      <c r="V39" s="559" t="s">
        <v>431</v>
      </c>
      <c r="W39" s="560"/>
      <c r="X39" s="560"/>
      <c r="Y39" s="560"/>
      <c r="Z39" s="560"/>
      <c r="AA39" s="560"/>
      <c r="AB39" s="561"/>
      <c r="AC39" s="562" t="s">
        <v>432</v>
      </c>
      <c r="AD39" s="559" t="s">
        <v>431</v>
      </c>
      <c r="AE39" s="560"/>
      <c r="AF39" s="560"/>
      <c r="AG39" s="560"/>
      <c r="AH39" s="560"/>
      <c r="AI39" s="560"/>
      <c r="AJ39" s="561"/>
      <c r="AK39" s="562" t="s">
        <v>433</v>
      </c>
      <c r="AL39" s="563" t="s">
        <v>434</v>
      </c>
      <c r="AM39" s="157"/>
      <c r="AS39" s="50">
        <v>14</v>
      </c>
    </row>
    <row r="40" ht="35.649999999999999" customHeight="1">
      <c r="Q40" s="548"/>
      <c r="R40" s="548"/>
      <c r="S40" s="493"/>
      <c r="T40" s="358"/>
      <c r="U40" s="564"/>
      <c r="V40" s="320" t="s">
        <v>435</v>
      </c>
      <c r="W40" s="565"/>
      <c r="X40" s="73" t="s">
        <v>437</v>
      </c>
      <c r="Y40" s="72"/>
      <c r="Z40" s="73" t="s">
        <v>438</v>
      </c>
      <c r="AA40" s="145"/>
      <c r="AB40" s="72"/>
      <c r="AC40" s="566"/>
      <c r="AD40" s="320" t="s">
        <v>451</v>
      </c>
      <c r="AE40" s="565"/>
      <c r="AF40" s="73" t="s">
        <v>437</v>
      </c>
      <c r="AG40" s="72"/>
      <c r="AH40" s="73" t="s">
        <v>438</v>
      </c>
      <c r="AI40" s="145"/>
      <c r="AJ40" s="72"/>
      <c r="AK40" s="566"/>
      <c r="AL40" s="567"/>
      <c r="AM40" s="157"/>
      <c r="AS40" s="50">
        <v>34</v>
      </c>
    </row>
    <row r="41" ht="35.649999999999999" customHeight="1">
      <c r="A41" s="151"/>
      <c r="B41" s="151" t="s">
        <v>135</v>
      </c>
      <c r="C41" s="151" t="s">
        <v>136</v>
      </c>
      <c r="D41" s="151" t="s">
        <v>137</v>
      </c>
      <c r="E41" s="490" t="s">
        <v>439</v>
      </c>
      <c r="F41" s="490" t="s">
        <v>440</v>
      </c>
      <c r="G41" s="490" t="s">
        <v>441</v>
      </c>
      <c r="H41" s="490" t="s">
        <v>442</v>
      </c>
      <c r="I41" s="490" t="s">
        <v>443</v>
      </c>
      <c r="J41" s="490" t="s">
        <v>444</v>
      </c>
      <c r="K41" s="490" t="s">
        <v>445</v>
      </c>
      <c r="L41" s="490" t="s">
        <v>420</v>
      </c>
      <c r="Q41" s="548"/>
      <c r="R41" s="548"/>
      <c r="S41" s="493"/>
      <c r="T41" s="358"/>
      <c r="U41" s="568"/>
      <c r="V41" s="162"/>
      <c r="W41" s="569"/>
      <c r="X41" s="246" t="s">
        <v>446</v>
      </c>
      <c r="Y41" s="246" t="s">
        <v>447</v>
      </c>
      <c r="Z41" s="246" t="s">
        <v>448</v>
      </c>
      <c r="AA41" s="424" t="s">
        <v>449</v>
      </c>
      <c r="AB41" s="426"/>
      <c r="AC41" s="570"/>
      <c r="AD41" s="162"/>
      <c r="AE41" s="569"/>
      <c r="AF41" s="246" t="s">
        <v>446</v>
      </c>
      <c r="AG41" s="246" t="s">
        <v>447</v>
      </c>
      <c r="AH41" s="246" t="s">
        <v>448</v>
      </c>
      <c r="AI41" s="424" t="s">
        <v>449</v>
      </c>
      <c r="AJ41" s="426"/>
      <c r="AK41" s="570"/>
      <c r="AL41" s="571"/>
      <c r="AM41" s="157"/>
      <c r="AS41" s="50">
        <v>34</v>
      </c>
    </row>
    <row r="42" s="131" customFormat="1" ht="11.25" hidden="1" customHeight="1">
      <c r="A42" s="151"/>
      <c r="B42" s="151"/>
      <c r="C42" s="151"/>
      <c r="D42" s="151"/>
      <c r="E42" s="151"/>
      <c r="F42" s="151"/>
      <c r="G42" s="151"/>
      <c r="H42" s="151"/>
      <c r="I42" s="151"/>
      <c r="J42" s="151"/>
      <c r="K42" s="151"/>
      <c r="L42" s="490"/>
      <c r="M42" s="61"/>
      <c r="N42" s="61"/>
      <c r="O42" s="61"/>
      <c r="P42" s="572"/>
      <c r="Q42" s="573"/>
      <c r="R42" s="574">
        <v>1</v>
      </c>
      <c r="S42" s="575" t="s">
        <v>109</v>
      </c>
      <c r="T42" s="576" t="s">
        <v>110</v>
      </c>
      <c r="U42" s="577" t="str">
        <f ca="1">OFFSET(U42,0,-1)</f>
        <v>2</v>
      </c>
      <c r="V42" s="578">
        <f ca="1">OFFSET(V42,0,-1)+1</f>
        <v>3</v>
      </c>
      <c r="W42" s="578"/>
      <c r="X42" s="578">
        <f ca="1">OFFSET(X42,0,-1)+1</f>
        <v>1</v>
      </c>
      <c r="Y42" s="578">
        <f ca="1">OFFSET(Y42,0,-1)+1</f>
        <v>2</v>
      </c>
      <c r="Z42" s="578">
        <f ca="1">OFFSET(Z42,0,-1)+1</f>
        <v>3</v>
      </c>
      <c r="AA42" s="578">
        <f ca="1">OFFSET(AA42,0,-1)+1</f>
        <v>4</v>
      </c>
      <c r="AB42" s="578"/>
      <c r="AC42" s="578">
        <f ca="1">OFFSET(AC42,0,-2)+1</f>
        <v>5</v>
      </c>
      <c r="AD42" s="578">
        <f ca="1">OFFSET(AD42,0,-1)+1</f>
        <v>6</v>
      </c>
      <c r="AE42" s="578"/>
      <c r="AF42" s="578">
        <f ca="1">OFFSET(AF42,0,-1)+1</f>
        <v>1</v>
      </c>
      <c r="AG42" s="578">
        <f ca="1">OFFSET(AG42,0,-1)+1</f>
        <v>2</v>
      </c>
      <c r="AH42" s="578">
        <f ca="1">OFFSET(AH42,0,-1)+1</f>
        <v>3</v>
      </c>
      <c r="AI42" s="578">
        <f ca="1">OFFSET(AI42,0,-1)+1</f>
        <v>4</v>
      </c>
      <c r="AJ42" s="578"/>
      <c r="AK42" s="578">
        <f ca="1">OFFSET(AK42,0,-2)+1</f>
        <v>5</v>
      </c>
      <c r="AL42" s="577">
        <f ca="1">OFFSET(AL42,0,-1)</f>
        <v>5</v>
      </c>
      <c r="AM42" s="578">
        <f ca="1">OFFSET(AM42,0,-1)+1</f>
        <v>6</v>
      </c>
      <c r="AN42" s="57"/>
      <c r="AO42" s="57"/>
      <c r="AP42" s="57"/>
      <c r="AQ42" s="57"/>
      <c r="AR42" s="57"/>
      <c r="AS42" s="131">
        <v>0</v>
      </c>
    </row>
    <row r="43" ht="22" customHeight="1">
      <c r="A43" s="488" t="s">
        <v>180</v>
      </c>
      <c r="B43" s="488"/>
      <c r="C43" s="488"/>
      <c r="D43" s="488"/>
      <c r="E43" s="489">
        <v>1</v>
      </c>
      <c r="F43" s="488"/>
      <c r="G43" s="488"/>
      <c r="H43" s="488"/>
      <c r="I43" s="488"/>
      <c r="J43" s="488"/>
      <c r="K43" s="488"/>
      <c r="L43" s="490"/>
      <c r="M43" s="491"/>
      <c r="N43" s="491"/>
      <c r="O43" s="491"/>
      <c r="P43" s="60"/>
      <c r="Q43" s="143"/>
      <c r="R43" s="492"/>
      <c r="S43" s="493">
        <f>INDEX(PT_DIFFERENTIATION_NUM_NTAR,MATCH(A43,PT_DIFFERENTIATION_NTAR_ID,0))</f>
        <v>0</v>
      </c>
      <c r="T43" s="494" t="s">
        <v>123</v>
      </c>
      <c r="U43" s="495"/>
      <c r="V43" s="496"/>
      <c r="W43" s="497"/>
      <c r="X43" s="497"/>
      <c r="Y43" s="497"/>
      <c r="Z43" s="497"/>
      <c r="AA43" s="497"/>
      <c r="AB43" s="497"/>
      <c r="AC43" s="498"/>
      <c r="AD43" s="496" t="str">
        <f>INDEX(PT_DIFFERENTIATION_NTAR,MATCH(A43,PT_DIFFERENTIATION_NTAR_ID,0))</f>
        <v/>
      </c>
      <c r="AE43" s="497"/>
      <c r="AF43" s="497"/>
      <c r="AG43" s="497"/>
      <c r="AH43" s="497"/>
      <c r="AI43" s="497"/>
      <c r="AJ43" s="497"/>
      <c r="AK43" s="497"/>
      <c r="AL43" s="498"/>
      <c r="AM43" s="49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29"/>
      <c r="AP43" s="129" t="str">
        <f t="shared" si="15"/>
        <v xml:space="preserve">Наименование тарифа</v>
      </c>
      <c r="AQ43" s="129"/>
      <c r="AR43" s="129"/>
      <c r="AS43" s="50">
        <v>21</v>
      </c>
    </row>
    <row r="44" ht="22" customHeight="1">
      <c r="A44" s="488" t="s">
        <v>180</v>
      </c>
      <c r="B44" s="488" t="s">
        <v>181</v>
      </c>
      <c r="C44" s="488"/>
      <c r="D44" s="488"/>
      <c r="E44" s="500"/>
      <c r="F44" s="489">
        <v>1</v>
      </c>
      <c r="G44" s="488"/>
      <c r="H44" s="488"/>
      <c r="I44" s="488"/>
      <c r="J44" s="488"/>
      <c r="K44" s="488"/>
      <c r="L44" s="490"/>
      <c r="M44" s="491"/>
      <c r="N44" s="491"/>
      <c r="O44" s="491"/>
      <c r="P44" s="51"/>
      <c r="Q44" s="501"/>
      <c r="R44" s="502"/>
      <c r="S44" s="493" t="str">
        <f>INDEX(PT_DIFFERENTIATION_NUM_TER,MATCH(B44,PT_DIFFERENTIATION_TER_ID,0))</f>
        <v>.</v>
      </c>
      <c r="T44" s="503" t="s">
        <v>402</v>
      </c>
      <c r="U44" s="495"/>
      <c r="V44" s="496"/>
      <c r="W44" s="497"/>
      <c r="X44" s="497"/>
      <c r="Y44" s="497"/>
      <c r="Z44" s="497"/>
      <c r="AA44" s="497"/>
      <c r="AB44" s="497"/>
      <c r="AC44" s="498"/>
      <c r="AD44" s="496" t="str">
        <f>INDEX(PT_DIFFERENTIATION_TER,MATCH(B44,PT_DIFFERENTIATION_TER_ID,0))</f>
        <v/>
      </c>
      <c r="AE44" s="497"/>
      <c r="AF44" s="497"/>
      <c r="AG44" s="497"/>
      <c r="AH44" s="497"/>
      <c r="AI44" s="497"/>
      <c r="AJ44" s="497"/>
      <c r="AK44" s="497"/>
      <c r="AL44" s="498"/>
      <c r="AM44" s="499" t="s">
        <v>403</v>
      </c>
      <c r="AO44" s="129"/>
      <c r="AP44" s="129" t="str">
        <f t="shared" si="15"/>
        <v xml:space="preserve">Территория действия тарифа</v>
      </c>
      <c r="AQ44" s="129"/>
      <c r="AR44" s="129"/>
      <c r="AS44" s="50">
        <v>21</v>
      </c>
    </row>
    <row r="45" ht="24" customHeight="1">
      <c r="A45" s="488" t="s">
        <v>180</v>
      </c>
      <c r="B45" s="488" t="s">
        <v>181</v>
      </c>
      <c r="C45" s="488" t="s">
        <v>182</v>
      </c>
      <c r="D45" s="488"/>
      <c r="E45" s="500"/>
      <c r="F45" s="500"/>
      <c r="G45" s="489">
        <v>1</v>
      </c>
      <c r="H45" s="488"/>
      <c r="I45" s="488"/>
      <c r="J45" s="488"/>
      <c r="K45" s="488"/>
      <c r="L45" s="490"/>
      <c r="M45" s="491"/>
      <c r="N45" s="491"/>
      <c r="O45" s="491"/>
      <c r="P45" s="504"/>
      <c r="Q45" s="501"/>
      <c r="R45" s="502"/>
      <c r="S45" s="493" t="str">
        <f>INDEX(PT_DIFFERENTIATION_NUM_CS,MATCH(C45,PT_DIFFERENTIATION_CS_ID,0))</f>
        <v>..</v>
      </c>
      <c r="T45" s="505" t="s">
        <v>404</v>
      </c>
      <c r="U45" s="495"/>
      <c r="V45" s="496"/>
      <c r="W45" s="497"/>
      <c r="X45" s="497"/>
      <c r="Y45" s="497"/>
      <c r="Z45" s="497"/>
      <c r="AA45" s="497"/>
      <c r="AB45" s="497"/>
      <c r="AC45" s="498"/>
      <c r="AD45" s="496" t="str">
        <f>INDEX(PT_DIFFERENTIATION_CS,MATCH(C45,PT_DIFFERENTIATION_CS_ID,0))</f>
        <v/>
      </c>
      <c r="AE45" s="497"/>
      <c r="AF45" s="497"/>
      <c r="AG45" s="497"/>
      <c r="AH45" s="497"/>
      <c r="AI45" s="497"/>
      <c r="AJ45" s="497"/>
      <c r="AK45" s="497"/>
      <c r="AL45" s="498"/>
      <c r="AM45" s="499" t="s">
        <v>405</v>
      </c>
      <c r="AO45" s="129"/>
      <c r="AP45" s="129" t="str">
        <f t="shared" si="15"/>
        <v xml:space="preserve">Наименование системы теплоснабжения </v>
      </c>
      <c r="AQ45" s="129"/>
      <c r="AR45" s="129"/>
      <c r="AS45" s="50">
        <v>23</v>
      </c>
    </row>
    <row r="46" ht="22" customHeight="1">
      <c r="A46" s="488" t="s">
        <v>180</v>
      </c>
      <c r="B46" s="488" t="s">
        <v>181</v>
      </c>
      <c r="C46" s="488" t="s">
        <v>182</v>
      </c>
      <c r="D46" s="488" t="s">
        <v>183</v>
      </c>
      <c r="E46" s="500"/>
      <c r="F46" s="500"/>
      <c r="G46" s="500"/>
      <c r="H46" s="489">
        <v>1</v>
      </c>
      <c r="I46" s="488"/>
      <c r="J46" s="488"/>
      <c r="K46" s="488"/>
      <c r="L46" s="490"/>
      <c r="M46" s="491"/>
      <c r="N46" s="491"/>
      <c r="O46" s="491"/>
      <c r="P46" s="504"/>
      <c r="Q46" s="501"/>
      <c r="R46" s="502"/>
      <c r="S46" s="493" t="str">
        <f>INDEX(PT_DIFFERENTIATION_NUM_IST_TE,MATCH(D46,PT_DIFFERENTIATION_IST_TE_ID,0))</f>
        <v>...</v>
      </c>
      <c r="T46" s="506" t="s">
        <v>406</v>
      </c>
      <c r="U46" s="495"/>
      <c r="V46" s="496"/>
      <c r="W46" s="497"/>
      <c r="X46" s="497"/>
      <c r="Y46" s="497"/>
      <c r="Z46" s="497"/>
      <c r="AA46" s="497"/>
      <c r="AB46" s="497"/>
      <c r="AC46" s="498"/>
      <c r="AD46" s="496" t="str">
        <f>INDEX(PT_DIFFERENTIATION_IST_TE,MATCH(D46,PT_DIFFERENTIATION_IST_TE_ID,0))</f>
        <v/>
      </c>
      <c r="AE46" s="497"/>
      <c r="AF46" s="497"/>
      <c r="AG46" s="497"/>
      <c r="AH46" s="497"/>
      <c r="AI46" s="497"/>
      <c r="AJ46" s="497"/>
      <c r="AK46" s="497"/>
      <c r="AL46" s="498"/>
      <c r="AM46" s="499" t="s">
        <v>407</v>
      </c>
      <c r="AO46" s="129"/>
      <c r="AP46" s="129" t="str">
        <f t="shared" si="15"/>
        <v xml:space="preserve">Источник тепловой энергии  </v>
      </c>
      <c r="AQ46" s="129"/>
      <c r="AR46" s="129"/>
      <c r="AS46" s="50">
        <v>21</v>
      </c>
    </row>
    <row r="47" s="57" customFormat="1" ht="0" customHeight="1">
      <c r="A47" s="133" t="s">
        <v>180</v>
      </c>
      <c r="B47" s="133" t="s">
        <v>181</v>
      </c>
      <c r="C47" s="133" t="s">
        <v>182</v>
      </c>
      <c r="D47" s="133" t="s">
        <v>183</v>
      </c>
      <c r="E47" s="500"/>
      <c r="F47" s="500"/>
      <c r="G47" s="500"/>
      <c r="H47" s="500"/>
      <c r="I47" s="507" t="str">
        <f>S46&amp;".1"</f>
        <v>....1</v>
      </c>
      <c r="J47" s="133"/>
      <c r="K47" s="133"/>
      <c r="L47" s="212" t="s">
        <v>408</v>
      </c>
      <c r="M47" s="605"/>
      <c r="N47" s="605"/>
      <c r="O47" s="605"/>
      <c r="P47" s="132">
        <v>1</v>
      </c>
      <c r="Q47" s="132"/>
      <c r="R47" s="508"/>
      <c r="S47" s="362"/>
      <c r="T47" s="595"/>
      <c r="U47" s="596"/>
      <c r="V47" s="597"/>
      <c r="W47" s="598"/>
      <c r="X47" s="598"/>
      <c r="Y47" s="598"/>
      <c r="Z47" s="598"/>
      <c r="AA47" s="598"/>
      <c r="AB47" s="598"/>
      <c r="AC47" s="599"/>
      <c r="AD47" s="597"/>
      <c r="AE47" s="598"/>
      <c r="AF47" s="598"/>
      <c r="AG47" s="598"/>
      <c r="AH47" s="598"/>
      <c r="AI47" s="598"/>
      <c r="AJ47" s="598"/>
      <c r="AK47" s="598"/>
      <c r="AL47" s="599"/>
      <c r="AM47" s="600"/>
      <c r="AO47" s="129"/>
      <c r="AP47" s="129" t="str">
        <f t="shared" si="15"/>
        <v/>
      </c>
      <c r="AQ47" s="129"/>
      <c r="AR47" s="129"/>
      <c r="AS47" s="57">
        <v>0</v>
      </c>
    </row>
    <row r="48" ht="22" customHeight="1">
      <c r="A48" s="488" t="s">
        <v>180</v>
      </c>
      <c r="B48" s="488" t="s">
        <v>181</v>
      </c>
      <c r="C48" s="488" t="s">
        <v>182</v>
      </c>
      <c r="D48" s="488" t="s">
        <v>183</v>
      </c>
      <c r="E48" s="500"/>
      <c r="F48" s="500"/>
      <c r="G48" s="500"/>
      <c r="H48" s="500"/>
      <c r="I48" s="512"/>
      <c r="J48" s="507" t="str">
        <f>S46&amp;".1"</f>
        <v>....1</v>
      </c>
      <c r="K48" s="488"/>
      <c r="L48" s="490" t="s">
        <v>411</v>
      </c>
      <c r="P48" s="132"/>
      <c r="Q48" s="132">
        <v>1</v>
      </c>
      <c r="R48" s="513"/>
      <c r="S48" s="493" t="str">
        <f>$J48</f>
        <v>....1</v>
      </c>
      <c r="T48" s="514" t="s">
        <v>412</v>
      </c>
      <c r="U48" s="495"/>
      <c r="V48" s="440"/>
      <c r="W48" s="510"/>
      <c r="X48" s="510"/>
      <c r="Y48" s="510"/>
      <c r="Z48" s="510"/>
      <c r="AA48" s="510"/>
      <c r="AB48" s="510"/>
      <c r="AC48" s="511"/>
      <c r="AD48" s="440"/>
      <c r="AE48" s="510"/>
      <c r="AF48" s="510"/>
      <c r="AG48" s="510"/>
      <c r="AH48" s="510"/>
      <c r="AI48" s="510"/>
      <c r="AJ48" s="510"/>
      <c r="AK48" s="510"/>
      <c r="AL48" s="511"/>
      <c r="AM48" s="499" t="s">
        <v>413</v>
      </c>
      <c r="AO48" s="129"/>
      <c r="AP48" s="129" t="str">
        <f t="shared" si="15"/>
        <v xml:space="preserve">Группа потребителей</v>
      </c>
      <c r="AQ48" s="129"/>
      <c r="AR48" s="129"/>
      <c r="AS48" s="50">
        <v>21</v>
      </c>
    </row>
    <row r="49" ht="22" customHeight="1">
      <c r="A49" s="488" t="s">
        <v>180</v>
      </c>
      <c r="B49" s="488" t="s">
        <v>181</v>
      </c>
      <c r="C49" s="488" t="s">
        <v>182</v>
      </c>
      <c r="D49" s="488" t="s">
        <v>183</v>
      </c>
      <c r="E49" s="500"/>
      <c r="F49" s="500"/>
      <c r="G49" s="500"/>
      <c r="H49" s="500"/>
      <c r="I49" s="512"/>
      <c r="J49" s="512"/>
      <c r="K49" s="507" t="str">
        <f>J48&amp;".1"</f>
        <v>....1.1</v>
      </c>
      <c r="L49" s="490" t="s">
        <v>414</v>
      </c>
      <c r="P49" s="132"/>
      <c r="Q49" s="132"/>
      <c r="R49" s="513">
        <v>1</v>
      </c>
      <c r="S49" s="493" t="str">
        <f>$K49</f>
        <v>....1.1</v>
      </c>
      <c r="T49" s="515"/>
      <c r="U49" s="495"/>
      <c r="V49" s="516"/>
      <c r="W49" s="517"/>
      <c r="X49" s="516"/>
      <c r="Y49" s="518"/>
      <c r="Z49" s="519"/>
      <c r="AA49" s="224" t="s">
        <v>67</v>
      </c>
      <c r="AB49" s="519"/>
      <c r="AC49" s="224" t="s">
        <v>67</v>
      </c>
      <c r="AD49" s="516"/>
      <c r="AE49" s="517"/>
      <c r="AF49" s="516"/>
      <c r="AG49" s="518"/>
      <c r="AH49" s="519"/>
      <c r="AI49" s="224" t="s">
        <v>67</v>
      </c>
      <c r="AJ49" s="579"/>
      <c r="AK49" s="224" t="s">
        <v>67</v>
      </c>
      <c r="AL49" s="580"/>
      <c r="AM49" s="520" t="s">
        <v>452</v>
      </c>
      <c r="AN49" s="57" t="e">
        <f>STRCHECKDATE(V50:AL50)</f>
        <v>#NAME?</v>
      </c>
      <c r="AO49" s="129"/>
      <c r="AP49" s="129" t="str">
        <f t="shared" si="15"/>
        <v/>
      </c>
      <c r="AQ49" s="129"/>
      <c r="AR49" s="129"/>
      <c r="AS49" s="50">
        <v>21</v>
      </c>
    </row>
    <row r="50" ht="1.05" customHeight="1">
      <c r="A50" s="488" t="s">
        <v>180</v>
      </c>
      <c r="B50" s="488" t="s">
        <v>181</v>
      </c>
      <c r="C50" s="488" t="s">
        <v>182</v>
      </c>
      <c r="D50" s="488" t="s">
        <v>183</v>
      </c>
      <c r="E50" s="500"/>
      <c r="F50" s="500"/>
      <c r="G50" s="500"/>
      <c r="H50" s="500"/>
      <c r="I50" s="512"/>
      <c r="J50" s="512"/>
      <c r="K50" s="507"/>
      <c r="L50" s="490"/>
      <c r="P50" s="132"/>
      <c r="Q50" s="132"/>
      <c r="R50" s="513"/>
      <c r="S50" s="467"/>
      <c r="T50" s="495"/>
      <c r="U50" s="495"/>
      <c r="V50" s="517"/>
      <c r="W50" s="517"/>
      <c r="X50" s="517"/>
      <c r="Y50" s="521" t="str">
        <f>Z49&amp;"-"&amp;AB49</f>
        <v>-</v>
      </c>
      <c r="Z50" s="522"/>
      <c r="AA50" s="224"/>
      <c r="AB50" s="522"/>
      <c r="AC50" s="224"/>
      <c r="AD50" s="517"/>
      <c r="AE50" s="517"/>
      <c r="AF50" s="517"/>
      <c r="AG50" s="521" t="str">
        <f>AH49&amp;"-"&amp;AJ49</f>
        <v>-</v>
      </c>
      <c r="AH50" s="522"/>
      <c r="AI50" s="224"/>
      <c r="AJ50" s="581"/>
      <c r="AK50" s="224"/>
      <c r="AL50" s="582"/>
      <c r="AM50" s="523"/>
      <c r="AO50" s="129"/>
      <c r="AP50" s="129" t="str">
        <f t="shared" si="15"/>
        <v/>
      </c>
      <c r="AQ50" s="129"/>
      <c r="AR50" s="129"/>
      <c r="AS50" s="50">
        <v>1</v>
      </c>
    </row>
    <row r="51" ht="11.5" customHeight="1">
      <c r="A51" s="488" t="s">
        <v>180</v>
      </c>
      <c r="B51" s="488" t="s">
        <v>181</v>
      </c>
      <c r="C51" s="488" t="s">
        <v>182</v>
      </c>
      <c r="D51" s="488" t="s">
        <v>183</v>
      </c>
      <c r="E51" s="500"/>
      <c r="F51" s="500"/>
      <c r="G51" s="500"/>
      <c r="H51" s="500"/>
      <c r="I51" s="512"/>
      <c r="J51" s="507"/>
      <c r="K51" s="488"/>
      <c r="L51" s="490"/>
      <c r="P51" s="132"/>
      <c r="Q51" s="132"/>
      <c r="R51" s="508"/>
      <c r="S51" s="524"/>
      <c r="T51" s="528" t="s">
        <v>416</v>
      </c>
      <c r="U51" s="214"/>
      <c r="V51" s="214"/>
      <c r="W51" s="214"/>
      <c r="X51" s="214"/>
      <c r="Y51" s="214"/>
      <c r="Z51" s="214"/>
      <c r="AA51" s="214"/>
      <c r="AB51" s="214"/>
      <c r="AC51" s="214"/>
      <c r="AD51" s="214"/>
      <c r="AE51" s="214"/>
      <c r="AF51" s="214"/>
      <c r="AG51" s="214"/>
      <c r="AH51" s="214"/>
      <c r="AI51" s="214"/>
      <c r="AJ51" s="214"/>
      <c r="AK51" s="214"/>
      <c r="AL51" s="526"/>
      <c r="AM51" s="527"/>
      <c r="AO51" s="129"/>
      <c r="AP51" s="129" t="str">
        <f t="shared" si="15"/>
        <v xml:space="preserve">Добавить вид теплоносителя (параметры теплоносителя)</v>
      </c>
      <c r="AQ51" s="129"/>
      <c r="AR51" s="129"/>
      <c r="AS51" s="50">
        <v>11</v>
      </c>
    </row>
    <row r="52" ht="11.5" customHeight="1">
      <c r="A52" s="488" t="s">
        <v>180</v>
      </c>
      <c r="B52" s="488" t="s">
        <v>181</v>
      </c>
      <c r="C52" s="488" t="s">
        <v>182</v>
      </c>
      <c r="D52" s="488" t="s">
        <v>183</v>
      </c>
      <c r="E52" s="500"/>
      <c r="F52" s="500"/>
      <c r="G52" s="500"/>
      <c r="H52" s="500"/>
      <c r="I52" s="507"/>
      <c r="J52" s="488"/>
      <c r="K52" s="488"/>
      <c r="L52" s="490"/>
      <c r="P52" s="132"/>
      <c r="Q52" s="132"/>
      <c r="R52" s="508"/>
      <c r="S52" s="524"/>
      <c r="T52" s="532" t="s">
        <v>417</v>
      </c>
      <c r="U52" s="214"/>
      <c r="V52" s="214"/>
      <c r="W52" s="214"/>
      <c r="X52" s="214"/>
      <c r="Y52" s="214"/>
      <c r="Z52" s="214"/>
      <c r="AA52" s="214"/>
      <c r="AB52" s="214"/>
      <c r="AC52" s="529"/>
      <c r="AD52" s="214"/>
      <c r="AE52" s="214"/>
      <c r="AF52" s="214"/>
      <c r="AG52" s="214"/>
      <c r="AH52" s="214"/>
      <c r="AI52" s="214"/>
      <c r="AJ52" s="214"/>
      <c r="AK52" s="529"/>
      <c r="AL52" s="214"/>
      <c r="AM52" s="530"/>
      <c r="AO52" s="129"/>
      <c r="AP52" s="129" t="str">
        <f t="shared" si="15"/>
        <v xml:space="preserve">Добавить группу потребителей</v>
      </c>
      <c r="AQ52" s="129"/>
      <c r="AR52" s="129"/>
      <c r="AS52" s="50">
        <v>11</v>
      </c>
    </row>
    <row r="53" ht="0" customHeight="1">
      <c r="A53" s="488" t="s">
        <v>180</v>
      </c>
      <c r="B53" s="488" t="s">
        <v>181</v>
      </c>
      <c r="C53" s="488" t="s">
        <v>182</v>
      </c>
      <c r="D53" s="488" t="s">
        <v>183</v>
      </c>
      <c r="E53" s="500"/>
      <c r="F53" s="500"/>
      <c r="G53" s="500"/>
      <c r="H53" s="489"/>
      <c r="I53" s="488"/>
      <c r="J53" s="488"/>
      <c r="K53" s="488"/>
      <c r="L53" s="490"/>
      <c r="M53" s="491"/>
      <c r="N53" s="491"/>
      <c r="O53" s="53"/>
      <c r="P53" s="143"/>
      <c r="Q53" s="531"/>
      <c r="R53" s="492"/>
      <c r="S53" s="601"/>
      <c r="T53" s="602"/>
      <c r="U53" s="603"/>
      <c r="V53" s="603"/>
      <c r="W53" s="603"/>
      <c r="X53" s="603"/>
      <c r="Y53" s="603"/>
      <c r="Z53" s="603"/>
      <c r="AA53" s="603"/>
      <c r="AB53" s="603"/>
      <c r="AC53" s="603"/>
      <c r="AD53" s="603"/>
      <c r="AE53" s="603"/>
      <c r="AF53" s="603"/>
      <c r="AG53" s="603"/>
      <c r="AH53" s="603"/>
      <c r="AI53" s="603"/>
      <c r="AJ53" s="603"/>
      <c r="AK53" s="603"/>
      <c r="AL53" s="603"/>
      <c r="AM53" s="604"/>
      <c r="AO53" s="129"/>
      <c r="AP53" s="129" t="str">
        <f t="shared" si="15"/>
        <v/>
      </c>
      <c r="AQ53" s="129"/>
      <c r="AR53" s="129"/>
      <c r="AS53" s="50">
        <v>0</v>
      </c>
    </row>
    <row r="54" s="57" customFormat="1" ht="1.05" customHeight="1">
      <c r="A54" s="133" t="s">
        <v>180</v>
      </c>
      <c r="B54" s="133" t="s">
        <v>181</v>
      </c>
      <c r="C54" s="133" t="s">
        <v>182</v>
      </c>
      <c r="D54" s="133"/>
      <c r="E54" s="500"/>
      <c r="F54" s="500"/>
      <c r="G54" s="489"/>
      <c r="H54" s="133"/>
      <c r="I54" s="133"/>
      <c r="J54" s="133"/>
      <c r="K54" s="133"/>
      <c r="L54" s="212"/>
      <c r="M54" s="473"/>
      <c r="N54" s="473"/>
      <c r="P54" s="167"/>
      <c r="Q54" s="533"/>
      <c r="R54" s="167"/>
      <c r="S54" s="538"/>
      <c r="T54" s="541" t="s">
        <v>211</v>
      </c>
      <c r="U54" s="540"/>
      <c r="V54" s="540"/>
      <c r="W54" s="540"/>
      <c r="X54" s="540"/>
      <c r="Y54" s="540"/>
      <c r="Z54" s="540"/>
      <c r="AA54" s="540"/>
      <c r="AB54" s="540"/>
      <c r="AC54" s="540"/>
      <c r="AD54" s="540"/>
      <c r="AE54" s="540"/>
      <c r="AF54" s="540"/>
      <c r="AG54" s="540"/>
      <c r="AH54" s="540"/>
      <c r="AI54" s="540"/>
      <c r="AJ54" s="540"/>
      <c r="AK54" s="540"/>
      <c r="AL54" s="540"/>
      <c r="AM54" s="540"/>
      <c r="AO54" s="129"/>
      <c r="AP54" s="129" t="str">
        <f t="shared" si="15"/>
        <v xml:space="preserve">Добавить источник для дифференциации</v>
      </c>
      <c r="AQ54" s="129"/>
      <c r="AR54" s="129"/>
      <c r="AS54" s="57">
        <v>1</v>
      </c>
    </row>
    <row r="55" s="57" customFormat="1" ht="1.05" customHeight="1">
      <c r="A55" s="133" t="s">
        <v>180</v>
      </c>
      <c r="B55" s="133" t="s">
        <v>181</v>
      </c>
      <c r="C55" s="133"/>
      <c r="D55" s="133"/>
      <c r="E55" s="500"/>
      <c r="F55" s="489"/>
      <c r="G55" s="133"/>
      <c r="H55" s="133"/>
      <c r="I55" s="133"/>
      <c r="J55" s="133"/>
      <c r="K55" s="133"/>
      <c r="L55" s="212"/>
      <c r="M55" s="537"/>
      <c r="N55" s="537"/>
      <c r="P55" s="167"/>
      <c r="Q55" s="533"/>
      <c r="R55" s="167"/>
      <c r="S55" s="538"/>
      <c r="T55" s="541" t="s">
        <v>212</v>
      </c>
      <c r="U55" s="540"/>
      <c r="V55" s="540"/>
      <c r="W55" s="540"/>
      <c r="X55" s="540"/>
      <c r="Y55" s="540"/>
      <c r="Z55" s="540"/>
      <c r="AA55" s="540"/>
      <c r="AB55" s="540"/>
      <c r="AC55" s="540"/>
      <c r="AD55" s="540"/>
      <c r="AE55" s="540"/>
      <c r="AF55" s="540"/>
      <c r="AG55" s="540"/>
      <c r="AH55" s="540"/>
      <c r="AI55" s="540"/>
      <c r="AJ55" s="540"/>
      <c r="AK55" s="540"/>
      <c r="AL55" s="540"/>
      <c r="AM55" s="540"/>
      <c r="AO55" s="129"/>
      <c r="AP55" s="129" t="str">
        <f t="shared" si="15"/>
        <v xml:space="preserve">Добавить централизованную систему для дифференциации</v>
      </c>
      <c r="AQ55" s="129"/>
      <c r="AR55" s="129"/>
      <c r="AS55" s="57">
        <v>1</v>
      </c>
    </row>
    <row r="56" s="57" customFormat="1" ht="1.05" customHeight="1">
      <c r="A56" s="133" t="s">
        <v>180</v>
      </c>
      <c r="B56" s="133"/>
      <c r="C56" s="133"/>
      <c r="D56" s="133"/>
      <c r="E56" s="489"/>
      <c r="F56" s="133"/>
      <c r="G56" s="133"/>
      <c r="H56" s="133"/>
      <c r="I56" s="133"/>
      <c r="J56" s="133"/>
      <c r="K56" s="133"/>
      <c r="L56" s="212"/>
      <c r="M56" s="537"/>
      <c r="N56" s="537"/>
      <c r="O56" s="57"/>
      <c r="P56" s="167"/>
      <c r="Q56" s="533"/>
      <c r="R56" s="167"/>
      <c r="S56" s="538"/>
      <c r="T56" s="541" t="s">
        <v>213</v>
      </c>
      <c r="U56" s="540"/>
      <c r="V56" s="540"/>
      <c r="W56" s="540"/>
      <c r="X56" s="540"/>
      <c r="Y56" s="540"/>
      <c r="Z56" s="540"/>
      <c r="AA56" s="540"/>
      <c r="AB56" s="540"/>
      <c r="AC56" s="540"/>
      <c r="AD56" s="540"/>
      <c r="AE56" s="540"/>
      <c r="AF56" s="540"/>
      <c r="AG56" s="540"/>
      <c r="AH56" s="540"/>
      <c r="AI56" s="540"/>
      <c r="AJ56" s="540"/>
      <c r="AK56" s="540"/>
      <c r="AL56" s="540"/>
      <c r="AM56" s="540"/>
      <c r="AO56" s="129"/>
      <c r="AP56" s="129" t="str">
        <f t="shared" si="15"/>
        <v xml:space="preserve">Добавить территорию для дифференциации</v>
      </c>
      <c r="AQ56" s="129"/>
      <c r="AR56" s="129"/>
      <c r="AS56" s="57">
        <v>1</v>
      </c>
    </row>
    <row r="57" s="57" customFormat="1" ht="1.05" customHeight="1">
      <c r="A57" s="133"/>
      <c r="B57" s="133"/>
      <c r="C57" s="133"/>
      <c r="D57" s="133"/>
      <c r="E57" s="133"/>
      <c r="F57" s="133"/>
      <c r="G57" s="133"/>
      <c r="H57" s="133"/>
      <c r="I57" s="133"/>
      <c r="J57" s="133"/>
      <c r="K57" s="133"/>
      <c r="L57" s="212"/>
      <c r="M57" s="537"/>
      <c r="N57" s="537"/>
      <c r="P57" s="167"/>
      <c r="Q57" s="533"/>
      <c r="R57" s="167"/>
      <c r="S57" s="538"/>
      <c r="T57" s="541" t="s">
        <v>214</v>
      </c>
      <c r="U57" s="540"/>
      <c r="V57" s="540"/>
      <c r="W57" s="540"/>
      <c r="X57" s="540"/>
      <c r="Y57" s="540"/>
      <c r="Z57" s="540"/>
      <c r="AA57" s="540"/>
      <c r="AB57" s="540"/>
      <c r="AC57" s="540"/>
      <c r="AD57" s="540"/>
      <c r="AE57" s="540"/>
      <c r="AF57" s="540"/>
      <c r="AG57" s="540"/>
      <c r="AH57" s="540"/>
      <c r="AI57" s="540"/>
      <c r="AJ57" s="540"/>
      <c r="AK57" s="540"/>
      <c r="AL57" s="540"/>
      <c r="AM57" s="540"/>
      <c r="AO57" s="129"/>
      <c r="AP57" s="129" t="str">
        <f t="shared" si="15"/>
        <v xml:space="preserve">Добавить наименование тарифа</v>
      </c>
      <c r="AQ57" s="129"/>
      <c r="AR57" s="129"/>
      <c r="AS57" s="57">
        <v>1</v>
      </c>
    </row>
    <row r="58" ht="11.5" customHeight="1">
      <c r="M58" s="53"/>
      <c r="N58" s="53"/>
      <c r="O58" s="53"/>
      <c r="P58" s="50"/>
      <c r="Q58" s="50"/>
      <c r="R58" s="50"/>
      <c r="S58" s="50"/>
      <c r="AN58" s="50"/>
      <c r="AO58" s="50"/>
      <c r="AP58" s="50"/>
      <c r="AQ58" s="50"/>
      <c r="AR58" s="50"/>
      <c r="AS58" s="50">
        <v>11</v>
      </c>
    </row>
    <row r="59" ht="23.25" customHeight="1">
      <c r="O59" s="53"/>
      <c r="S59" s="485"/>
      <c r="T59" s="583"/>
      <c r="U59" s="583"/>
      <c r="V59" s="583"/>
      <c r="W59" s="583"/>
      <c r="X59" s="583"/>
      <c r="Y59" s="583"/>
      <c r="Z59" s="583"/>
      <c r="AA59" s="583"/>
      <c r="AB59" s="583"/>
      <c r="AC59" s="583"/>
      <c r="AD59" s="583"/>
      <c r="AE59" s="583"/>
      <c r="AF59" s="583"/>
      <c r="AG59" s="583"/>
      <c r="AH59" s="583"/>
      <c r="AI59" s="583"/>
      <c r="AJ59" s="583"/>
      <c r="AK59" s="583"/>
      <c r="AL59" s="583"/>
      <c r="AM59" s="583"/>
      <c r="AS59" s="50">
        <v>22</v>
      </c>
    </row>
    <row r="60" ht="30.449999999999999" customHeight="1">
      <c r="O60" s="53"/>
      <c r="T60" s="583"/>
      <c r="U60" s="583"/>
      <c r="V60" s="583"/>
      <c r="W60" s="583"/>
      <c r="X60" s="583"/>
      <c r="Y60" s="583"/>
      <c r="Z60" s="583"/>
      <c r="AA60" s="583"/>
      <c r="AB60" s="583"/>
      <c r="AC60" s="583"/>
      <c r="AD60" s="583"/>
      <c r="AE60" s="583"/>
      <c r="AF60" s="583"/>
      <c r="AG60" s="583"/>
      <c r="AH60" s="583"/>
      <c r="AI60" s="583"/>
      <c r="AJ60" s="583"/>
      <c r="AK60" s="583"/>
      <c r="AL60" s="583"/>
      <c r="AM60" s="583"/>
      <c r="AS60" s="50">
        <v>29</v>
      </c>
    </row>
    <row r="61" ht="42" customHeight="1">
      <c r="O61" s="53"/>
      <c r="T61" s="583"/>
      <c r="U61" s="583"/>
      <c r="V61" s="583"/>
      <c r="W61" s="583"/>
      <c r="X61" s="583"/>
      <c r="Y61" s="583"/>
      <c r="Z61" s="583"/>
      <c r="AA61" s="583"/>
      <c r="AB61" s="583"/>
      <c r="AC61" s="583"/>
      <c r="AD61" s="583"/>
      <c r="AE61" s="583"/>
      <c r="AF61" s="583"/>
      <c r="AG61" s="583"/>
      <c r="AH61" s="583"/>
      <c r="AI61" s="583"/>
      <c r="AJ61" s="583"/>
      <c r="AK61" s="583"/>
      <c r="AL61" s="583"/>
      <c r="AM61" s="583"/>
      <c r="AS61" s="50">
        <v>40</v>
      </c>
    </row>
    <row r="62" ht="14.65" customHeight="1">
      <c r="O62" s="53"/>
      <c r="AS62" s="50">
        <v>14</v>
      </c>
    </row>
    <row r="63" ht="21" customHeight="1">
      <c r="O63" s="53"/>
      <c r="S63" s="485"/>
      <c r="T63" s="303"/>
      <c r="U63" s="583"/>
      <c r="V63" s="583"/>
      <c r="W63" s="583"/>
      <c r="X63" s="583"/>
      <c r="Y63" s="583"/>
      <c r="Z63" s="583"/>
      <c r="AA63" s="583"/>
      <c r="AB63" s="583"/>
      <c r="AC63" s="583"/>
      <c r="AD63" s="583"/>
      <c r="AE63" s="583"/>
      <c r="AF63" s="583"/>
      <c r="AG63" s="583"/>
      <c r="AH63" s="583"/>
      <c r="AI63" s="583"/>
      <c r="AJ63" s="583"/>
      <c r="AK63" s="583"/>
      <c r="AL63" s="583"/>
      <c r="AM63" s="583"/>
      <c r="AS63" s="50">
        <v>20</v>
      </c>
    </row>
    <row r="64" ht="29.25" customHeight="1">
      <c r="O64" s="53"/>
      <c r="T64" s="583"/>
      <c r="U64" s="583"/>
      <c r="V64" s="583"/>
      <c r="W64" s="583"/>
      <c r="X64" s="583"/>
      <c r="Y64" s="583"/>
      <c r="Z64" s="583"/>
      <c r="AA64" s="583"/>
      <c r="AB64" s="583"/>
      <c r="AC64" s="583"/>
      <c r="AD64" s="583"/>
      <c r="AE64" s="583"/>
      <c r="AF64" s="583"/>
      <c r="AG64" s="583"/>
      <c r="AH64" s="583"/>
      <c r="AI64" s="583"/>
      <c r="AJ64" s="583"/>
      <c r="AK64" s="583"/>
      <c r="AL64" s="583"/>
      <c r="AM64" s="583"/>
      <c r="AS64" s="50">
        <v>28</v>
      </c>
    </row>
    <row r="65" ht="35.649999999999999" customHeight="1">
      <c r="T65" s="583"/>
      <c r="U65" s="583"/>
      <c r="V65" s="583"/>
      <c r="W65" s="583"/>
      <c r="X65" s="583"/>
      <c r="Y65" s="583"/>
      <c r="Z65" s="583"/>
      <c r="AA65" s="583"/>
      <c r="AB65" s="583"/>
      <c r="AC65" s="583"/>
      <c r="AD65" s="583"/>
      <c r="AE65" s="583"/>
      <c r="AF65" s="583"/>
      <c r="AG65" s="583"/>
      <c r="AH65" s="583"/>
      <c r="AI65" s="583"/>
      <c r="AJ65" s="583"/>
      <c r="AK65" s="583"/>
      <c r="AL65" s="583"/>
      <c r="AM65" s="583"/>
      <c r="AS65" s="50">
        <v>34</v>
      </c>
    </row>
    <row r="66" ht="22.5" hidden="1" customHeight="1">
      <c r="A66" s="53" t="s">
        <v>83</v>
      </c>
      <c r="B66" s="53">
        <v>0</v>
      </c>
      <c r="C66" s="53">
        <v>0</v>
      </c>
      <c r="D66" s="53">
        <v>0</v>
      </c>
      <c r="E66" s="53">
        <v>0</v>
      </c>
      <c r="F66" s="53">
        <v>0</v>
      </c>
      <c r="G66" s="53">
        <v>0</v>
      </c>
      <c r="H66" s="53">
        <v>0</v>
      </c>
      <c r="I66" s="53">
        <v>0</v>
      </c>
      <c r="J66" s="53">
        <v>0</v>
      </c>
      <c r="K66" s="53">
        <v>0</v>
      </c>
      <c r="L66" s="113">
        <v>0</v>
      </c>
      <c r="M66" s="61">
        <v>0</v>
      </c>
      <c r="N66" s="61">
        <v>0</v>
      </c>
      <c r="O66" s="61">
        <v>0</v>
      </c>
      <c r="P66" s="60">
        <v>0</v>
      </c>
      <c r="Q66" s="487">
        <v>3</v>
      </c>
      <c r="R66" s="487">
        <v>3</v>
      </c>
      <c r="S66" s="86">
        <v>12</v>
      </c>
      <c r="T66" s="50">
        <v>31</v>
      </c>
      <c r="U66" s="50">
        <v>0</v>
      </c>
      <c r="V66" s="50">
        <v>0</v>
      </c>
      <c r="W66" s="50">
        <v>0</v>
      </c>
      <c r="X66" s="50">
        <v>0</v>
      </c>
      <c r="Y66" s="50">
        <v>0</v>
      </c>
      <c r="Z66" s="50">
        <v>0</v>
      </c>
      <c r="AA66" s="50">
        <v>0</v>
      </c>
      <c r="AB66" s="50">
        <v>0</v>
      </c>
      <c r="AC66" s="50">
        <v>0</v>
      </c>
      <c r="AD66" s="50">
        <v>24</v>
      </c>
      <c r="AE66" s="50">
        <v>0</v>
      </c>
      <c r="AF66" s="50">
        <v>24</v>
      </c>
      <c r="AG66" s="50">
        <v>24</v>
      </c>
      <c r="AH66" s="50">
        <v>11</v>
      </c>
      <c r="AI66" s="50">
        <v>3</v>
      </c>
      <c r="AJ66" s="50">
        <v>11</v>
      </c>
      <c r="AK66" s="50">
        <v>0</v>
      </c>
      <c r="AL66" s="50">
        <v>4</v>
      </c>
      <c r="AM66" s="50">
        <v>115</v>
      </c>
      <c r="AN66" s="57">
        <v>10</v>
      </c>
      <c r="AO66" s="57">
        <v>10</v>
      </c>
      <c r="AP66" s="57">
        <v>10</v>
      </c>
      <c r="AQ66" s="57">
        <v>10</v>
      </c>
      <c r="AR66" s="57">
        <v>10</v>
      </c>
      <c r="AS66" s="50">
        <v>23</v>
      </c>
    </row>
  </sheetData>
  <sheetProtection autoFilter="0" deleteColumns="1" deleteRows="1" formatCells="1" formatColumns="0" formatRows="0" insertColumns="1" insertHyperlinks="1" insertRows="1" objects="0" pivotTables="1" scenarios="0" selectLockedCells="0" selectUnlockedCells="0" sheet="1" sort="1"/>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K8:K9"/>
    <mergeCell ref="Z8:Z9"/>
    <mergeCell ref="AA8:AA9"/>
    <mergeCell ref="AB8:AB9"/>
    <mergeCell ref="AC8:AC9"/>
    <mergeCell ref="AH8:AH9"/>
    <mergeCell ref="AI8:AI9"/>
    <mergeCell ref="AJ8:AJ9"/>
    <mergeCell ref="AK8:AK9"/>
    <mergeCell ref="AM8:AM10"/>
    <mergeCell ref="AH17:AH18"/>
    <mergeCell ref="AI17:AI18"/>
    <mergeCell ref="AJ17:AJ18"/>
    <mergeCell ref="AK17:AK18"/>
    <mergeCell ref="S26:AJ26"/>
    <mergeCell ref="S27:AJ27"/>
    <mergeCell ref="S29:T29"/>
    <mergeCell ref="V29:AB29"/>
    <mergeCell ref="AD29:AJ29"/>
    <mergeCell ref="S30:T30"/>
    <mergeCell ref="V30:AB30"/>
    <mergeCell ref="AD30:AJ30"/>
    <mergeCell ref="S31:T31"/>
    <mergeCell ref="V31:AB31"/>
    <mergeCell ref="AD31:AJ31"/>
    <mergeCell ref="S32:T32"/>
    <mergeCell ref="V32:AB32"/>
    <mergeCell ref="AD32:AJ32"/>
    <mergeCell ref="S34:T34"/>
    <mergeCell ref="V34:AB34"/>
    <mergeCell ref="AD34:AJ34"/>
    <mergeCell ref="S35:T35"/>
    <mergeCell ref="V35:AB35"/>
    <mergeCell ref="AD35:AJ35"/>
    <mergeCell ref="V37:AC37"/>
    <mergeCell ref="AD37:AK37"/>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AH40:AJ40"/>
    <mergeCell ref="AA41:AB41"/>
    <mergeCell ref="AI41:AJ41"/>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AM49:AM51"/>
    <mergeCell ref="T59:AM59"/>
    <mergeCell ref="T60:AM60"/>
    <mergeCell ref="T61:AM61"/>
    <mergeCell ref="T63:AM63"/>
    <mergeCell ref="T64:AM64"/>
    <mergeCell ref="T65:AM65"/>
  </mergeCells>
  <dataValidations count="4" disablePrompts="0">
    <dataValidation sqref="S131123:AM131129 S196659:AM196665 S262195:AM262201 S327731:AM327737 S393267:AM393273 S458803:AM458809 S524339:AM524345 S589875:AM589881 S655411:AM655417 S720947:AM720953 S786483:AM786489 S852019:AM852025 S917555:AM917561 S983091:AM983097 S65587:AM65593" type="none" allowBlank="1" errorStyle="stop" imeMode="noControl" operator="between" showDropDown="0" showErrorMessage="0" showInputMessage="0"/>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type="none" allowBlank="1" errorStyle="stop" imeMode="noControl" operator="between" promptTitle="checkPeriodRange"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1800B0-00F2-48DD-83A7-0056006F00B8}"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 xr:uid="{002A000A-00DC-4ECC-AD04-001E003A0077}" type="list" allowBlank="1" error="Выберите значение из списка" errorStyle="stop" errorTitle="Ошибка" imeMode="noControl" operator="between" showDropDown="0"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 xr:uid="{002F0095-0012-4D78-908C-002600DC0069}" type="textLength" allowBlank="1" error="Допускается ввод не более 900 символов!" errorStyle="stop" errorTitle="Ошибка" imeMode="noControl" operator="lessThanOrEqual" showDropDown="0"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 xr:uid="{009E00A8-0035-48E6-9F7F-00CE00D0002C}" type="list" allowBlank="1" error="Выберите значение из списка" errorStyle="stop" errorTitle="Ошибка" imeMode="noControl" operator="between" showDropDown="0" showErrorMessage="1" showInputMessage="1">
          <x14:formula1>
            <xm:f>kind_of_heat_transfer</xm:f>
          </x14:formula1>
          <xm:sqref>T65585 T131121 T196657 T262193 T327729 T393265 T458801 T524337 T589873 T655409 T720945 T786481 T852017 T917553 T983089</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zoomScale="90" workbookViewId="0">
      <pane xSplit="29" ySplit="42" topLeftCell="AD43" activePane="bottomRight" state="frozen"/>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2.00390625"/>
    <col customWidth="1" hidden="1" min="10" max="10" style="53" width="9.8515625"/>
    <col customWidth="1" hidden="1" min="11" max="11" style="53" width="11.421875"/>
    <col customWidth="1" hidden="1" min="12" max="12" style="113" width="19.140625"/>
    <col customWidth="1" hidden="1" min="13" max="14" style="61" width="12.28125"/>
    <col customWidth="1" hidden="1" min="15" max="15" style="61" width="23.421875"/>
    <col customWidth="1" hidden="1" min="16" max="16" style="60" width="3.7109375"/>
    <col customWidth="1" min="17" max="18" style="487" width="3.00390625"/>
    <col customWidth="1" min="19" max="19" style="86" width="12.00390625"/>
    <col customWidth="1" min="20" max="20" style="50" width="31.00390625"/>
    <col customWidth="1" min="21" max="21" style="50" width="0.140625"/>
    <col customWidth="1" hidden="1" min="22" max="22" style="50" width="24.7109375"/>
    <col customWidth="1" hidden="1" min="23" max="23" style="50" width="0.140625"/>
    <col customWidth="1" hidden="1" min="24" max="25" style="50" width="24.7109375"/>
    <col customWidth="1" hidden="1" min="26" max="26" style="50" width="11.7109375"/>
    <col customWidth="1" hidden="1" min="27" max="27" style="50" width="3.7109375"/>
    <col customWidth="1" hidden="1" min="28" max="28" style="50" width="11.7109375"/>
    <col customWidth="1" hidden="1" min="29" max="29" style="50" width="8.57421875"/>
    <col customWidth="1" min="30" max="30" style="50" width="24.7109375"/>
    <col customWidth="1" min="31" max="31" style="50" width="0.140625"/>
    <col customWidth="1" min="32" max="33" style="50" width="24.00390625"/>
    <col customWidth="1" min="34" max="34" style="50" width="11.00390625"/>
    <col customWidth="1" min="35" max="35" style="50" width="3.7109375"/>
    <col customWidth="1" min="36" max="36" style="50" width="11.00390625"/>
    <col customWidth="1" hidden="1" min="37" max="37" style="50" width="8.57421875"/>
    <col customWidth="1" min="38" max="38" style="50" width="4.00390625"/>
    <col customWidth="1" min="39" max="39" style="50" width="115.00390625"/>
    <col customWidth="1" min="40" max="44" style="57" width="10.00390625"/>
    <col hidden="1" min="45" max="45" style="50" width="10.57421875"/>
  </cols>
  <sheetData>
    <row r="1" ht="22.5" hidden="1" customHeight="1">
      <c r="Y1" s="50"/>
      <c r="Z1" s="50"/>
      <c r="AG1" s="50"/>
      <c r="AH1" s="50"/>
      <c r="AS1" s="50" t="s">
        <v>14</v>
      </c>
    </row>
    <row r="2" ht="21" hidden="1" customHeight="1">
      <c r="A2" s="488"/>
      <c r="B2" s="488"/>
      <c r="C2" s="488"/>
      <c r="D2" s="488"/>
      <c r="E2" s="489">
        <v>1</v>
      </c>
      <c r="F2" s="488"/>
      <c r="G2" s="488"/>
      <c r="H2" s="488"/>
      <c r="I2" s="488"/>
      <c r="J2" s="488"/>
      <c r="K2" s="488"/>
      <c r="L2" s="490"/>
      <c r="M2" s="491"/>
      <c r="N2" s="491"/>
      <c r="O2" s="491"/>
      <c r="P2" s="60"/>
      <c r="Q2" s="143"/>
      <c r="R2" s="492"/>
      <c r="S2" s="493" t="e">
        <f>INDEX(PT_DIFFERENTIATION_NUM_NTAR,MATCH(A2,PT_DIFFERENTIATION_NTAR_ID,0))</f>
        <v>#VALUE!</v>
      </c>
      <c r="T2" s="494" t="s">
        <v>123</v>
      </c>
      <c r="U2" s="495"/>
      <c r="V2" s="496"/>
      <c r="W2" s="497"/>
      <c r="X2" s="497"/>
      <c r="Y2" s="497"/>
      <c r="Z2" s="497"/>
      <c r="AA2" s="497"/>
      <c r="AB2" s="497"/>
      <c r="AC2" s="498"/>
      <c r="AD2" s="496" t="e">
        <f>INDEX(PT_DIFFERENTIATION_NTAR,MATCH(A2,PT_DIFFERENTIATION_NTAR_ID,0))</f>
        <v>#VALUE!</v>
      </c>
      <c r="AE2" s="497"/>
      <c r="AF2" s="497"/>
      <c r="AG2" s="497"/>
      <c r="AH2" s="497"/>
      <c r="AI2" s="497"/>
      <c r="AJ2" s="497"/>
      <c r="AK2" s="497"/>
      <c r="AL2" s="498"/>
      <c r="AM2" s="499" t="s">
        <v>401</v>
      </c>
      <c r="AO2" s="129"/>
      <c r="AP2" s="129" t="str">
        <f t="shared" ref="AP2:AP9" si="16">IF(T2="","",T2)</f>
        <v xml:space="preserve">Наименование тарифа</v>
      </c>
      <c r="AQ2" s="129"/>
      <c r="AR2" s="129"/>
      <c r="AS2" s="50">
        <v>0</v>
      </c>
    </row>
    <row r="3" ht="21" hidden="1" customHeight="1">
      <c r="A3" s="488"/>
      <c r="B3" s="488"/>
      <c r="C3" s="488"/>
      <c r="D3" s="488"/>
      <c r="E3" s="500"/>
      <c r="F3" s="489">
        <v>1</v>
      </c>
      <c r="G3" s="488"/>
      <c r="H3" s="488"/>
      <c r="I3" s="488"/>
      <c r="J3" s="488"/>
      <c r="K3" s="488"/>
      <c r="L3" s="490"/>
      <c r="M3" s="491"/>
      <c r="N3" s="491"/>
      <c r="O3" s="491"/>
      <c r="P3" s="51"/>
      <c r="Q3" s="501"/>
      <c r="R3" s="502"/>
      <c r="S3" s="493" t="e">
        <f>INDEX(PT_DIFFERENTIATION_NUM_TER,MATCH(B3,PT_DIFFERENTIATION_TER_ID,0))</f>
        <v>#VALUE!</v>
      </c>
      <c r="T3" s="503" t="s">
        <v>402</v>
      </c>
      <c r="U3" s="495"/>
      <c r="V3" s="496"/>
      <c r="W3" s="497"/>
      <c r="X3" s="497"/>
      <c r="Y3" s="497"/>
      <c r="Z3" s="497"/>
      <c r="AA3" s="497"/>
      <c r="AB3" s="497"/>
      <c r="AC3" s="498"/>
      <c r="AD3" s="496" t="e">
        <f>INDEX(PT_DIFFERENTIATION_TER,MATCH(B3,PT_DIFFERENTIATION_TER_ID,0))</f>
        <v>#VALUE!</v>
      </c>
      <c r="AE3" s="497"/>
      <c r="AF3" s="497"/>
      <c r="AG3" s="497"/>
      <c r="AH3" s="497"/>
      <c r="AI3" s="497"/>
      <c r="AJ3" s="497"/>
      <c r="AK3" s="497"/>
      <c r="AL3" s="498"/>
      <c r="AM3" s="499" t="s">
        <v>403</v>
      </c>
      <c r="AO3" s="129"/>
      <c r="AP3" s="129" t="str">
        <f t="shared" si="16"/>
        <v xml:space="preserve">Территория действия тарифа</v>
      </c>
      <c r="AQ3" s="129"/>
      <c r="AR3" s="129"/>
      <c r="AS3" s="50">
        <v>0</v>
      </c>
    </row>
    <row r="4" ht="23.25" hidden="1" customHeight="1">
      <c r="A4" s="488"/>
      <c r="B4" s="488"/>
      <c r="C4" s="488"/>
      <c r="D4" s="488"/>
      <c r="E4" s="500"/>
      <c r="F4" s="500"/>
      <c r="G4" s="489">
        <v>1</v>
      </c>
      <c r="H4" s="488"/>
      <c r="I4" s="488"/>
      <c r="J4" s="488"/>
      <c r="K4" s="488"/>
      <c r="L4" s="490"/>
      <c r="M4" s="491"/>
      <c r="N4" s="491"/>
      <c r="O4" s="491"/>
      <c r="P4" s="504"/>
      <c r="Q4" s="501"/>
      <c r="R4" s="502"/>
      <c r="S4" s="493" t="e">
        <f>INDEX(PT_DIFFERENTIATION_NUM_CS,MATCH(C4,PT_DIFFERENTIATION_CS_ID,0))</f>
        <v>#VALUE!</v>
      </c>
      <c r="T4" s="505" t="s">
        <v>404</v>
      </c>
      <c r="U4" s="495"/>
      <c r="V4" s="496"/>
      <c r="W4" s="497"/>
      <c r="X4" s="497"/>
      <c r="Y4" s="497"/>
      <c r="Z4" s="497"/>
      <c r="AA4" s="497"/>
      <c r="AB4" s="497"/>
      <c r="AC4" s="498"/>
      <c r="AD4" s="496" t="e">
        <f>INDEX(PT_DIFFERENTIATION_CS,MATCH(C4,PT_DIFFERENTIATION_CS_ID,0))</f>
        <v>#VALUE!</v>
      </c>
      <c r="AE4" s="497"/>
      <c r="AF4" s="497"/>
      <c r="AG4" s="497"/>
      <c r="AH4" s="497"/>
      <c r="AI4" s="497"/>
      <c r="AJ4" s="497"/>
      <c r="AK4" s="497"/>
      <c r="AL4" s="498"/>
      <c r="AM4" s="499" t="s">
        <v>405</v>
      </c>
      <c r="AO4" s="129"/>
      <c r="AP4" s="129" t="str">
        <f t="shared" si="16"/>
        <v xml:space="preserve">Наименование системы теплоснабжения </v>
      </c>
      <c r="AQ4" s="129"/>
      <c r="AR4" s="129"/>
      <c r="AS4" s="50">
        <v>0</v>
      </c>
    </row>
    <row r="5" ht="21" hidden="1" customHeight="1">
      <c r="A5" s="488"/>
      <c r="B5" s="488"/>
      <c r="C5" s="488"/>
      <c r="D5" s="488"/>
      <c r="E5" s="500"/>
      <c r="F5" s="500"/>
      <c r="G5" s="500"/>
      <c r="H5" s="489">
        <v>1</v>
      </c>
      <c r="I5" s="488"/>
      <c r="J5" s="488"/>
      <c r="K5" s="488"/>
      <c r="L5" s="490"/>
      <c r="M5" s="491"/>
      <c r="N5" s="491"/>
      <c r="O5" s="491"/>
      <c r="P5" s="504"/>
      <c r="Q5" s="501"/>
      <c r="R5" s="502"/>
      <c r="S5" s="493" t="e">
        <f>INDEX(PT_DIFFERENTIATION_NUM_IST_TE,MATCH(D5,PT_DIFFERENTIATION_IST_TE_ID,0))</f>
        <v>#VALUE!</v>
      </c>
      <c r="T5" s="506" t="s">
        <v>406</v>
      </c>
      <c r="U5" s="495"/>
      <c r="V5" s="496"/>
      <c r="W5" s="497"/>
      <c r="X5" s="497"/>
      <c r="Y5" s="497"/>
      <c r="Z5" s="497"/>
      <c r="AA5" s="497"/>
      <c r="AB5" s="497"/>
      <c r="AC5" s="498"/>
      <c r="AD5" s="496" t="e">
        <f>INDEX(PT_DIFFERENTIATION_IST_TE,MATCH(D5,PT_DIFFERENTIATION_IST_TE_ID,0))</f>
        <v>#VALUE!</v>
      </c>
      <c r="AE5" s="497"/>
      <c r="AF5" s="497"/>
      <c r="AG5" s="497"/>
      <c r="AH5" s="497"/>
      <c r="AI5" s="497"/>
      <c r="AJ5" s="497"/>
      <c r="AK5" s="497"/>
      <c r="AL5" s="498"/>
      <c r="AM5" s="499" t="s">
        <v>407</v>
      </c>
      <c r="AO5" s="129"/>
      <c r="AP5" s="129" t="str">
        <f t="shared" si="16"/>
        <v xml:space="preserve">Источник тепловой энергии  </v>
      </c>
      <c r="AQ5" s="129"/>
      <c r="AR5" s="129"/>
      <c r="AS5" s="50">
        <v>0</v>
      </c>
    </row>
    <row r="6" ht="14.25" hidden="1" customHeight="1">
      <c r="A6" s="488"/>
      <c r="B6" s="488"/>
      <c r="C6" s="488"/>
      <c r="D6" s="488"/>
      <c r="E6" s="500"/>
      <c r="F6" s="500"/>
      <c r="G6" s="500"/>
      <c r="H6" s="500"/>
      <c r="I6" s="507" t="e">
        <f>S5&amp;".1"</f>
        <v>#VALUE!</v>
      </c>
      <c r="J6" s="488"/>
      <c r="K6" s="488"/>
      <c r="L6" s="490" t="s">
        <v>408</v>
      </c>
      <c r="M6" s="53"/>
      <c r="P6" s="132">
        <v>1</v>
      </c>
      <c r="Q6" s="132"/>
      <c r="R6" s="508"/>
      <c r="S6" s="362"/>
      <c r="T6" s="595"/>
      <c r="U6" s="596"/>
      <c r="V6" s="597"/>
      <c r="W6" s="598"/>
      <c r="X6" s="598"/>
      <c r="Y6" s="598"/>
      <c r="Z6" s="598"/>
      <c r="AA6" s="598"/>
      <c r="AB6" s="598"/>
      <c r="AC6" s="599"/>
      <c r="AD6" s="597"/>
      <c r="AE6" s="598"/>
      <c r="AF6" s="598"/>
      <c r="AG6" s="598"/>
      <c r="AH6" s="598"/>
      <c r="AI6" s="598"/>
      <c r="AJ6" s="598"/>
      <c r="AK6" s="598"/>
      <c r="AL6" s="599"/>
      <c r="AM6" s="600"/>
      <c r="AO6" s="129"/>
      <c r="AP6" s="129" t="str">
        <f t="shared" si="16"/>
        <v/>
      </c>
      <c r="AQ6" s="129"/>
      <c r="AR6" s="129"/>
      <c r="AS6" s="50">
        <v>0</v>
      </c>
    </row>
    <row r="7" ht="21" hidden="1" customHeight="1">
      <c r="A7" s="488"/>
      <c r="B7" s="488"/>
      <c r="C7" s="488"/>
      <c r="D7" s="488"/>
      <c r="E7" s="500"/>
      <c r="F7" s="500"/>
      <c r="G7" s="500"/>
      <c r="H7" s="500"/>
      <c r="I7" s="512"/>
      <c r="J7" s="507" t="e">
        <f>I6&amp;".1"</f>
        <v>#VALUE!</v>
      </c>
      <c r="K7" s="488"/>
      <c r="L7" s="490" t="s">
        <v>411</v>
      </c>
      <c r="M7" s="53"/>
      <c r="N7" s="53"/>
      <c r="P7" s="132"/>
      <c r="Q7" s="132">
        <v>1</v>
      </c>
      <c r="R7" s="513"/>
      <c r="S7" s="493" t="e">
        <f>$J7</f>
        <v>#VALUE!</v>
      </c>
      <c r="T7" s="514" t="s">
        <v>412</v>
      </c>
      <c r="U7" s="495"/>
      <c r="V7" s="440"/>
      <c r="W7" s="510"/>
      <c r="X7" s="510"/>
      <c r="Y7" s="510"/>
      <c r="Z7" s="510"/>
      <c r="AA7" s="510"/>
      <c r="AB7" s="510"/>
      <c r="AC7" s="511"/>
      <c r="AD7" s="440"/>
      <c r="AE7" s="510"/>
      <c r="AF7" s="510"/>
      <c r="AG7" s="510"/>
      <c r="AH7" s="510"/>
      <c r="AI7" s="510"/>
      <c r="AJ7" s="510"/>
      <c r="AK7" s="510"/>
      <c r="AL7" s="511"/>
      <c r="AM7" s="499" t="s">
        <v>413</v>
      </c>
      <c r="AO7" s="129"/>
      <c r="AP7" s="129" t="str">
        <f t="shared" si="16"/>
        <v xml:space="preserve">Группа потребителей</v>
      </c>
      <c r="AQ7" s="129"/>
      <c r="AR7" s="129"/>
      <c r="AS7" s="50">
        <v>0</v>
      </c>
    </row>
    <row r="8" ht="21" hidden="1" customHeight="1">
      <c r="A8" s="488"/>
      <c r="B8" s="488"/>
      <c r="C8" s="488"/>
      <c r="D8" s="488"/>
      <c r="E8" s="500"/>
      <c r="F8" s="500"/>
      <c r="G8" s="500"/>
      <c r="H8" s="500"/>
      <c r="I8" s="512"/>
      <c r="J8" s="512"/>
      <c r="K8" s="507" t="e">
        <f>J7&amp;".1"</f>
        <v>#VALUE!</v>
      </c>
      <c r="L8" s="490" t="s">
        <v>414</v>
      </c>
      <c r="M8" s="53"/>
      <c r="N8" s="53"/>
      <c r="O8" s="53"/>
      <c r="P8" s="132"/>
      <c r="Q8" s="132"/>
      <c r="R8" s="513">
        <v>1</v>
      </c>
      <c r="S8" s="493" t="e">
        <f>$K8</f>
        <v>#VALUE!</v>
      </c>
      <c r="T8" s="515"/>
      <c r="U8" s="495"/>
      <c r="V8" s="516"/>
      <c r="W8" s="517"/>
      <c r="X8" s="516"/>
      <c r="Y8" s="518"/>
      <c r="Z8" s="519"/>
      <c r="AA8" s="224" t="s">
        <v>67</v>
      </c>
      <c r="AB8" s="519"/>
      <c r="AC8" s="224" t="s">
        <v>67</v>
      </c>
      <c r="AD8" s="516"/>
      <c r="AE8" s="517"/>
      <c r="AF8" s="516"/>
      <c r="AG8" s="518"/>
      <c r="AH8" s="519"/>
      <c r="AI8" s="224" t="s">
        <v>67</v>
      </c>
      <c r="AJ8" s="519"/>
      <c r="AK8" s="224" t="s">
        <v>67</v>
      </c>
      <c r="AL8" s="517"/>
      <c r="AM8" s="520" t="s">
        <v>415</v>
      </c>
      <c r="AN8" s="57" t="e">
        <f>STRCHECKDATE(V9:AL9)</f>
        <v>#NAME?</v>
      </c>
      <c r="AO8" s="129"/>
      <c r="AP8" s="129" t="str">
        <f t="shared" si="16"/>
        <v/>
      </c>
      <c r="AQ8" s="129"/>
      <c r="AR8" s="129"/>
      <c r="AS8" s="50">
        <v>0</v>
      </c>
    </row>
    <row r="9" ht="14.25" hidden="1" customHeight="1">
      <c r="A9" s="488"/>
      <c r="B9" s="488"/>
      <c r="C9" s="488"/>
      <c r="D9" s="488"/>
      <c r="E9" s="500"/>
      <c r="F9" s="500"/>
      <c r="G9" s="500"/>
      <c r="H9" s="500"/>
      <c r="I9" s="512"/>
      <c r="J9" s="512"/>
      <c r="K9" s="507"/>
      <c r="L9" s="490"/>
      <c r="M9" s="53"/>
      <c r="N9" s="53"/>
      <c r="O9" s="53"/>
      <c r="P9" s="132"/>
      <c r="Q9" s="132"/>
      <c r="R9" s="513"/>
      <c r="S9" s="467"/>
      <c r="T9" s="495"/>
      <c r="U9" s="495"/>
      <c r="V9" s="517"/>
      <c r="W9" s="517"/>
      <c r="X9" s="517"/>
      <c r="Y9" s="521" t="str">
        <f>Z8&amp;"-"&amp;AB8</f>
        <v>-</v>
      </c>
      <c r="Z9" s="522"/>
      <c r="AA9" s="224"/>
      <c r="AB9" s="522"/>
      <c r="AC9" s="224"/>
      <c r="AD9" s="517"/>
      <c r="AE9" s="517"/>
      <c r="AF9" s="517"/>
      <c r="AG9" s="521" t="str">
        <f>AH8&amp;"-"&amp;AJ8</f>
        <v>-</v>
      </c>
      <c r="AH9" s="522"/>
      <c r="AI9" s="224"/>
      <c r="AJ9" s="522"/>
      <c r="AK9" s="224"/>
      <c r="AL9" s="517"/>
      <c r="AM9" s="523"/>
      <c r="AO9" s="129"/>
      <c r="AP9" s="129" t="str">
        <f t="shared" si="16"/>
        <v/>
      </c>
      <c r="AQ9" s="129"/>
      <c r="AR9" s="129"/>
      <c r="AS9" s="50">
        <v>0</v>
      </c>
    </row>
    <row r="10" ht="15" hidden="1" customHeight="1">
      <c r="A10" s="488"/>
      <c r="B10" s="488"/>
      <c r="C10" s="488"/>
      <c r="D10" s="488"/>
      <c r="E10" s="500"/>
      <c r="F10" s="500"/>
      <c r="G10" s="500"/>
      <c r="H10" s="500"/>
      <c r="I10" s="512"/>
      <c r="J10" s="507"/>
      <c r="K10" s="488"/>
      <c r="L10" s="490"/>
      <c r="M10" s="53"/>
      <c r="N10" s="53"/>
      <c r="P10" s="132"/>
      <c r="Q10" s="132"/>
      <c r="R10" s="508"/>
      <c r="S10" s="524"/>
      <c r="T10" s="528" t="s">
        <v>416</v>
      </c>
      <c r="U10" s="214"/>
      <c r="V10" s="214"/>
      <c r="W10" s="214"/>
      <c r="X10" s="214"/>
      <c r="Y10" s="214"/>
      <c r="Z10" s="214"/>
      <c r="AA10" s="214"/>
      <c r="AB10" s="214"/>
      <c r="AC10" s="214"/>
      <c r="AD10" s="214"/>
      <c r="AE10" s="214"/>
      <c r="AF10" s="214"/>
      <c r="AG10" s="214"/>
      <c r="AH10" s="214"/>
      <c r="AI10" s="214"/>
      <c r="AJ10" s="214"/>
      <c r="AK10" s="214"/>
      <c r="AL10" s="526"/>
      <c r="AM10" s="527"/>
      <c r="AO10" s="129"/>
      <c r="AP10" s="129" t="str">
        <f t="shared" ref="AP10:AP57" si="17">IF(T10="","",T10)</f>
        <v xml:space="preserve">Добавить вид теплоносителя (параметры теплоносителя)</v>
      </c>
      <c r="AQ10" s="129"/>
      <c r="AR10" s="129"/>
      <c r="AS10" s="50">
        <v>0</v>
      </c>
    </row>
    <row r="11" ht="11.25" hidden="1" customHeight="1">
      <c r="A11" s="488"/>
      <c r="B11" s="488"/>
      <c r="C11" s="488"/>
      <c r="D11" s="488"/>
      <c r="E11" s="500"/>
      <c r="F11" s="500"/>
      <c r="G11" s="500"/>
      <c r="H11" s="500"/>
      <c r="I11" s="507"/>
      <c r="J11" s="488"/>
      <c r="K11" s="488"/>
      <c r="L11" s="490"/>
      <c r="M11" s="53"/>
      <c r="P11" s="132"/>
      <c r="Q11" s="132"/>
      <c r="R11" s="508"/>
      <c r="S11" s="524"/>
      <c r="T11" s="532" t="s">
        <v>417</v>
      </c>
      <c r="U11" s="214"/>
      <c r="V11" s="214"/>
      <c r="W11" s="214"/>
      <c r="X11" s="214"/>
      <c r="Y11" s="214"/>
      <c r="Z11" s="214"/>
      <c r="AA11" s="214"/>
      <c r="AB11" s="214"/>
      <c r="AC11" s="529"/>
      <c r="AD11" s="214"/>
      <c r="AE11" s="214"/>
      <c r="AF11" s="214"/>
      <c r="AG11" s="214"/>
      <c r="AH11" s="214"/>
      <c r="AI11" s="214"/>
      <c r="AJ11" s="214"/>
      <c r="AK11" s="529"/>
      <c r="AL11" s="214"/>
      <c r="AM11" s="530"/>
      <c r="AO11" s="129"/>
      <c r="AP11" s="129" t="str">
        <f t="shared" si="17"/>
        <v xml:space="preserve">Добавить группу потребителей</v>
      </c>
      <c r="AQ11" s="129"/>
      <c r="AR11" s="129"/>
      <c r="AS11" s="50">
        <v>0</v>
      </c>
    </row>
    <row r="12" ht="14.25" hidden="1" customHeight="1">
      <c r="A12" s="488"/>
      <c r="B12" s="488"/>
      <c r="C12" s="488"/>
      <c r="D12" s="488"/>
      <c r="E12" s="500"/>
      <c r="F12" s="500"/>
      <c r="G12" s="500"/>
      <c r="H12" s="489"/>
      <c r="I12" s="488"/>
      <c r="J12" s="488"/>
      <c r="K12" s="488"/>
      <c r="L12" s="490"/>
      <c r="M12" s="491"/>
      <c r="N12" s="491"/>
      <c r="O12" s="53"/>
      <c r="P12" s="143"/>
      <c r="Q12" s="531"/>
      <c r="R12" s="492"/>
      <c r="S12" s="601"/>
      <c r="T12" s="602"/>
      <c r="U12" s="603"/>
      <c r="V12" s="603"/>
      <c r="W12" s="603"/>
      <c r="X12" s="603"/>
      <c r="Y12" s="603"/>
      <c r="Z12" s="603"/>
      <c r="AA12" s="603"/>
      <c r="AB12" s="603"/>
      <c r="AC12" s="603"/>
      <c r="AD12" s="603"/>
      <c r="AE12" s="603"/>
      <c r="AF12" s="603"/>
      <c r="AG12" s="603"/>
      <c r="AH12" s="603"/>
      <c r="AI12" s="603"/>
      <c r="AJ12" s="603"/>
      <c r="AK12" s="603"/>
      <c r="AL12" s="603"/>
      <c r="AM12" s="604"/>
      <c r="AO12" s="129"/>
      <c r="AP12" s="129" t="str">
        <f t="shared" si="17"/>
        <v/>
      </c>
      <c r="AQ12" s="129"/>
      <c r="AR12" s="129"/>
      <c r="AS12" s="50">
        <v>0</v>
      </c>
    </row>
    <row r="13" s="57" customFormat="1" ht="14.25" hidden="1" customHeight="1">
      <c r="A13" s="133"/>
      <c r="B13" s="133"/>
      <c r="C13" s="133"/>
      <c r="D13" s="133"/>
      <c r="E13" s="500"/>
      <c r="F13" s="500"/>
      <c r="G13" s="489"/>
      <c r="H13" s="133"/>
      <c r="I13" s="133"/>
      <c r="J13" s="133"/>
      <c r="K13" s="133"/>
      <c r="L13" s="212"/>
      <c r="M13" s="473"/>
      <c r="N13" s="473"/>
      <c r="P13" s="167"/>
      <c r="Q13" s="533"/>
      <c r="R13" s="167"/>
      <c r="S13" s="534"/>
      <c r="T13" s="535" t="s">
        <v>211</v>
      </c>
      <c r="U13" s="536"/>
      <c r="V13" s="536"/>
      <c r="W13" s="536"/>
      <c r="X13" s="536"/>
      <c r="Y13" s="536"/>
      <c r="Z13" s="536"/>
      <c r="AA13" s="536"/>
      <c r="AB13" s="536"/>
      <c r="AC13" s="536"/>
      <c r="AD13" s="536"/>
      <c r="AE13" s="536"/>
      <c r="AF13" s="536"/>
      <c r="AG13" s="536"/>
      <c r="AH13" s="536"/>
      <c r="AI13" s="536"/>
      <c r="AJ13" s="536"/>
      <c r="AK13" s="536"/>
      <c r="AL13" s="536"/>
      <c r="AM13" s="536"/>
      <c r="AO13" s="129"/>
      <c r="AP13" s="129" t="str">
        <f t="shared" si="17"/>
        <v xml:space="preserve">Добавить источник для дифференциации</v>
      </c>
      <c r="AQ13" s="129"/>
      <c r="AR13" s="129"/>
      <c r="AS13" s="57">
        <v>0</v>
      </c>
    </row>
    <row r="14" s="57" customFormat="1" ht="14.25" hidden="1" customHeight="1">
      <c r="A14" s="133"/>
      <c r="B14" s="133"/>
      <c r="C14" s="133"/>
      <c r="D14" s="133"/>
      <c r="E14" s="500"/>
      <c r="F14" s="489"/>
      <c r="G14" s="133"/>
      <c r="H14" s="133"/>
      <c r="I14" s="133"/>
      <c r="J14" s="133"/>
      <c r="K14" s="133"/>
      <c r="L14" s="212"/>
      <c r="M14" s="537"/>
      <c r="N14" s="537"/>
      <c r="P14" s="167"/>
      <c r="Q14" s="533"/>
      <c r="R14" s="167"/>
      <c r="S14" s="538"/>
      <c r="T14" s="539" t="s">
        <v>212</v>
      </c>
      <c r="U14" s="540"/>
      <c r="V14" s="540"/>
      <c r="W14" s="540"/>
      <c r="X14" s="540"/>
      <c r="Y14" s="540"/>
      <c r="Z14" s="540"/>
      <c r="AA14" s="540"/>
      <c r="AB14" s="540"/>
      <c r="AC14" s="540"/>
      <c r="AD14" s="540"/>
      <c r="AE14" s="540"/>
      <c r="AF14" s="540"/>
      <c r="AG14" s="540"/>
      <c r="AH14" s="540"/>
      <c r="AI14" s="540"/>
      <c r="AJ14" s="540"/>
      <c r="AK14" s="540"/>
      <c r="AL14" s="540"/>
      <c r="AM14" s="540"/>
      <c r="AO14" s="129"/>
      <c r="AP14" s="129" t="str">
        <f t="shared" si="17"/>
        <v xml:space="preserve">Добавить централизованную систему для дифференциации</v>
      </c>
      <c r="AQ14" s="129"/>
      <c r="AR14" s="129"/>
      <c r="AS14" s="57">
        <v>0</v>
      </c>
    </row>
    <row r="15" s="57" customFormat="1" ht="14.25" hidden="1" customHeight="1">
      <c r="A15" s="133"/>
      <c r="B15" s="133"/>
      <c r="C15" s="133"/>
      <c r="D15" s="133"/>
      <c r="E15" s="489"/>
      <c r="F15" s="133"/>
      <c r="G15" s="133"/>
      <c r="H15" s="133"/>
      <c r="I15" s="133"/>
      <c r="J15" s="133"/>
      <c r="K15" s="133"/>
      <c r="L15" s="212"/>
      <c r="M15" s="537"/>
      <c r="N15" s="537"/>
      <c r="P15" s="167"/>
      <c r="Q15" s="533"/>
      <c r="R15" s="167"/>
      <c r="S15" s="538"/>
      <c r="T15" s="541" t="s">
        <v>213</v>
      </c>
      <c r="U15" s="540"/>
      <c r="V15" s="540"/>
      <c r="W15" s="540"/>
      <c r="X15" s="540"/>
      <c r="Y15" s="540"/>
      <c r="Z15" s="540"/>
      <c r="AA15" s="540"/>
      <c r="AB15" s="540"/>
      <c r="AC15" s="540"/>
      <c r="AD15" s="540"/>
      <c r="AE15" s="540"/>
      <c r="AF15" s="540"/>
      <c r="AG15" s="540"/>
      <c r="AH15" s="540"/>
      <c r="AI15" s="540"/>
      <c r="AJ15" s="540"/>
      <c r="AK15" s="540"/>
      <c r="AL15" s="540"/>
      <c r="AM15" s="540"/>
      <c r="AO15" s="129"/>
      <c r="AP15" s="129" t="str">
        <f t="shared" si="17"/>
        <v xml:space="preserve">Добавить территорию для дифференциации</v>
      </c>
      <c r="AQ15" s="129"/>
      <c r="AR15" s="129"/>
      <c r="AS15" s="57">
        <v>0</v>
      </c>
    </row>
    <row r="16" ht="14.25" hidden="1" customHeight="1">
      <c r="AC16" s="50"/>
      <c r="AK16" s="50"/>
      <c r="AS16" s="50">
        <v>0</v>
      </c>
    </row>
    <row r="17" ht="14.25" hidden="1" customHeight="1">
      <c r="AD17" s="542"/>
      <c r="AE17" s="542"/>
      <c r="AF17" s="542"/>
      <c r="AG17" s="543"/>
      <c r="AH17" s="544"/>
      <c r="AI17" s="545" t="s">
        <v>67</v>
      </c>
      <c r="AJ17" s="544"/>
      <c r="AK17" s="545" t="s">
        <v>67</v>
      </c>
      <c r="AS17" s="50">
        <v>0</v>
      </c>
    </row>
    <row r="18" ht="14.25" hidden="1" customHeight="1">
      <c r="AD18" s="542"/>
      <c r="AE18" s="542"/>
      <c r="AF18" s="542"/>
      <c r="AG18" s="521" t="str">
        <f>AH17&amp;"-"&amp;AJ17</f>
        <v>-</v>
      </c>
      <c r="AH18" s="545"/>
      <c r="AI18" s="545"/>
      <c r="AJ18" s="545"/>
      <c r="AK18" s="545"/>
      <c r="AS18" s="50">
        <v>0</v>
      </c>
    </row>
    <row r="19" ht="14.25" hidden="1" customHeight="1">
      <c r="AK19" s="50"/>
      <c r="AS19" s="50">
        <v>0</v>
      </c>
    </row>
    <row r="20" s="53" customFormat="1" ht="22.5" hidden="1" customHeight="1">
      <c r="L20" s="113"/>
      <c r="M20" s="61"/>
      <c r="N20" s="61"/>
      <c r="O20" s="546" t="s">
        <v>419</v>
      </c>
      <c r="P20" s="61"/>
      <c r="Q20" s="547"/>
      <c r="R20" s="547"/>
      <c r="S20" s="491"/>
      <c r="Z20" s="546"/>
      <c r="AB20" s="546"/>
      <c r="AC20" s="53"/>
      <c r="AH20" s="546"/>
      <c r="AJ20" s="546"/>
      <c r="AK20" s="53"/>
      <c r="AN20" s="57"/>
      <c r="AO20" s="57"/>
      <c r="AP20" s="57"/>
      <c r="AQ20" s="57"/>
      <c r="AR20" s="57"/>
      <c r="AS20" s="53">
        <v>0</v>
      </c>
    </row>
    <row r="21" s="53" customFormat="1" ht="14.25" hidden="1" customHeight="1">
      <c r="L21" s="113"/>
      <c r="M21" s="61"/>
      <c r="N21" s="61"/>
      <c r="O21" s="61"/>
      <c r="P21" s="61"/>
      <c r="Q21" s="547"/>
      <c r="R21" s="547"/>
      <c r="S21" s="491"/>
      <c r="AC21" s="53"/>
      <c r="AK21" s="53"/>
      <c r="AN21" s="57"/>
      <c r="AO21" s="57"/>
      <c r="AP21" s="57"/>
      <c r="AQ21" s="57"/>
      <c r="AR21" s="57"/>
      <c r="AS21" s="53">
        <v>0</v>
      </c>
    </row>
    <row r="22" s="53" customFormat="1" ht="14.25" hidden="1" customHeight="1">
      <c r="L22" s="113"/>
      <c r="M22" s="61"/>
      <c r="N22" s="61"/>
      <c r="O22" s="490" t="s">
        <v>420</v>
      </c>
      <c r="P22" s="61"/>
      <c r="Q22" s="547"/>
      <c r="R22" s="547"/>
      <c r="S22" s="491"/>
      <c r="T22" s="53" t="s">
        <v>421</v>
      </c>
      <c r="AA22" s="151" t="s">
        <v>422</v>
      </c>
      <c r="AC22" s="151" t="s">
        <v>423</v>
      </c>
      <c r="AD22" s="53" t="s">
        <v>421</v>
      </c>
      <c r="AI22" s="151" t="s">
        <v>424</v>
      </c>
      <c r="AK22" s="151" t="s">
        <v>423</v>
      </c>
      <c r="AN22" s="57"/>
      <c r="AO22" s="57"/>
      <c r="AP22" s="57"/>
      <c r="AQ22" s="57"/>
      <c r="AR22" s="57"/>
      <c r="AS22" s="53">
        <v>0</v>
      </c>
    </row>
    <row r="23" ht="14.25" hidden="1" customHeight="1">
      <c r="O23" s="490"/>
      <c r="AS23" s="50">
        <v>0</v>
      </c>
    </row>
    <row r="24" ht="14.25" hidden="1" customHeight="1">
      <c r="O24" s="490"/>
      <c r="AS24" s="50">
        <v>0</v>
      </c>
    </row>
    <row r="25" ht="14.65" customHeight="1">
      <c r="Q25" s="548"/>
      <c r="R25" s="548"/>
      <c r="S25" s="549"/>
      <c r="T25" s="91"/>
      <c r="U25" s="91"/>
      <c r="V25" s="50"/>
      <c r="W25" s="50"/>
      <c r="X25" s="50"/>
      <c r="Y25" s="50"/>
      <c r="Z25" s="50"/>
      <c r="AA25" s="50"/>
      <c r="AB25" s="50"/>
      <c r="AC25" s="50"/>
      <c r="AD25" s="50"/>
      <c r="AE25" s="50"/>
      <c r="AF25" s="50"/>
      <c r="AG25" s="50"/>
      <c r="AH25" s="50"/>
      <c r="AI25" s="50"/>
      <c r="AJ25" s="50"/>
      <c r="AK25" s="50"/>
      <c r="AS25" s="50">
        <v>14</v>
      </c>
    </row>
    <row r="26" ht="53.5" customHeight="1">
      <c r="Q26" s="548"/>
      <c r="R26" s="548"/>
      <c r="S26" s="461" t="str">
        <f>IF(TEMPLATE_GROUP="P",PT_P_FORM_HEAT_5_NAME_FORM,PT_R_FORM_HEAT_22_NAME_FORM)</f>
        <v xml:space="preserve">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461"/>
      <c r="U26" s="461"/>
      <c r="V26" s="461"/>
      <c r="W26" s="461"/>
      <c r="X26" s="461"/>
      <c r="Y26" s="461"/>
      <c r="Z26" s="461"/>
      <c r="AA26" s="461"/>
      <c r="AB26" s="461"/>
      <c r="AC26" s="461"/>
      <c r="AD26" s="461"/>
      <c r="AE26" s="461"/>
      <c r="AF26" s="461"/>
      <c r="AG26" s="461"/>
      <c r="AH26" s="461"/>
      <c r="AI26" s="461"/>
      <c r="AJ26" s="461"/>
      <c r="AK26" s="240"/>
      <c r="AS26" s="50">
        <v>51</v>
      </c>
    </row>
    <row r="27" ht="14.65" customHeight="1">
      <c r="Q27" s="548"/>
      <c r="R27" s="548"/>
      <c r="S27" s="316" t="str">
        <f>IF(org=0,"Не определено",org)</f>
        <v xml:space="preserve">АО "ДГК"</v>
      </c>
      <c r="T27" s="316"/>
      <c r="U27" s="316"/>
      <c r="V27" s="316"/>
      <c r="W27" s="316"/>
      <c r="X27" s="316"/>
      <c r="Y27" s="316"/>
      <c r="Z27" s="316"/>
      <c r="AA27" s="316"/>
      <c r="AB27" s="316"/>
      <c r="AC27" s="316"/>
      <c r="AD27" s="316"/>
      <c r="AE27" s="316"/>
      <c r="AF27" s="316"/>
      <c r="AG27" s="316"/>
      <c r="AH27" s="316"/>
      <c r="AI27" s="316"/>
      <c r="AJ27" s="316"/>
      <c r="AK27" s="240"/>
      <c r="AS27" s="50">
        <v>14</v>
      </c>
    </row>
    <row r="28" ht="14.25" hidden="1" customHeight="1">
      <c r="Q28" s="548"/>
      <c r="R28" s="548"/>
      <c r="S28" s="549"/>
      <c r="T28" s="91"/>
      <c r="U28" s="91"/>
      <c r="V28" s="550"/>
      <c r="W28" s="550"/>
      <c r="X28" s="550"/>
      <c r="Y28" s="550"/>
      <c r="Z28" s="550"/>
      <c r="AA28" s="550"/>
      <c r="AB28" s="550"/>
      <c r="AC28" s="550"/>
      <c r="AD28" s="550"/>
      <c r="AE28" s="550"/>
      <c r="AF28" s="550"/>
      <c r="AG28" s="550"/>
      <c r="AH28" s="550"/>
      <c r="AI28" s="550"/>
      <c r="AJ28" s="550"/>
      <c r="AK28" s="550"/>
      <c r="AL28" s="50"/>
      <c r="AS28" s="50">
        <v>0</v>
      </c>
    </row>
    <row r="29" s="184" customFormat="1" ht="25.5" hidden="1" customHeight="1">
      <c r="A29" s="151"/>
      <c r="B29" s="151"/>
      <c r="C29" s="151"/>
      <c r="D29" s="151"/>
      <c r="E29" s="151"/>
      <c r="F29" s="151"/>
      <c r="G29" s="151"/>
      <c r="H29" s="151"/>
      <c r="I29" s="151"/>
      <c r="J29" s="151"/>
      <c r="K29" s="151"/>
      <c r="L29" s="490"/>
      <c r="M29" s="151"/>
      <c r="N29" s="151"/>
      <c r="O29" s="151"/>
      <c r="S29" s="551" t="s">
        <v>42</v>
      </c>
      <c r="T29" s="551"/>
      <c r="U29" s="552"/>
      <c r="V29" s="553" t="str">
        <f>IF(TITLE_NAME_OR_PR_CHANGE="",IF(TITLE_NAME_OR_PR="","",TITLE_NAME_OR_PR),TITLE_NAME_OR_PR_CHANGE)</f>
        <v/>
      </c>
      <c r="W29" s="553"/>
      <c r="X29" s="553"/>
      <c r="Y29" s="553"/>
      <c r="Z29" s="553"/>
      <c r="AA29" s="553"/>
      <c r="AB29" s="553"/>
      <c r="AC29" s="50"/>
      <c r="AD29" s="553" t="str">
        <f>IF(TITLE_NAME_OR_PR_CHANGE="",IF(TITLE_NAME_OR_PR="","",TITLE_NAME_OR_PR),TITLE_NAME_OR_PR_CHANGE)</f>
        <v/>
      </c>
      <c r="AE29" s="553"/>
      <c r="AF29" s="553"/>
      <c r="AG29" s="553"/>
      <c r="AH29" s="553"/>
      <c r="AI29" s="553"/>
      <c r="AJ29" s="553"/>
      <c r="AK29" s="50"/>
      <c r="AL29" s="50"/>
      <c r="AM29" s="554"/>
      <c r="AN29" s="129"/>
      <c r="AO29" s="129"/>
      <c r="AP29" s="129"/>
      <c r="AQ29" s="129"/>
      <c r="AR29" s="129"/>
      <c r="AS29" s="184">
        <v>0</v>
      </c>
    </row>
    <row r="30" s="184" customFormat="1" ht="18.75" hidden="1" customHeight="1">
      <c r="A30" s="151"/>
      <c r="B30" s="151"/>
      <c r="C30" s="151"/>
      <c r="D30" s="151"/>
      <c r="E30" s="151"/>
      <c r="F30" s="151"/>
      <c r="G30" s="151"/>
      <c r="H30" s="151"/>
      <c r="I30" s="151"/>
      <c r="J30" s="151"/>
      <c r="K30" s="151"/>
      <c r="L30" s="490"/>
      <c r="M30" s="151"/>
      <c r="N30" s="151"/>
      <c r="O30" s="151"/>
      <c r="S30" s="551" t="s">
        <v>425</v>
      </c>
      <c r="T30" s="551"/>
      <c r="U30" s="552"/>
      <c r="V30" s="555">
        <f>IF(TITLE_DATE_PR_CHANGE="",IF(TITLE_DATE_PR="","",TITLE_DATE_PR),TITLE_DATE_PR_CHANGE)</f>
        <v>46212.428518518522</v>
      </c>
      <c r="W30" s="555"/>
      <c r="X30" s="555"/>
      <c r="Y30" s="555"/>
      <c r="Z30" s="555"/>
      <c r="AA30" s="555"/>
      <c r="AB30" s="555"/>
      <c r="AC30" s="50"/>
      <c r="AD30" s="555">
        <f>IF(TITLE_DATE_PR_CHANGE="",IF(TITLE_DATE_PR="","",TITLE_DATE_PR),TITLE_DATE_PR_CHANGE)</f>
        <v>46212.428518518522</v>
      </c>
      <c r="AE30" s="555"/>
      <c r="AF30" s="555"/>
      <c r="AG30" s="555"/>
      <c r="AH30" s="555"/>
      <c r="AI30" s="555"/>
      <c r="AJ30" s="555"/>
      <c r="AK30" s="50"/>
      <c r="AL30" s="50"/>
      <c r="AM30" s="554"/>
      <c r="AN30" s="129"/>
      <c r="AO30" s="129"/>
      <c r="AP30" s="129"/>
      <c r="AQ30" s="129"/>
      <c r="AR30" s="129"/>
      <c r="AS30" s="184">
        <v>0</v>
      </c>
    </row>
    <row r="31" s="184" customFormat="1" ht="18.75" hidden="1" customHeight="1">
      <c r="A31" s="151"/>
      <c r="B31" s="151"/>
      <c r="C31" s="151"/>
      <c r="D31" s="151"/>
      <c r="E31" s="151"/>
      <c r="F31" s="151"/>
      <c r="G31" s="151"/>
      <c r="H31" s="151"/>
      <c r="I31" s="151"/>
      <c r="J31" s="151"/>
      <c r="K31" s="151"/>
      <c r="L31" s="490"/>
      <c r="M31" s="151"/>
      <c r="N31" s="151"/>
      <c r="O31" s="151"/>
      <c r="S31" s="551" t="s">
        <v>426</v>
      </c>
      <c r="T31" s="551"/>
      <c r="U31" s="552"/>
      <c r="V31" s="553" t="str">
        <f>IF(TITLE_NUMBER_PR_CHANGE="",IF(TITLE_NUMBER_PR="","",TITLE_NUMBER_PR),TITLE_NUMBER_PR_CHANGE)</f>
        <v>Исх-260/1397</v>
      </c>
      <c r="W31" s="553"/>
      <c r="X31" s="553"/>
      <c r="Y31" s="553"/>
      <c r="Z31" s="553"/>
      <c r="AA31" s="553"/>
      <c r="AB31" s="553"/>
      <c r="AC31" s="50"/>
      <c r="AD31" s="553" t="str">
        <f>IF(TITLE_NUMBER_PR_CHANGE="",IF(TITLE_NUMBER_PR="","",TITLE_NUMBER_PR),TITLE_NUMBER_PR_CHANGE)</f>
        <v>Исх-260/1397</v>
      </c>
      <c r="AE31" s="553"/>
      <c r="AF31" s="553"/>
      <c r="AG31" s="553"/>
      <c r="AH31" s="553"/>
      <c r="AI31" s="553"/>
      <c r="AJ31" s="553"/>
      <c r="AK31" s="50"/>
      <c r="AL31" s="50"/>
      <c r="AM31" s="554"/>
      <c r="AN31" s="129"/>
      <c r="AO31" s="129"/>
      <c r="AP31" s="129"/>
      <c r="AQ31" s="129"/>
      <c r="AR31" s="129"/>
      <c r="AS31" s="184">
        <v>0</v>
      </c>
    </row>
    <row r="32" s="184" customFormat="1" ht="18.75" hidden="1" customHeight="1">
      <c r="A32" s="151"/>
      <c r="B32" s="151"/>
      <c r="C32" s="151"/>
      <c r="D32" s="151"/>
      <c r="E32" s="151"/>
      <c r="F32" s="151"/>
      <c r="G32" s="151"/>
      <c r="H32" s="151"/>
      <c r="I32" s="151"/>
      <c r="J32" s="151"/>
      <c r="K32" s="151"/>
      <c r="L32" s="490"/>
      <c r="M32" s="151"/>
      <c r="N32" s="151"/>
      <c r="O32" s="151"/>
      <c r="S32" s="551" t="s">
        <v>43</v>
      </c>
      <c r="T32" s="551"/>
      <c r="U32" s="552"/>
      <c r="V32" s="553" t="str">
        <f>IF(TITLE_IST_PUB_CHANGE="",IF(TITLE_IST_PUB="","",TITLE_IST_PUB),TITLE_IST_PUB_CHANGE)</f>
        <v/>
      </c>
      <c r="W32" s="553"/>
      <c r="X32" s="553"/>
      <c r="Y32" s="553"/>
      <c r="Z32" s="553"/>
      <c r="AA32" s="553"/>
      <c r="AB32" s="553"/>
      <c r="AC32" s="50"/>
      <c r="AD32" s="553" t="str">
        <f>IF(TITLE_IST_PUB_CHANGE="",IF(TITLE_IST_PUB="","",TITLE_IST_PUB),TITLE_IST_PUB_CHANGE)</f>
        <v/>
      </c>
      <c r="AE32" s="553"/>
      <c r="AF32" s="553"/>
      <c r="AG32" s="553"/>
      <c r="AH32" s="553"/>
      <c r="AI32" s="553"/>
      <c r="AJ32" s="553"/>
      <c r="AK32" s="50"/>
      <c r="AL32" s="50"/>
      <c r="AM32" s="554"/>
      <c r="AN32" s="129"/>
      <c r="AO32" s="129"/>
      <c r="AP32" s="129"/>
      <c r="AQ32" s="129"/>
      <c r="AR32" s="129"/>
      <c r="AS32" s="184">
        <v>0</v>
      </c>
    </row>
    <row r="33" ht="14.25" customHeight="1">
      <c r="Q33" s="548"/>
      <c r="R33" s="548"/>
      <c r="S33" s="549"/>
      <c r="T33" s="91"/>
      <c r="U33" s="91"/>
      <c r="V33" s="550"/>
      <c r="W33" s="550"/>
      <c r="X33" s="550"/>
      <c r="Y33" s="550"/>
      <c r="Z33" s="550"/>
      <c r="AA33" s="550"/>
      <c r="AB33" s="550"/>
      <c r="AC33" s="550"/>
      <c r="AD33" s="550"/>
      <c r="AE33" s="550"/>
      <c r="AF33" s="550"/>
      <c r="AG33" s="550"/>
      <c r="AH33" s="550"/>
      <c r="AI33" s="550"/>
      <c r="AJ33" s="550"/>
      <c r="AK33" s="550"/>
      <c r="AL33" s="50"/>
      <c r="AS33" s="50">
        <v>0</v>
      </c>
    </row>
    <row r="34" s="184" customFormat="1" ht="18.75" customHeight="1">
      <c r="A34" s="151"/>
      <c r="B34" s="151"/>
      <c r="C34" s="151"/>
      <c r="D34" s="151"/>
      <c r="E34" s="151"/>
      <c r="F34" s="151"/>
      <c r="G34" s="151"/>
      <c r="H34" s="151"/>
      <c r="I34" s="151"/>
      <c r="J34" s="151"/>
      <c r="K34" s="151"/>
      <c r="L34" s="490"/>
      <c r="M34" s="151"/>
      <c r="N34" s="151"/>
      <c r="O34" s="151"/>
      <c r="S34" s="551" t="s">
        <v>427</v>
      </c>
      <c r="T34" s="551"/>
      <c r="U34" s="552"/>
      <c r="V34" s="555">
        <f>IF(TITLE_DATE_PR_CHANGE="",IF(TITLE_DATE_PR="","",TITLE_DATE_PR),TITLE_DATE_PR_CHANGE)</f>
        <v>46212.428518518522</v>
      </c>
      <c r="W34" s="555"/>
      <c r="X34" s="555"/>
      <c r="Y34" s="555"/>
      <c r="Z34" s="555"/>
      <c r="AA34" s="555"/>
      <c r="AB34" s="555"/>
      <c r="AC34" s="50"/>
      <c r="AD34" s="555">
        <f>IF(TITLE_DATE_PR_CHANGE="",IF(TITLE_DATE_PR="","",TITLE_DATE_PR),TITLE_DATE_PR_CHANGE)</f>
        <v>46212.428518518522</v>
      </c>
      <c r="AE34" s="555"/>
      <c r="AF34" s="555"/>
      <c r="AG34" s="555"/>
      <c r="AH34" s="555"/>
      <c r="AI34" s="555"/>
      <c r="AJ34" s="555"/>
      <c r="AK34" s="50"/>
      <c r="AL34" s="50"/>
      <c r="AM34" s="554"/>
      <c r="AN34" s="129"/>
      <c r="AO34" s="129"/>
      <c r="AP34" s="129"/>
      <c r="AQ34" s="129"/>
      <c r="AR34" s="129"/>
      <c r="AS34" s="184">
        <v>0</v>
      </c>
    </row>
    <row r="35" s="184" customFormat="1" ht="25.5" customHeight="1">
      <c r="A35" s="151"/>
      <c r="B35" s="151"/>
      <c r="C35" s="151"/>
      <c r="D35" s="151"/>
      <c r="E35" s="151"/>
      <c r="F35" s="151"/>
      <c r="G35" s="151"/>
      <c r="H35" s="151"/>
      <c r="I35" s="151"/>
      <c r="J35" s="151"/>
      <c r="K35" s="151"/>
      <c r="L35" s="490"/>
      <c r="M35" s="151"/>
      <c r="N35" s="151"/>
      <c r="O35" s="151"/>
      <c r="S35" s="551" t="s">
        <v>428</v>
      </c>
      <c r="T35" s="551"/>
      <c r="U35" s="552"/>
      <c r="V35" s="553" t="str">
        <f>IF(TITLE_NUMBER_PR_CHANGE="",IF(TITLE_NUMBER_PR="","",TITLE_NUMBER_PR),TITLE_NUMBER_PR_CHANGE)</f>
        <v>Исх-260/1397</v>
      </c>
      <c r="W35" s="553"/>
      <c r="X35" s="553"/>
      <c r="Y35" s="553"/>
      <c r="Z35" s="553"/>
      <c r="AA35" s="553"/>
      <c r="AB35" s="553"/>
      <c r="AC35" s="50"/>
      <c r="AD35" s="553" t="str">
        <f>IF(TITLE_NUMBER_PR_CHANGE="",IF(TITLE_NUMBER_PR="","",TITLE_NUMBER_PR),TITLE_NUMBER_PR_CHANGE)</f>
        <v>Исх-260/1397</v>
      </c>
      <c r="AE35" s="553"/>
      <c r="AF35" s="553"/>
      <c r="AG35" s="553"/>
      <c r="AH35" s="553"/>
      <c r="AI35" s="553"/>
      <c r="AJ35" s="553"/>
      <c r="AK35" s="50"/>
      <c r="AL35" s="50"/>
      <c r="AM35" s="554"/>
      <c r="AN35" s="129"/>
      <c r="AO35" s="129"/>
      <c r="AP35" s="129"/>
      <c r="AQ35" s="129"/>
      <c r="AR35" s="129"/>
      <c r="AS35" s="184">
        <v>0</v>
      </c>
    </row>
    <row r="36" s="184" customFormat="1" ht="0" customHeight="1">
      <c r="A36" s="151"/>
      <c r="B36" s="151"/>
      <c r="C36" s="151"/>
      <c r="D36" s="151"/>
      <c r="E36" s="151"/>
      <c r="F36" s="151"/>
      <c r="G36" s="151"/>
      <c r="H36" s="151"/>
      <c r="I36" s="151"/>
      <c r="J36" s="151"/>
      <c r="K36" s="151"/>
      <c r="L36" s="490"/>
      <c r="M36" s="151"/>
      <c r="N36" s="151"/>
      <c r="O36" s="151"/>
      <c r="S36" s="50"/>
      <c r="T36" s="50"/>
      <c r="U36" s="140"/>
      <c r="V36" s="50"/>
      <c r="W36" s="50"/>
      <c r="X36" s="50"/>
      <c r="Y36" s="50"/>
      <c r="Z36" s="50"/>
      <c r="AA36" s="50"/>
      <c r="AB36" s="50"/>
      <c r="AC36" s="57" t="s">
        <v>429</v>
      </c>
      <c r="AD36" s="50"/>
      <c r="AE36" s="50"/>
      <c r="AF36" s="50"/>
      <c r="AG36" s="50"/>
      <c r="AH36" s="50"/>
      <c r="AI36" s="50"/>
      <c r="AJ36" s="50"/>
      <c r="AK36" s="57" t="s">
        <v>429</v>
      </c>
      <c r="AN36" s="129"/>
      <c r="AO36" s="129"/>
      <c r="AP36" s="129"/>
      <c r="AQ36" s="129"/>
      <c r="AR36" s="129"/>
      <c r="AS36" s="184">
        <v>0</v>
      </c>
    </row>
    <row r="37" ht="14.65" customHeight="1">
      <c r="Q37" s="548"/>
      <c r="R37" s="548"/>
      <c r="S37" s="549"/>
      <c r="T37" s="91"/>
      <c r="U37" s="556"/>
      <c r="V37" s="557"/>
      <c r="W37" s="557"/>
      <c r="X37" s="557"/>
      <c r="Y37" s="557"/>
      <c r="Z37" s="557"/>
      <c r="AA37" s="557"/>
      <c r="AB37" s="557"/>
      <c r="AC37" s="557"/>
      <c r="AD37" s="557"/>
      <c r="AE37" s="557"/>
      <c r="AF37" s="557"/>
      <c r="AG37" s="557"/>
      <c r="AH37" s="557"/>
      <c r="AI37" s="557"/>
      <c r="AJ37" s="557"/>
      <c r="AK37" s="557"/>
      <c r="AS37" s="50">
        <v>14</v>
      </c>
    </row>
    <row r="38" ht="14.65" customHeight="1">
      <c r="Q38" s="548"/>
      <c r="R38" s="548"/>
      <c r="S38" s="157" t="s">
        <v>305</v>
      </c>
      <c r="T38" s="157"/>
      <c r="U38" s="157"/>
      <c r="V38" s="157"/>
      <c r="W38" s="157"/>
      <c r="X38" s="157"/>
      <c r="Y38" s="157"/>
      <c r="Z38" s="157"/>
      <c r="AA38" s="157"/>
      <c r="AB38" s="157"/>
      <c r="AC38" s="157"/>
      <c r="AD38" s="157"/>
      <c r="AE38" s="157"/>
      <c r="AF38" s="157"/>
      <c r="AG38" s="157"/>
      <c r="AH38" s="157"/>
      <c r="AI38" s="157"/>
      <c r="AJ38" s="157"/>
      <c r="AK38" s="157"/>
      <c r="AL38" s="157"/>
      <c r="AM38" s="157" t="s">
        <v>306</v>
      </c>
      <c r="AS38" s="50">
        <v>14</v>
      </c>
    </row>
    <row r="39" ht="14.65" customHeight="1">
      <c r="Q39" s="548"/>
      <c r="R39" s="548"/>
      <c r="S39" s="493" t="s">
        <v>89</v>
      </c>
      <c r="T39" s="358" t="s">
        <v>430</v>
      </c>
      <c r="U39" s="558"/>
      <c r="V39" s="559" t="s">
        <v>431</v>
      </c>
      <c r="W39" s="560"/>
      <c r="X39" s="560"/>
      <c r="Y39" s="560"/>
      <c r="Z39" s="560"/>
      <c r="AA39" s="560"/>
      <c r="AB39" s="561"/>
      <c r="AC39" s="562" t="s">
        <v>432</v>
      </c>
      <c r="AD39" s="559" t="s">
        <v>431</v>
      </c>
      <c r="AE39" s="560"/>
      <c r="AF39" s="560"/>
      <c r="AG39" s="560"/>
      <c r="AH39" s="560"/>
      <c r="AI39" s="560"/>
      <c r="AJ39" s="561"/>
      <c r="AK39" s="562" t="s">
        <v>433</v>
      </c>
      <c r="AL39" s="563" t="s">
        <v>434</v>
      </c>
      <c r="AM39" s="157"/>
      <c r="AS39" s="50">
        <v>14</v>
      </c>
    </row>
    <row r="40" ht="35.649999999999999" customHeight="1">
      <c r="Q40" s="548"/>
      <c r="R40" s="548"/>
      <c r="S40" s="493"/>
      <c r="T40" s="358"/>
      <c r="U40" s="564"/>
      <c r="V40" s="320" t="s">
        <v>435</v>
      </c>
      <c r="W40" s="565"/>
      <c r="X40" s="73" t="s">
        <v>437</v>
      </c>
      <c r="Y40" s="72"/>
      <c r="Z40" s="73" t="s">
        <v>438</v>
      </c>
      <c r="AA40" s="145"/>
      <c r="AB40" s="72"/>
      <c r="AC40" s="566"/>
      <c r="AD40" s="320" t="s">
        <v>451</v>
      </c>
      <c r="AE40" s="565"/>
      <c r="AF40" s="73" t="s">
        <v>437</v>
      </c>
      <c r="AG40" s="72"/>
      <c r="AH40" s="73" t="s">
        <v>438</v>
      </c>
      <c r="AI40" s="145"/>
      <c r="AJ40" s="72"/>
      <c r="AK40" s="566"/>
      <c r="AL40" s="567"/>
      <c r="AM40" s="157"/>
      <c r="AS40" s="50">
        <v>34</v>
      </c>
    </row>
    <row r="41" ht="35.649999999999999" customHeight="1">
      <c r="A41" s="151"/>
      <c r="B41" s="151" t="s">
        <v>135</v>
      </c>
      <c r="C41" s="151" t="s">
        <v>136</v>
      </c>
      <c r="D41" s="151" t="s">
        <v>137</v>
      </c>
      <c r="E41" s="490" t="s">
        <v>439</v>
      </c>
      <c r="F41" s="490" t="s">
        <v>440</v>
      </c>
      <c r="G41" s="490" t="s">
        <v>441</v>
      </c>
      <c r="H41" s="490" t="s">
        <v>442</v>
      </c>
      <c r="I41" s="490" t="s">
        <v>443</v>
      </c>
      <c r="J41" s="490" t="s">
        <v>444</v>
      </c>
      <c r="K41" s="490" t="s">
        <v>445</v>
      </c>
      <c r="L41" s="490" t="s">
        <v>420</v>
      </c>
      <c r="Q41" s="548"/>
      <c r="R41" s="548"/>
      <c r="S41" s="493"/>
      <c r="T41" s="358"/>
      <c r="U41" s="568"/>
      <c r="V41" s="162"/>
      <c r="W41" s="569"/>
      <c r="X41" s="246" t="s">
        <v>446</v>
      </c>
      <c r="Y41" s="246" t="s">
        <v>447</v>
      </c>
      <c r="Z41" s="246" t="s">
        <v>448</v>
      </c>
      <c r="AA41" s="424" t="s">
        <v>449</v>
      </c>
      <c r="AB41" s="426"/>
      <c r="AC41" s="570"/>
      <c r="AD41" s="162"/>
      <c r="AE41" s="569"/>
      <c r="AF41" s="246" t="s">
        <v>446</v>
      </c>
      <c r="AG41" s="246" t="s">
        <v>447</v>
      </c>
      <c r="AH41" s="246" t="s">
        <v>448</v>
      </c>
      <c r="AI41" s="424" t="s">
        <v>449</v>
      </c>
      <c r="AJ41" s="426"/>
      <c r="AK41" s="570"/>
      <c r="AL41" s="571"/>
      <c r="AM41" s="157"/>
      <c r="AS41" s="50">
        <v>34</v>
      </c>
    </row>
    <row r="42" s="131" customFormat="1" ht="11.25" hidden="1" customHeight="1">
      <c r="A42" s="151"/>
      <c r="B42" s="151"/>
      <c r="C42" s="151"/>
      <c r="D42" s="151"/>
      <c r="E42" s="151"/>
      <c r="F42" s="151"/>
      <c r="G42" s="151"/>
      <c r="H42" s="151"/>
      <c r="I42" s="151"/>
      <c r="J42" s="151"/>
      <c r="K42" s="151"/>
      <c r="L42" s="490"/>
      <c r="M42" s="61"/>
      <c r="N42" s="61"/>
      <c r="O42" s="61"/>
      <c r="P42" s="572"/>
      <c r="Q42" s="573"/>
      <c r="R42" s="574">
        <v>1</v>
      </c>
      <c r="S42" s="575" t="s">
        <v>109</v>
      </c>
      <c r="T42" s="576" t="s">
        <v>110</v>
      </c>
      <c r="U42" s="577" t="str">
        <f ca="1">OFFSET(U42,0,-1)</f>
        <v>2</v>
      </c>
      <c r="V42" s="578">
        <f ca="1">OFFSET(V42,0,-1)+1</f>
        <v>3</v>
      </c>
      <c r="W42" s="578"/>
      <c r="X42" s="578">
        <f ca="1">OFFSET(X42,0,-1)+1</f>
        <v>1</v>
      </c>
      <c r="Y42" s="578">
        <f ca="1">OFFSET(Y42,0,-1)+1</f>
        <v>2</v>
      </c>
      <c r="Z42" s="578">
        <f ca="1">OFFSET(Z42,0,-1)+1</f>
        <v>3</v>
      </c>
      <c r="AA42" s="578">
        <f ca="1">OFFSET(AA42,0,-1)+1</f>
        <v>4</v>
      </c>
      <c r="AB42" s="578"/>
      <c r="AC42" s="578">
        <f ca="1">OFFSET(AC42,0,-2)+1</f>
        <v>5</v>
      </c>
      <c r="AD42" s="578">
        <f ca="1">OFFSET(AD42,0,-1)+1</f>
        <v>6</v>
      </c>
      <c r="AE42" s="578"/>
      <c r="AF42" s="578">
        <f ca="1">OFFSET(AF42,0,-1)+1</f>
        <v>1</v>
      </c>
      <c r="AG42" s="578">
        <f ca="1">OFFSET(AG42,0,-1)+1</f>
        <v>2</v>
      </c>
      <c r="AH42" s="578">
        <f ca="1">OFFSET(AH42,0,-1)+1</f>
        <v>3</v>
      </c>
      <c r="AI42" s="578">
        <f ca="1">OFFSET(AI42,0,-1)+1</f>
        <v>4</v>
      </c>
      <c r="AJ42" s="578"/>
      <c r="AK42" s="578">
        <f ca="1">OFFSET(AK42,0,-2)+1</f>
        <v>5</v>
      </c>
      <c r="AL42" s="577">
        <f ca="1">OFFSET(AL42,0,-1)</f>
        <v>5</v>
      </c>
      <c r="AM42" s="578">
        <f ca="1">OFFSET(AM42,0,-1)+1</f>
        <v>6</v>
      </c>
      <c r="AN42" s="57"/>
      <c r="AO42" s="57"/>
      <c r="AP42" s="57"/>
      <c r="AQ42" s="57"/>
      <c r="AR42" s="57"/>
      <c r="AS42" s="131">
        <v>0</v>
      </c>
    </row>
    <row r="43" ht="22" customHeight="1">
      <c r="A43" s="488" t="s">
        <v>186</v>
      </c>
      <c r="B43" s="488"/>
      <c r="C43" s="488"/>
      <c r="D43" s="488"/>
      <c r="E43" s="489">
        <v>1</v>
      </c>
      <c r="F43" s="488"/>
      <c r="G43" s="488"/>
      <c r="H43" s="488"/>
      <c r="I43" s="488"/>
      <c r="J43" s="488"/>
      <c r="K43" s="488"/>
      <c r="L43" s="490"/>
      <c r="M43" s="491"/>
      <c r="N43" s="491"/>
      <c r="O43" s="491"/>
      <c r="P43" s="60"/>
      <c r="Q43" s="143"/>
      <c r="R43" s="492"/>
      <c r="S43" s="493">
        <f>INDEX(PT_DIFFERENTIATION_NUM_NTAR,MATCH(A43,PT_DIFFERENTIATION_NTAR_ID,0))</f>
        <v>0</v>
      </c>
      <c r="T43" s="494" t="s">
        <v>123</v>
      </c>
      <c r="U43" s="495"/>
      <c r="V43" s="496"/>
      <c r="W43" s="497"/>
      <c r="X43" s="497"/>
      <c r="Y43" s="497"/>
      <c r="Z43" s="497"/>
      <c r="AA43" s="497"/>
      <c r="AB43" s="497"/>
      <c r="AC43" s="498"/>
      <c r="AD43" s="496" t="str">
        <f>INDEX(PT_DIFFERENTIATION_NTAR,MATCH(A43,PT_DIFFERENTIATION_NTAR_ID,0))</f>
        <v/>
      </c>
      <c r="AE43" s="497"/>
      <c r="AF43" s="497"/>
      <c r="AG43" s="497"/>
      <c r="AH43" s="497"/>
      <c r="AI43" s="497"/>
      <c r="AJ43" s="497"/>
      <c r="AK43" s="497"/>
      <c r="AL43" s="498"/>
      <c r="AM43" s="49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29"/>
      <c r="AP43" s="129" t="str">
        <f t="shared" si="17"/>
        <v xml:space="preserve">Наименование тарифа</v>
      </c>
      <c r="AQ43" s="129"/>
      <c r="AR43" s="129"/>
      <c r="AS43" s="50">
        <v>21</v>
      </c>
    </row>
    <row r="44" ht="22" customHeight="1">
      <c r="A44" s="488" t="s">
        <v>186</v>
      </c>
      <c r="B44" s="488" t="s">
        <v>187</v>
      </c>
      <c r="C44" s="488"/>
      <c r="D44" s="488"/>
      <c r="E44" s="500"/>
      <c r="F44" s="489">
        <v>1</v>
      </c>
      <c r="G44" s="488"/>
      <c r="H44" s="488"/>
      <c r="I44" s="488"/>
      <c r="J44" s="488"/>
      <c r="K44" s="488"/>
      <c r="L44" s="490"/>
      <c r="M44" s="491"/>
      <c r="N44" s="491"/>
      <c r="O44" s="491"/>
      <c r="P44" s="51"/>
      <c r="Q44" s="501"/>
      <c r="R44" s="502"/>
      <c r="S44" s="493" t="str">
        <f>INDEX(PT_DIFFERENTIATION_NUM_TER,MATCH(B44,PT_DIFFERENTIATION_TER_ID,0))</f>
        <v>.</v>
      </c>
      <c r="T44" s="503" t="s">
        <v>402</v>
      </c>
      <c r="U44" s="495"/>
      <c r="V44" s="496"/>
      <c r="W44" s="497"/>
      <c r="X44" s="497"/>
      <c r="Y44" s="497"/>
      <c r="Z44" s="497"/>
      <c r="AA44" s="497"/>
      <c r="AB44" s="497"/>
      <c r="AC44" s="498"/>
      <c r="AD44" s="496" t="str">
        <f>INDEX(PT_DIFFERENTIATION_TER,MATCH(B44,PT_DIFFERENTIATION_TER_ID,0))</f>
        <v/>
      </c>
      <c r="AE44" s="497"/>
      <c r="AF44" s="497"/>
      <c r="AG44" s="497"/>
      <c r="AH44" s="497"/>
      <c r="AI44" s="497"/>
      <c r="AJ44" s="497"/>
      <c r="AK44" s="497"/>
      <c r="AL44" s="498"/>
      <c r="AM44" s="499" t="s">
        <v>403</v>
      </c>
      <c r="AO44" s="129"/>
      <c r="AP44" s="129" t="str">
        <f t="shared" si="17"/>
        <v xml:space="preserve">Территория действия тарифа</v>
      </c>
      <c r="AQ44" s="129"/>
      <c r="AR44" s="129"/>
      <c r="AS44" s="50">
        <v>21</v>
      </c>
    </row>
    <row r="45" ht="24" customHeight="1">
      <c r="A45" s="488" t="s">
        <v>186</v>
      </c>
      <c r="B45" s="488" t="s">
        <v>187</v>
      </c>
      <c r="C45" s="488" t="s">
        <v>188</v>
      </c>
      <c r="D45" s="488"/>
      <c r="E45" s="500"/>
      <c r="F45" s="500"/>
      <c r="G45" s="489">
        <v>1</v>
      </c>
      <c r="H45" s="488"/>
      <c r="I45" s="488"/>
      <c r="J45" s="488"/>
      <c r="K45" s="488"/>
      <c r="L45" s="490"/>
      <c r="M45" s="491"/>
      <c r="N45" s="491"/>
      <c r="O45" s="491"/>
      <c r="P45" s="504"/>
      <c r="Q45" s="501"/>
      <c r="R45" s="502"/>
      <c r="S45" s="493" t="str">
        <f>INDEX(PT_DIFFERENTIATION_NUM_CS,MATCH(C45,PT_DIFFERENTIATION_CS_ID,0))</f>
        <v>..</v>
      </c>
      <c r="T45" s="505" t="s">
        <v>404</v>
      </c>
      <c r="U45" s="495"/>
      <c r="V45" s="496"/>
      <c r="W45" s="497"/>
      <c r="X45" s="497"/>
      <c r="Y45" s="497"/>
      <c r="Z45" s="497"/>
      <c r="AA45" s="497"/>
      <c r="AB45" s="497"/>
      <c r="AC45" s="498"/>
      <c r="AD45" s="496" t="str">
        <f>INDEX(PT_DIFFERENTIATION_CS,MATCH(C45,PT_DIFFERENTIATION_CS_ID,0))</f>
        <v/>
      </c>
      <c r="AE45" s="497"/>
      <c r="AF45" s="497"/>
      <c r="AG45" s="497"/>
      <c r="AH45" s="497"/>
      <c r="AI45" s="497"/>
      <c r="AJ45" s="497"/>
      <c r="AK45" s="497"/>
      <c r="AL45" s="498"/>
      <c r="AM45" s="499" t="s">
        <v>405</v>
      </c>
      <c r="AO45" s="129"/>
      <c r="AP45" s="129" t="str">
        <f t="shared" si="17"/>
        <v xml:space="preserve">Наименование системы теплоснабжения </v>
      </c>
      <c r="AQ45" s="129"/>
      <c r="AR45" s="129"/>
      <c r="AS45" s="50">
        <v>23</v>
      </c>
    </row>
    <row r="46" ht="22" customHeight="1">
      <c r="A46" s="488" t="s">
        <v>186</v>
      </c>
      <c r="B46" s="488" t="s">
        <v>187</v>
      </c>
      <c r="C46" s="488" t="s">
        <v>188</v>
      </c>
      <c r="D46" s="488" t="s">
        <v>189</v>
      </c>
      <c r="E46" s="500"/>
      <c r="F46" s="500"/>
      <c r="G46" s="500"/>
      <c r="H46" s="489">
        <v>1</v>
      </c>
      <c r="I46" s="488"/>
      <c r="J46" s="488"/>
      <c r="K46" s="488"/>
      <c r="L46" s="490"/>
      <c r="M46" s="491"/>
      <c r="N46" s="491"/>
      <c r="O46" s="491"/>
      <c r="P46" s="504"/>
      <c r="Q46" s="501"/>
      <c r="R46" s="502"/>
      <c r="S46" s="493" t="str">
        <f>INDEX(PT_DIFFERENTIATION_NUM_IST_TE,MATCH(D46,PT_DIFFERENTIATION_IST_TE_ID,0))</f>
        <v>...</v>
      </c>
      <c r="T46" s="506" t="s">
        <v>406</v>
      </c>
      <c r="U46" s="495"/>
      <c r="V46" s="496"/>
      <c r="W46" s="497"/>
      <c r="X46" s="497"/>
      <c r="Y46" s="497"/>
      <c r="Z46" s="497"/>
      <c r="AA46" s="497"/>
      <c r="AB46" s="497"/>
      <c r="AC46" s="498"/>
      <c r="AD46" s="496" t="str">
        <f>INDEX(PT_DIFFERENTIATION_IST_TE,MATCH(D46,PT_DIFFERENTIATION_IST_TE_ID,0))</f>
        <v/>
      </c>
      <c r="AE46" s="497"/>
      <c r="AF46" s="497"/>
      <c r="AG46" s="497"/>
      <c r="AH46" s="497"/>
      <c r="AI46" s="497"/>
      <c r="AJ46" s="497"/>
      <c r="AK46" s="497"/>
      <c r="AL46" s="498"/>
      <c r="AM46" s="499" t="s">
        <v>407</v>
      </c>
      <c r="AO46" s="129"/>
      <c r="AP46" s="129" t="str">
        <f t="shared" si="17"/>
        <v xml:space="preserve">Источник тепловой энергии  </v>
      </c>
      <c r="AQ46" s="129"/>
      <c r="AR46" s="129"/>
      <c r="AS46" s="50">
        <v>21</v>
      </c>
    </row>
    <row r="47" s="57" customFormat="1" ht="0" customHeight="1">
      <c r="A47" s="133" t="s">
        <v>186</v>
      </c>
      <c r="B47" s="133" t="s">
        <v>187</v>
      </c>
      <c r="C47" s="133" t="s">
        <v>188</v>
      </c>
      <c r="D47" s="133" t="s">
        <v>189</v>
      </c>
      <c r="E47" s="500"/>
      <c r="F47" s="500"/>
      <c r="G47" s="500"/>
      <c r="H47" s="500"/>
      <c r="I47" s="507" t="str">
        <f>S46&amp;".1"</f>
        <v>....1</v>
      </c>
      <c r="J47" s="133"/>
      <c r="K47" s="133"/>
      <c r="L47" s="212" t="s">
        <v>408</v>
      </c>
      <c r="M47" s="605"/>
      <c r="N47" s="605"/>
      <c r="O47" s="605"/>
      <c r="P47" s="132">
        <v>1</v>
      </c>
      <c r="Q47" s="132"/>
      <c r="R47" s="508"/>
      <c r="S47" s="362"/>
      <c r="T47" s="595"/>
      <c r="U47" s="596"/>
      <c r="V47" s="597"/>
      <c r="W47" s="598"/>
      <c r="X47" s="598"/>
      <c r="Y47" s="598"/>
      <c r="Z47" s="598"/>
      <c r="AA47" s="598"/>
      <c r="AB47" s="598"/>
      <c r="AC47" s="599"/>
      <c r="AD47" s="597"/>
      <c r="AE47" s="598"/>
      <c r="AF47" s="598"/>
      <c r="AG47" s="598"/>
      <c r="AH47" s="598"/>
      <c r="AI47" s="598"/>
      <c r="AJ47" s="598"/>
      <c r="AK47" s="598"/>
      <c r="AL47" s="599"/>
      <c r="AM47" s="600"/>
      <c r="AO47" s="129"/>
      <c r="AP47" s="129" t="str">
        <f t="shared" si="17"/>
        <v/>
      </c>
      <c r="AQ47" s="129"/>
      <c r="AR47" s="129"/>
      <c r="AS47" s="57">
        <v>0</v>
      </c>
    </row>
    <row r="48" ht="22" customHeight="1">
      <c r="A48" s="488" t="s">
        <v>186</v>
      </c>
      <c r="B48" s="488" t="s">
        <v>187</v>
      </c>
      <c r="C48" s="488" t="s">
        <v>188</v>
      </c>
      <c r="D48" s="488" t="s">
        <v>189</v>
      </c>
      <c r="E48" s="500"/>
      <c r="F48" s="500"/>
      <c r="G48" s="500"/>
      <c r="H48" s="500"/>
      <c r="I48" s="512"/>
      <c r="J48" s="507" t="str">
        <f>S46&amp;".1"</f>
        <v>....1</v>
      </c>
      <c r="K48" s="488"/>
      <c r="L48" s="490" t="s">
        <v>411</v>
      </c>
      <c r="P48" s="132"/>
      <c r="Q48" s="132">
        <v>1</v>
      </c>
      <c r="R48" s="513"/>
      <c r="S48" s="493" t="str">
        <f>$J48</f>
        <v>....1</v>
      </c>
      <c r="T48" s="514" t="s">
        <v>412</v>
      </c>
      <c r="U48" s="495"/>
      <c r="V48" s="440"/>
      <c r="W48" s="510"/>
      <c r="X48" s="510"/>
      <c r="Y48" s="510"/>
      <c r="Z48" s="510"/>
      <c r="AA48" s="510"/>
      <c r="AB48" s="510"/>
      <c r="AC48" s="511"/>
      <c r="AD48" s="440"/>
      <c r="AE48" s="510"/>
      <c r="AF48" s="510"/>
      <c r="AG48" s="510"/>
      <c r="AH48" s="510"/>
      <c r="AI48" s="510"/>
      <c r="AJ48" s="510"/>
      <c r="AK48" s="510"/>
      <c r="AL48" s="511"/>
      <c r="AM48" s="499" t="s">
        <v>413</v>
      </c>
      <c r="AO48" s="129"/>
      <c r="AP48" s="129" t="str">
        <f t="shared" si="17"/>
        <v xml:space="preserve">Группа потребителей</v>
      </c>
      <c r="AQ48" s="129"/>
      <c r="AR48" s="129"/>
      <c r="AS48" s="50">
        <v>21</v>
      </c>
    </row>
    <row r="49" ht="22" customHeight="1">
      <c r="A49" s="488" t="s">
        <v>186</v>
      </c>
      <c r="B49" s="488" t="s">
        <v>187</v>
      </c>
      <c r="C49" s="488" t="s">
        <v>188</v>
      </c>
      <c r="D49" s="488" t="s">
        <v>189</v>
      </c>
      <c r="E49" s="500"/>
      <c r="F49" s="500"/>
      <c r="G49" s="500"/>
      <c r="H49" s="500"/>
      <c r="I49" s="512"/>
      <c r="J49" s="512"/>
      <c r="K49" s="507" t="str">
        <f>J48&amp;".1"</f>
        <v>....1.1</v>
      </c>
      <c r="L49" s="490" t="s">
        <v>414</v>
      </c>
      <c r="P49" s="132"/>
      <c r="Q49" s="132"/>
      <c r="R49" s="513">
        <v>1</v>
      </c>
      <c r="S49" s="493" t="str">
        <f>$K49</f>
        <v>....1.1</v>
      </c>
      <c r="T49" s="515"/>
      <c r="U49" s="495"/>
      <c r="V49" s="516"/>
      <c r="W49" s="517"/>
      <c r="X49" s="516"/>
      <c r="Y49" s="518"/>
      <c r="Z49" s="519"/>
      <c r="AA49" s="224" t="s">
        <v>67</v>
      </c>
      <c r="AB49" s="519"/>
      <c r="AC49" s="224" t="s">
        <v>67</v>
      </c>
      <c r="AD49" s="516"/>
      <c r="AE49" s="517"/>
      <c r="AF49" s="516"/>
      <c r="AG49" s="518"/>
      <c r="AH49" s="519"/>
      <c r="AI49" s="224" t="s">
        <v>67</v>
      </c>
      <c r="AJ49" s="579"/>
      <c r="AK49" s="224" t="s">
        <v>67</v>
      </c>
      <c r="AL49" s="580"/>
      <c r="AM49" s="520" t="s">
        <v>452</v>
      </c>
      <c r="AN49" s="57" t="e">
        <f>STRCHECKDATE(V50:AL50)</f>
        <v>#NAME?</v>
      </c>
      <c r="AO49" s="129"/>
      <c r="AP49" s="129" t="str">
        <f t="shared" si="17"/>
        <v/>
      </c>
      <c r="AQ49" s="129"/>
      <c r="AR49" s="129"/>
      <c r="AS49" s="50">
        <v>21</v>
      </c>
    </row>
    <row r="50" ht="0" customHeight="1">
      <c r="A50" s="488" t="s">
        <v>186</v>
      </c>
      <c r="B50" s="488" t="s">
        <v>187</v>
      </c>
      <c r="C50" s="488" t="s">
        <v>188</v>
      </c>
      <c r="D50" s="488" t="s">
        <v>189</v>
      </c>
      <c r="E50" s="500"/>
      <c r="F50" s="500"/>
      <c r="G50" s="500"/>
      <c r="H50" s="500"/>
      <c r="I50" s="512"/>
      <c r="J50" s="512"/>
      <c r="K50" s="507"/>
      <c r="L50" s="490"/>
      <c r="P50" s="132"/>
      <c r="Q50" s="132"/>
      <c r="R50" s="513"/>
      <c r="S50" s="467"/>
      <c r="T50" s="495"/>
      <c r="U50" s="495"/>
      <c r="V50" s="517"/>
      <c r="W50" s="517"/>
      <c r="X50" s="517"/>
      <c r="Y50" s="521" t="str">
        <f>Z49&amp;"-"&amp;AB49</f>
        <v>-</v>
      </c>
      <c r="Z50" s="522"/>
      <c r="AA50" s="224"/>
      <c r="AB50" s="522"/>
      <c r="AC50" s="224"/>
      <c r="AD50" s="517"/>
      <c r="AE50" s="517"/>
      <c r="AF50" s="517"/>
      <c r="AG50" s="521" t="str">
        <f>AH49&amp;"-"&amp;AJ49</f>
        <v>-</v>
      </c>
      <c r="AH50" s="522"/>
      <c r="AI50" s="224"/>
      <c r="AJ50" s="581"/>
      <c r="AK50" s="224"/>
      <c r="AL50" s="582"/>
      <c r="AM50" s="523"/>
      <c r="AO50" s="129"/>
      <c r="AP50" s="129" t="str">
        <f t="shared" si="17"/>
        <v/>
      </c>
      <c r="AQ50" s="129"/>
      <c r="AR50" s="129"/>
      <c r="AS50" s="50">
        <v>0</v>
      </c>
    </row>
    <row r="51" ht="11.5" customHeight="1">
      <c r="A51" s="488" t="s">
        <v>186</v>
      </c>
      <c r="B51" s="488" t="s">
        <v>187</v>
      </c>
      <c r="C51" s="488" t="s">
        <v>188</v>
      </c>
      <c r="D51" s="488" t="s">
        <v>189</v>
      </c>
      <c r="E51" s="500"/>
      <c r="F51" s="500"/>
      <c r="G51" s="500"/>
      <c r="H51" s="500"/>
      <c r="I51" s="512"/>
      <c r="J51" s="507"/>
      <c r="K51" s="488"/>
      <c r="L51" s="490"/>
      <c r="P51" s="132"/>
      <c r="Q51" s="132"/>
      <c r="R51" s="508"/>
      <c r="S51" s="524"/>
      <c r="T51" s="528" t="s">
        <v>416</v>
      </c>
      <c r="U51" s="214"/>
      <c r="V51" s="214"/>
      <c r="W51" s="214"/>
      <c r="X51" s="214"/>
      <c r="Y51" s="214"/>
      <c r="Z51" s="214"/>
      <c r="AA51" s="214"/>
      <c r="AB51" s="214"/>
      <c r="AC51" s="214"/>
      <c r="AD51" s="214"/>
      <c r="AE51" s="214"/>
      <c r="AF51" s="214"/>
      <c r="AG51" s="214"/>
      <c r="AH51" s="214"/>
      <c r="AI51" s="214"/>
      <c r="AJ51" s="214"/>
      <c r="AK51" s="214"/>
      <c r="AL51" s="526"/>
      <c r="AM51" s="527"/>
      <c r="AO51" s="129"/>
      <c r="AP51" s="129" t="str">
        <f t="shared" si="17"/>
        <v xml:space="preserve">Добавить вид теплоносителя (параметры теплоносителя)</v>
      </c>
      <c r="AQ51" s="129"/>
      <c r="AR51" s="129"/>
      <c r="AS51" s="50">
        <v>11</v>
      </c>
    </row>
    <row r="52" ht="11.5" customHeight="1">
      <c r="A52" s="488" t="s">
        <v>186</v>
      </c>
      <c r="B52" s="488" t="s">
        <v>187</v>
      </c>
      <c r="C52" s="488" t="s">
        <v>188</v>
      </c>
      <c r="D52" s="488" t="s">
        <v>189</v>
      </c>
      <c r="E52" s="500"/>
      <c r="F52" s="500"/>
      <c r="G52" s="500"/>
      <c r="H52" s="500"/>
      <c r="I52" s="507"/>
      <c r="J52" s="488"/>
      <c r="K52" s="488"/>
      <c r="L52" s="490"/>
      <c r="P52" s="132"/>
      <c r="Q52" s="132"/>
      <c r="R52" s="508"/>
      <c r="S52" s="524"/>
      <c r="T52" s="532" t="s">
        <v>417</v>
      </c>
      <c r="U52" s="214"/>
      <c r="V52" s="214"/>
      <c r="W52" s="214"/>
      <c r="X52" s="214"/>
      <c r="Y52" s="214"/>
      <c r="Z52" s="214"/>
      <c r="AA52" s="214"/>
      <c r="AB52" s="214"/>
      <c r="AC52" s="529"/>
      <c r="AD52" s="214"/>
      <c r="AE52" s="214"/>
      <c r="AF52" s="214"/>
      <c r="AG52" s="214"/>
      <c r="AH52" s="214"/>
      <c r="AI52" s="214"/>
      <c r="AJ52" s="214"/>
      <c r="AK52" s="529"/>
      <c r="AL52" s="214"/>
      <c r="AM52" s="530"/>
      <c r="AO52" s="129"/>
      <c r="AP52" s="129" t="str">
        <f t="shared" si="17"/>
        <v xml:space="preserve">Добавить группу потребителей</v>
      </c>
      <c r="AQ52" s="129"/>
      <c r="AR52" s="129"/>
      <c r="AS52" s="50">
        <v>11</v>
      </c>
    </row>
    <row r="53" ht="0" customHeight="1">
      <c r="A53" s="488" t="s">
        <v>186</v>
      </c>
      <c r="B53" s="488" t="s">
        <v>187</v>
      </c>
      <c r="C53" s="488" t="s">
        <v>188</v>
      </c>
      <c r="D53" s="488" t="s">
        <v>189</v>
      </c>
      <c r="E53" s="500"/>
      <c r="F53" s="500"/>
      <c r="G53" s="500"/>
      <c r="H53" s="489"/>
      <c r="I53" s="488"/>
      <c r="J53" s="488"/>
      <c r="K53" s="488"/>
      <c r="L53" s="490"/>
      <c r="M53" s="491"/>
      <c r="N53" s="491"/>
      <c r="O53" s="53"/>
      <c r="P53" s="143"/>
      <c r="Q53" s="531"/>
      <c r="R53" s="492"/>
      <c r="S53" s="601"/>
      <c r="T53" s="602"/>
      <c r="U53" s="603"/>
      <c r="V53" s="603"/>
      <c r="W53" s="603"/>
      <c r="X53" s="603"/>
      <c r="Y53" s="603"/>
      <c r="Z53" s="603"/>
      <c r="AA53" s="603"/>
      <c r="AB53" s="603"/>
      <c r="AC53" s="603"/>
      <c r="AD53" s="603"/>
      <c r="AE53" s="603"/>
      <c r="AF53" s="603"/>
      <c r="AG53" s="603"/>
      <c r="AH53" s="603"/>
      <c r="AI53" s="603"/>
      <c r="AJ53" s="603"/>
      <c r="AK53" s="603"/>
      <c r="AL53" s="603"/>
      <c r="AM53" s="604"/>
      <c r="AO53" s="129"/>
      <c r="AP53" s="129" t="str">
        <f t="shared" si="17"/>
        <v/>
      </c>
      <c r="AQ53" s="129"/>
      <c r="AR53" s="129"/>
      <c r="AS53" s="50">
        <v>0</v>
      </c>
    </row>
    <row r="54" s="57" customFormat="1" ht="0" customHeight="1">
      <c r="A54" s="133" t="s">
        <v>186</v>
      </c>
      <c r="B54" s="133" t="s">
        <v>187</v>
      </c>
      <c r="C54" s="133" t="s">
        <v>188</v>
      </c>
      <c r="D54" s="133"/>
      <c r="E54" s="500"/>
      <c r="F54" s="500"/>
      <c r="G54" s="489"/>
      <c r="H54" s="133"/>
      <c r="I54" s="133"/>
      <c r="J54" s="133"/>
      <c r="K54" s="133"/>
      <c r="L54" s="212"/>
      <c r="M54" s="473"/>
      <c r="N54" s="473"/>
      <c r="P54" s="167"/>
      <c r="Q54" s="533"/>
      <c r="R54" s="167"/>
      <c r="S54" s="538"/>
      <c r="T54" s="541" t="s">
        <v>211</v>
      </c>
      <c r="U54" s="540"/>
      <c r="V54" s="540"/>
      <c r="W54" s="540"/>
      <c r="X54" s="540"/>
      <c r="Y54" s="540"/>
      <c r="Z54" s="540"/>
      <c r="AA54" s="540"/>
      <c r="AB54" s="540"/>
      <c r="AC54" s="540"/>
      <c r="AD54" s="540"/>
      <c r="AE54" s="540"/>
      <c r="AF54" s="540"/>
      <c r="AG54" s="540"/>
      <c r="AH54" s="540"/>
      <c r="AI54" s="540"/>
      <c r="AJ54" s="540"/>
      <c r="AK54" s="540"/>
      <c r="AL54" s="540"/>
      <c r="AM54" s="540"/>
      <c r="AO54" s="129"/>
      <c r="AP54" s="129" t="str">
        <f t="shared" si="17"/>
        <v xml:space="preserve">Добавить источник для дифференциации</v>
      </c>
      <c r="AQ54" s="129"/>
      <c r="AR54" s="129"/>
      <c r="AS54" s="57">
        <v>0</v>
      </c>
    </row>
    <row r="55" s="57" customFormat="1" ht="0" customHeight="1">
      <c r="A55" s="133" t="s">
        <v>186</v>
      </c>
      <c r="B55" s="133" t="s">
        <v>187</v>
      </c>
      <c r="C55" s="133"/>
      <c r="D55" s="133"/>
      <c r="E55" s="500"/>
      <c r="F55" s="489"/>
      <c r="G55" s="133"/>
      <c r="H55" s="133"/>
      <c r="I55" s="133"/>
      <c r="J55" s="133"/>
      <c r="K55" s="133"/>
      <c r="L55" s="212"/>
      <c r="M55" s="537"/>
      <c r="N55" s="537"/>
      <c r="P55" s="167"/>
      <c r="Q55" s="533"/>
      <c r="R55" s="167"/>
      <c r="S55" s="538"/>
      <c r="T55" s="541" t="s">
        <v>212</v>
      </c>
      <c r="U55" s="540"/>
      <c r="V55" s="540"/>
      <c r="W55" s="540"/>
      <c r="X55" s="540"/>
      <c r="Y55" s="540"/>
      <c r="Z55" s="540"/>
      <c r="AA55" s="540"/>
      <c r="AB55" s="540"/>
      <c r="AC55" s="540"/>
      <c r="AD55" s="540"/>
      <c r="AE55" s="540"/>
      <c r="AF55" s="540"/>
      <c r="AG55" s="540"/>
      <c r="AH55" s="540"/>
      <c r="AI55" s="540"/>
      <c r="AJ55" s="540"/>
      <c r="AK55" s="540"/>
      <c r="AL55" s="540"/>
      <c r="AM55" s="540"/>
      <c r="AO55" s="129"/>
      <c r="AP55" s="129" t="str">
        <f t="shared" si="17"/>
        <v xml:space="preserve">Добавить централизованную систему для дифференциации</v>
      </c>
      <c r="AQ55" s="129"/>
      <c r="AR55" s="129"/>
      <c r="AS55" s="57">
        <v>0</v>
      </c>
    </row>
    <row r="56" s="57" customFormat="1" ht="0" customHeight="1">
      <c r="A56" s="133" t="s">
        <v>186</v>
      </c>
      <c r="B56" s="133"/>
      <c r="C56" s="133"/>
      <c r="D56" s="133"/>
      <c r="E56" s="489"/>
      <c r="F56" s="133"/>
      <c r="G56" s="133"/>
      <c r="H56" s="133"/>
      <c r="I56" s="133"/>
      <c r="J56" s="133"/>
      <c r="K56" s="133"/>
      <c r="L56" s="212"/>
      <c r="M56" s="537"/>
      <c r="N56" s="537"/>
      <c r="O56" s="57"/>
      <c r="P56" s="167"/>
      <c r="Q56" s="533"/>
      <c r="R56" s="167"/>
      <c r="S56" s="538"/>
      <c r="T56" s="541" t="s">
        <v>213</v>
      </c>
      <c r="U56" s="540"/>
      <c r="V56" s="540"/>
      <c r="W56" s="540"/>
      <c r="X56" s="540"/>
      <c r="Y56" s="540"/>
      <c r="Z56" s="540"/>
      <c r="AA56" s="540"/>
      <c r="AB56" s="540"/>
      <c r="AC56" s="540"/>
      <c r="AD56" s="540"/>
      <c r="AE56" s="540"/>
      <c r="AF56" s="540"/>
      <c r="AG56" s="540"/>
      <c r="AH56" s="540"/>
      <c r="AI56" s="540"/>
      <c r="AJ56" s="540"/>
      <c r="AK56" s="540"/>
      <c r="AL56" s="540"/>
      <c r="AM56" s="540"/>
      <c r="AO56" s="129"/>
      <c r="AP56" s="129" t="str">
        <f t="shared" si="17"/>
        <v xml:space="preserve">Добавить территорию для дифференциации</v>
      </c>
      <c r="AQ56" s="129"/>
      <c r="AR56" s="129"/>
      <c r="AS56" s="57">
        <v>0</v>
      </c>
    </row>
    <row r="57" s="57" customFormat="1" ht="4.2000000000000002" customHeight="1">
      <c r="A57" s="133"/>
      <c r="B57" s="133"/>
      <c r="C57" s="133"/>
      <c r="D57" s="133"/>
      <c r="E57" s="133"/>
      <c r="F57" s="133"/>
      <c r="G57" s="133"/>
      <c r="H57" s="133"/>
      <c r="I57" s="133"/>
      <c r="J57" s="133"/>
      <c r="K57" s="133"/>
      <c r="L57" s="212"/>
      <c r="M57" s="537"/>
      <c r="N57" s="537"/>
      <c r="P57" s="167"/>
      <c r="Q57" s="533"/>
      <c r="R57" s="167"/>
      <c r="S57" s="538"/>
      <c r="T57" s="541" t="s">
        <v>214</v>
      </c>
      <c r="U57" s="540"/>
      <c r="V57" s="540"/>
      <c r="W57" s="540"/>
      <c r="X57" s="540"/>
      <c r="Y57" s="540"/>
      <c r="Z57" s="540"/>
      <c r="AA57" s="540"/>
      <c r="AB57" s="540"/>
      <c r="AC57" s="540"/>
      <c r="AD57" s="540"/>
      <c r="AE57" s="540"/>
      <c r="AF57" s="540"/>
      <c r="AG57" s="540"/>
      <c r="AH57" s="540"/>
      <c r="AI57" s="540"/>
      <c r="AJ57" s="540"/>
      <c r="AK57" s="540"/>
      <c r="AL57" s="540"/>
      <c r="AM57" s="540"/>
      <c r="AO57" s="129"/>
      <c r="AP57" s="129" t="str">
        <f t="shared" si="17"/>
        <v xml:space="preserve">Добавить наименование тарифа</v>
      </c>
      <c r="AQ57" s="129"/>
      <c r="AR57" s="129"/>
      <c r="AS57" s="57">
        <v>4</v>
      </c>
    </row>
    <row r="58" ht="11.5" customHeight="1">
      <c r="M58" s="53"/>
      <c r="N58" s="53"/>
      <c r="O58" s="53"/>
      <c r="P58" s="50"/>
      <c r="Q58" s="50"/>
      <c r="R58" s="50"/>
      <c r="S58" s="50"/>
      <c r="AN58" s="50"/>
      <c r="AO58" s="50"/>
      <c r="AP58" s="50"/>
      <c r="AQ58" s="50"/>
      <c r="AR58" s="50"/>
      <c r="AS58" s="50">
        <v>11</v>
      </c>
    </row>
    <row r="59" ht="14.65" customHeight="1">
      <c r="O59" s="53"/>
      <c r="S59" s="485"/>
      <c r="T59" s="583"/>
      <c r="U59" s="583"/>
      <c r="V59" s="583"/>
      <c r="W59" s="583"/>
      <c r="X59" s="583"/>
      <c r="Y59" s="583"/>
      <c r="Z59" s="583"/>
      <c r="AA59" s="583"/>
      <c r="AB59" s="583"/>
      <c r="AC59" s="583"/>
      <c r="AD59" s="583"/>
      <c r="AE59" s="583"/>
      <c r="AF59" s="583"/>
      <c r="AG59" s="583"/>
      <c r="AH59" s="583"/>
      <c r="AI59" s="583"/>
      <c r="AJ59" s="583"/>
      <c r="AK59" s="583"/>
      <c r="AL59" s="583"/>
      <c r="AM59" s="583"/>
      <c r="AS59" s="50">
        <v>14</v>
      </c>
    </row>
    <row r="60" ht="14.65" customHeight="1">
      <c r="O60" s="53"/>
      <c r="T60" s="583"/>
      <c r="U60" s="583"/>
      <c r="V60" s="583"/>
      <c r="W60" s="583"/>
      <c r="X60" s="583"/>
      <c r="Y60" s="583"/>
      <c r="Z60" s="583"/>
      <c r="AA60" s="583"/>
      <c r="AB60" s="583"/>
      <c r="AC60" s="583"/>
      <c r="AD60" s="583"/>
      <c r="AE60" s="583"/>
      <c r="AF60" s="583"/>
      <c r="AG60" s="583"/>
      <c r="AH60" s="583"/>
      <c r="AI60" s="583"/>
      <c r="AJ60" s="583"/>
      <c r="AK60" s="583"/>
      <c r="AL60" s="583"/>
      <c r="AM60" s="583"/>
      <c r="AS60" s="50">
        <v>14</v>
      </c>
    </row>
    <row r="61" ht="14.65" customHeight="1">
      <c r="O61" s="53"/>
      <c r="T61" s="583"/>
      <c r="U61" s="583"/>
      <c r="V61" s="583"/>
      <c r="W61" s="583"/>
      <c r="X61" s="583"/>
      <c r="Y61" s="583"/>
      <c r="Z61" s="583"/>
      <c r="AA61" s="583"/>
      <c r="AB61" s="583"/>
      <c r="AC61" s="583"/>
      <c r="AD61" s="583"/>
      <c r="AE61" s="583"/>
      <c r="AF61" s="583"/>
      <c r="AG61" s="583"/>
      <c r="AH61" s="583"/>
      <c r="AI61" s="583"/>
      <c r="AJ61" s="583"/>
      <c r="AK61" s="583"/>
      <c r="AL61" s="583"/>
      <c r="AM61" s="583"/>
      <c r="AS61" s="50">
        <v>14</v>
      </c>
    </row>
    <row r="62" ht="14.65" customHeight="1">
      <c r="O62" s="53"/>
      <c r="AS62" s="50">
        <v>14</v>
      </c>
    </row>
    <row r="63" ht="14.65" customHeight="1">
      <c r="O63" s="53"/>
      <c r="S63" s="485"/>
      <c r="T63" s="303"/>
      <c r="U63" s="583"/>
      <c r="V63" s="583"/>
      <c r="W63" s="583"/>
      <c r="X63" s="583"/>
      <c r="Y63" s="583"/>
      <c r="Z63" s="583"/>
      <c r="AA63" s="583"/>
      <c r="AB63" s="583"/>
      <c r="AC63" s="583"/>
      <c r="AD63" s="583"/>
      <c r="AE63" s="583"/>
      <c r="AF63" s="583"/>
      <c r="AG63" s="583"/>
      <c r="AH63" s="583"/>
      <c r="AI63" s="583"/>
      <c r="AJ63" s="583"/>
      <c r="AK63" s="583"/>
      <c r="AL63" s="583"/>
      <c r="AM63" s="583"/>
      <c r="AS63" s="50">
        <v>14</v>
      </c>
    </row>
    <row r="64" ht="14.65" customHeight="1">
      <c r="O64" s="53"/>
      <c r="T64" s="583"/>
      <c r="U64" s="583"/>
      <c r="V64" s="583"/>
      <c r="W64" s="583"/>
      <c r="X64" s="583"/>
      <c r="Y64" s="583"/>
      <c r="Z64" s="583"/>
      <c r="AA64" s="583"/>
      <c r="AB64" s="583"/>
      <c r="AC64" s="583"/>
      <c r="AD64" s="583"/>
      <c r="AE64" s="583"/>
      <c r="AF64" s="583"/>
      <c r="AG64" s="583"/>
      <c r="AH64" s="583"/>
      <c r="AI64" s="583"/>
      <c r="AJ64" s="583"/>
      <c r="AK64" s="583"/>
      <c r="AL64" s="583"/>
      <c r="AM64" s="583"/>
      <c r="AS64" s="50">
        <v>14</v>
      </c>
    </row>
    <row r="65" ht="14.65" customHeight="1">
      <c r="T65" s="583"/>
      <c r="U65" s="583"/>
      <c r="V65" s="583"/>
      <c r="W65" s="583"/>
      <c r="X65" s="583"/>
      <c r="Y65" s="583"/>
      <c r="Z65" s="583"/>
      <c r="AA65" s="583"/>
      <c r="AB65" s="583"/>
      <c r="AC65" s="583"/>
      <c r="AD65" s="583"/>
      <c r="AE65" s="583"/>
      <c r="AF65" s="583"/>
      <c r="AG65" s="583"/>
      <c r="AH65" s="583"/>
      <c r="AI65" s="583"/>
      <c r="AJ65" s="583"/>
      <c r="AK65" s="583"/>
      <c r="AL65" s="583"/>
      <c r="AM65" s="583"/>
      <c r="AS65" s="50">
        <v>14</v>
      </c>
    </row>
    <row r="66" ht="22.5" hidden="1" customHeight="1">
      <c r="A66" s="53" t="s">
        <v>83</v>
      </c>
      <c r="B66" s="53">
        <v>0</v>
      </c>
      <c r="C66" s="53">
        <v>0</v>
      </c>
      <c r="D66" s="53">
        <v>0</v>
      </c>
      <c r="E66" s="53">
        <v>0</v>
      </c>
      <c r="F66" s="53">
        <v>0</v>
      </c>
      <c r="G66" s="53">
        <v>0</v>
      </c>
      <c r="H66" s="53">
        <v>0</v>
      </c>
      <c r="I66" s="53">
        <v>0</v>
      </c>
      <c r="J66" s="53">
        <v>0</v>
      </c>
      <c r="K66" s="53">
        <v>0</v>
      </c>
      <c r="L66" s="113">
        <v>0</v>
      </c>
      <c r="M66" s="61">
        <v>0</v>
      </c>
      <c r="N66" s="61">
        <v>0</v>
      </c>
      <c r="O66" s="61">
        <v>0</v>
      </c>
      <c r="P66" s="60">
        <v>0</v>
      </c>
      <c r="Q66" s="487">
        <v>3</v>
      </c>
      <c r="R66" s="487">
        <v>3</v>
      </c>
      <c r="S66" s="86">
        <v>12</v>
      </c>
      <c r="T66" s="50">
        <v>31</v>
      </c>
      <c r="U66" s="50">
        <v>0</v>
      </c>
      <c r="V66" s="50">
        <v>0</v>
      </c>
      <c r="W66" s="50">
        <v>0</v>
      </c>
      <c r="X66" s="50">
        <v>0</v>
      </c>
      <c r="Y66" s="50">
        <v>0</v>
      </c>
      <c r="Z66" s="50">
        <v>0</v>
      </c>
      <c r="AA66" s="50">
        <v>0</v>
      </c>
      <c r="AB66" s="50">
        <v>0</v>
      </c>
      <c r="AC66" s="50">
        <v>0</v>
      </c>
      <c r="AD66" s="50">
        <v>24</v>
      </c>
      <c r="AE66" s="50">
        <v>0</v>
      </c>
      <c r="AF66" s="50">
        <v>24</v>
      </c>
      <c r="AG66" s="50">
        <v>24</v>
      </c>
      <c r="AH66" s="50">
        <v>11</v>
      </c>
      <c r="AI66" s="50">
        <v>3</v>
      </c>
      <c r="AJ66" s="50">
        <v>11</v>
      </c>
      <c r="AK66" s="50">
        <v>0</v>
      </c>
      <c r="AL66" s="50">
        <v>4</v>
      </c>
      <c r="AM66" s="50">
        <v>115</v>
      </c>
      <c r="AN66" s="57">
        <v>10</v>
      </c>
      <c r="AO66" s="57">
        <v>10</v>
      </c>
      <c r="AP66" s="57">
        <v>10</v>
      </c>
      <c r="AQ66" s="57">
        <v>10</v>
      </c>
      <c r="AR66" s="57">
        <v>10</v>
      </c>
      <c r="AS66" s="50">
        <v>23</v>
      </c>
    </row>
  </sheetData>
  <sheetProtection autoFilter="0" deleteColumns="1" deleteRows="1" formatCells="1" formatColumns="0" formatRows="0" insertColumns="1" insertHyperlinks="1" insertRows="1" objects="0" pivotTables="1" scenarios="0" selectLockedCells="0" selectUnlockedCells="0" sheet="1" sort="1"/>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K8:K9"/>
    <mergeCell ref="Z8:Z9"/>
    <mergeCell ref="AA8:AA9"/>
    <mergeCell ref="AB8:AB9"/>
    <mergeCell ref="AC8:AC9"/>
    <mergeCell ref="AH8:AH9"/>
    <mergeCell ref="AI8:AI9"/>
    <mergeCell ref="AJ8:AJ9"/>
    <mergeCell ref="AK8:AK9"/>
    <mergeCell ref="AM8:AM10"/>
    <mergeCell ref="AH17:AH18"/>
    <mergeCell ref="AI17:AI18"/>
    <mergeCell ref="AJ17:AJ18"/>
    <mergeCell ref="AK17:AK18"/>
    <mergeCell ref="S26:AJ26"/>
    <mergeCell ref="S27:AJ27"/>
    <mergeCell ref="S29:T29"/>
    <mergeCell ref="V29:AB29"/>
    <mergeCell ref="AD29:AJ29"/>
    <mergeCell ref="S30:T30"/>
    <mergeCell ref="V30:AB30"/>
    <mergeCell ref="AD30:AJ30"/>
    <mergeCell ref="S31:T31"/>
    <mergeCell ref="V31:AB31"/>
    <mergeCell ref="AD31:AJ31"/>
    <mergeCell ref="S32:T32"/>
    <mergeCell ref="V32:AB32"/>
    <mergeCell ref="AD32:AJ32"/>
    <mergeCell ref="S34:T34"/>
    <mergeCell ref="V34:AB34"/>
    <mergeCell ref="AD34:AJ34"/>
    <mergeCell ref="S35:T35"/>
    <mergeCell ref="V35:AB35"/>
    <mergeCell ref="AD35:AJ35"/>
    <mergeCell ref="V37:AC37"/>
    <mergeCell ref="AD37:AK37"/>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AH40:AJ40"/>
    <mergeCell ref="AA41:AB41"/>
    <mergeCell ref="AI41:AJ41"/>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AM49:AM51"/>
    <mergeCell ref="T59:AM59"/>
    <mergeCell ref="T60:AM60"/>
    <mergeCell ref="T61:AM61"/>
    <mergeCell ref="T63:AM63"/>
    <mergeCell ref="T64:AM64"/>
    <mergeCell ref="T65:AM65"/>
  </mergeCells>
  <dataValidations count="4" disablePrompts="0">
    <dataValidation sqref="S131123:AM131129 S196659:AM196665 S262195:AM262201 S327731:AM327737 S393267:AM393273 S458803:AM458809 S524339:AM524345 S589875:AM589881 S655411:AM655417 S720947:AM720953 S786483:AM786489 S852019:AM852025 S917555:AM917561 S983091:AM983097 S65587:AM65593" type="none" allowBlank="1" errorStyle="stop" imeMode="noControl" operator="between" showDropDown="0" showErrorMessage="0" showInputMessage="0"/>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type="none" allowBlank="1" errorStyle="stop" imeMode="noControl" operator="between" promptTitle="checkPeriodRange" showDropDown="0" showErrorMessage="0" showInputMessage="0"/>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68009A-00E7-42F0-B6FC-003700FE00A4}" type="list" allowBlank="1" error="Выберите значение из списка" errorStyle="stop" errorTitle="Ошибка" imeMode="noControl" operator="between" showDropDown="0"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 xr:uid="{00FE0018-00AD-4894-AAC7-00A200B80022}"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 xr:uid="{007D0031-004C-4151-877F-00B6003F0089}" type="textLength" allowBlank="1" error="Допускается ввод не более 900 символов!" errorStyle="stop" errorTitle="Ошибка" imeMode="noControl" operator="lessThanOrEqual" showDropDown="0"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 xr:uid="{00D800A1-00D5-4C34-B14A-002D00FF001C}" type="list" allowBlank="1" error="Выберите значение из списка" errorStyle="stop" errorTitle="Ошибка" imeMode="noControl" operator="between" showDropDown="0" showErrorMessage="1" showInputMessage="1">
          <x14:formula1>
            <xm:f>kind_of_heat_transfer</xm:f>
          </x14:formula1>
          <xm:sqref>T65585 T131121 T196657 T262193 T327729 T393265 T458801 T524337 T589873 T655409 T720945 T786481 T852017 T917553 T983089</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zoomScale="90" workbookViewId="0">
      <pane xSplit="32" ySplit="48" topLeftCell="AG49" activePane="bottomRight" state="frozen"/>
      <selection activeCell="A1" activeCellId="0" sqref="A1"/>
    </sheetView>
  </sheetViews>
  <sheetFormatPr defaultColWidth="10.57421875" defaultRowHeight="14.25" customHeight="1"/>
  <cols>
    <col hidden="1" min="1" max="1" style="50" width="10.57421875"/>
    <col customWidth="1" hidden="1" min="2" max="2" style="50" width="11.00390625"/>
    <col hidden="1" min="3" max="3" style="50" width="10.57421875"/>
    <col customWidth="1" hidden="1" min="4" max="4" style="50" width="11.8515625"/>
    <col customWidth="1" hidden="1" min="5" max="5" style="50" width="10.00390625"/>
    <col customWidth="1" hidden="1" min="6" max="6" style="50" width="8.7109375"/>
    <col customWidth="1" hidden="1" min="7" max="7" style="50" width="7.57421875"/>
    <col customWidth="1" hidden="1" min="8" max="8" style="50" width="11.421875"/>
    <col customWidth="1" hidden="1" min="9" max="9" style="50" width="12.00390625"/>
    <col customWidth="1" hidden="1" min="10" max="10" style="50" width="9.8515625"/>
    <col customWidth="1" hidden="1" min="11" max="12" style="50" width="11.421875"/>
    <col customWidth="1" hidden="1" min="13" max="13" style="51" width="19.140625"/>
    <col customWidth="1" hidden="1" min="14" max="15" style="60" width="12.28125"/>
    <col customWidth="1" hidden="1" min="16" max="16" style="60" width="23.421875"/>
    <col customWidth="1" hidden="1" min="17" max="17" style="60" width="3.7109375"/>
    <col customWidth="1" min="18" max="20" style="487" width="3.00390625"/>
    <col customWidth="1" min="21" max="21" style="86" width="12.00390625"/>
    <col customWidth="1" min="22" max="22" style="50" width="31.00390625"/>
    <col customWidth="1" min="23" max="23" style="50" width="0.140625"/>
    <col customWidth="1" hidden="1" min="24" max="28" style="50" width="21.7109375"/>
    <col customWidth="1" hidden="1" min="29" max="29" style="50" width="11.7109375"/>
    <col customWidth="1" hidden="1" min="30" max="30" style="50" width="3.7109375"/>
    <col customWidth="1" hidden="1" min="31" max="31" style="50" width="11.7109375"/>
    <col customWidth="1" hidden="1" min="32" max="32" style="50" width="8.57421875"/>
    <col customWidth="1" min="33" max="33" style="50" width="21.7109375"/>
    <col customWidth="1" min="34" max="37" style="50" width="21.00390625"/>
    <col customWidth="1" min="38" max="38" style="50" width="11.00390625"/>
    <col customWidth="1" min="39" max="39" style="50" width="3.7109375"/>
    <col customWidth="1" min="40" max="40" style="50" width="11.00390625"/>
    <col customWidth="1" hidden="1" min="41" max="41" style="50" width="8.57421875"/>
    <col customWidth="1" min="42" max="42" style="50" width="4.00390625"/>
    <col customWidth="1" min="43" max="43" style="50" width="115.00390625"/>
    <col customWidth="1" min="44" max="48" style="57" width="10.00390625"/>
    <col hidden="1" min="49" max="49" style="50" width="10.57421875"/>
  </cols>
  <sheetData>
    <row r="1" ht="22.5" hidden="1" customHeight="1">
      <c r="AB1" s="50"/>
      <c r="AC1" s="50"/>
      <c r="AK1" s="50"/>
      <c r="AL1" s="50"/>
      <c r="AW1" s="50" t="s">
        <v>14</v>
      </c>
    </row>
    <row r="2" ht="21" hidden="1" customHeight="1">
      <c r="A2" s="264"/>
      <c r="B2" s="264"/>
      <c r="C2" s="264"/>
      <c r="D2" s="264"/>
      <c r="E2" s="584">
        <v>1</v>
      </c>
      <c r="F2" s="264"/>
      <c r="G2" s="264"/>
      <c r="H2" s="264"/>
      <c r="I2" s="264"/>
      <c r="J2" s="264"/>
      <c r="K2" s="264"/>
      <c r="L2" s="264"/>
      <c r="M2" s="333"/>
      <c r="N2" s="86"/>
      <c r="O2" s="86"/>
      <c r="P2" s="86"/>
      <c r="Q2" s="60"/>
      <c r="R2" s="143"/>
      <c r="S2" s="143"/>
      <c r="T2" s="492"/>
      <c r="U2" s="493" t="e">
        <f>INDEX(PT_DIFFERENTIATION_NUM_NTAR,MATCH(A2,PT_DIFFERENTIATION_NTAR_ID,0))</f>
        <v>#VALUE!</v>
      </c>
      <c r="V2" s="494" t="s">
        <v>123</v>
      </c>
      <c r="W2" s="495"/>
      <c r="X2" s="496"/>
      <c r="Y2" s="497"/>
      <c r="Z2" s="497"/>
      <c r="AA2" s="497"/>
      <c r="AB2" s="497"/>
      <c r="AC2" s="497"/>
      <c r="AD2" s="497"/>
      <c r="AE2" s="497"/>
      <c r="AF2" s="498"/>
      <c r="AG2" s="496" t="e">
        <f>INDEX(PT_DIFFERENTIATION_NTAR,MATCH(A2,PT_DIFFERENTIATION_NTAR_ID,0))</f>
        <v>#VALUE!</v>
      </c>
      <c r="AH2" s="497"/>
      <c r="AI2" s="497"/>
      <c r="AJ2" s="497"/>
      <c r="AK2" s="497"/>
      <c r="AL2" s="497"/>
      <c r="AM2" s="497"/>
      <c r="AN2" s="497"/>
      <c r="AO2" s="497"/>
      <c r="AP2" s="498"/>
      <c r="AQ2" s="499" t="s">
        <v>401</v>
      </c>
      <c r="AS2" s="129"/>
      <c r="AT2" s="129" t="str">
        <f t="shared" ref="AT2:AT8" si="18">IF(V2="","",V2)</f>
        <v xml:space="preserve">Наименование тарифа</v>
      </c>
      <c r="AU2" s="129"/>
      <c r="AV2" s="129"/>
      <c r="AW2" s="50">
        <v>0</v>
      </c>
    </row>
    <row r="3" ht="21" hidden="1" customHeight="1">
      <c r="A3" s="264"/>
      <c r="B3" s="264"/>
      <c r="C3" s="264"/>
      <c r="D3" s="264"/>
      <c r="E3" s="585"/>
      <c r="F3" s="584">
        <v>1</v>
      </c>
      <c r="G3" s="264"/>
      <c r="H3" s="264"/>
      <c r="I3" s="264"/>
      <c r="J3" s="264"/>
      <c r="K3" s="264"/>
      <c r="L3" s="264"/>
      <c r="M3" s="333"/>
      <c r="N3" s="86"/>
      <c r="O3" s="86"/>
      <c r="P3" s="86"/>
      <c r="Q3" s="51"/>
      <c r="R3" s="501"/>
      <c r="S3" s="50"/>
      <c r="T3" s="502"/>
      <c r="U3" s="493" t="e">
        <f>INDEX(PT_DIFFERENTIATION_NUM_TER,MATCH(B3,PT_DIFFERENTIATION_TER_ID,0))</f>
        <v>#VALUE!</v>
      </c>
      <c r="V3" s="503" t="s">
        <v>402</v>
      </c>
      <c r="W3" s="495"/>
      <c r="X3" s="496"/>
      <c r="Y3" s="497"/>
      <c r="Z3" s="497"/>
      <c r="AA3" s="497"/>
      <c r="AB3" s="497"/>
      <c r="AC3" s="497"/>
      <c r="AD3" s="497"/>
      <c r="AE3" s="497"/>
      <c r="AF3" s="498"/>
      <c r="AG3" s="496" t="e">
        <f>INDEX(PT_DIFFERENTIATION_TER,MATCH(B3,PT_DIFFERENTIATION_TER_ID,0))</f>
        <v>#VALUE!</v>
      </c>
      <c r="AH3" s="497"/>
      <c r="AI3" s="497"/>
      <c r="AJ3" s="497"/>
      <c r="AK3" s="497"/>
      <c r="AL3" s="497"/>
      <c r="AM3" s="497"/>
      <c r="AN3" s="497"/>
      <c r="AO3" s="497"/>
      <c r="AP3" s="498"/>
      <c r="AQ3" s="499" t="s">
        <v>403</v>
      </c>
      <c r="AS3" s="129"/>
      <c r="AT3" s="129" t="str">
        <f t="shared" si="18"/>
        <v xml:space="preserve">Территория действия тарифа</v>
      </c>
      <c r="AU3" s="129"/>
      <c r="AV3" s="129"/>
      <c r="AW3" s="50">
        <v>0</v>
      </c>
    </row>
    <row r="4" ht="22.5" hidden="1" customHeight="1">
      <c r="A4" s="264"/>
      <c r="B4" s="264"/>
      <c r="C4" s="264"/>
      <c r="D4" s="264"/>
      <c r="E4" s="585"/>
      <c r="F4" s="585"/>
      <c r="G4" s="584">
        <v>1</v>
      </c>
      <c r="H4" s="264"/>
      <c r="I4" s="264"/>
      <c r="J4" s="264"/>
      <c r="K4" s="264"/>
      <c r="L4" s="264"/>
      <c r="M4" s="333"/>
      <c r="N4" s="86"/>
      <c r="O4" s="86"/>
      <c r="P4" s="86"/>
      <c r="Q4" s="504"/>
      <c r="R4" s="501"/>
      <c r="S4" s="50"/>
      <c r="T4" s="502"/>
      <c r="U4" s="493" t="e">
        <f>INDEX(PT_DIFFERENTIATION_NUM_CS,MATCH(C4,PT_DIFFERENTIATION_CS_ID,0))</f>
        <v>#VALUE!</v>
      </c>
      <c r="V4" s="505" t="s">
        <v>404</v>
      </c>
      <c r="W4" s="495"/>
      <c r="X4" s="496"/>
      <c r="Y4" s="497"/>
      <c r="Z4" s="497"/>
      <c r="AA4" s="497"/>
      <c r="AB4" s="497"/>
      <c r="AC4" s="497"/>
      <c r="AD4" s="497"/>
      <c r="AE4" s="497"/>
      <c r="AF4" s="498"/>
      <c r="AG4" s="496" t="e">
        <f>INDEX(PT_DIFFERENTIATION_CS,MATCH(C4,PT_DIFFERENTIATION_CS_ID,0))</f>
        <v>#VALUE!</v>
      </c>
      <c r="AH4" s="497"/>
      <c r="AI4" s="497"/>
      <c r="AJ4" s="497"/>
      <c r="AK4" s="497"/>
      <c r="AL4" s="497"/>
      <c r="AM4" s="497"/>
      <c r="AN4" s="497"/>
      <c r="AO4" s="497"/>
      <c r="AP4" s="498"/>
      <c r="AQ4" s="499" t="s">
        <v>405</v>
      </c>
      <c r="AS4" s="129"/>
      <c r="AT4" s="129" t="str">
        <f t="shared" si="18"/>
        <v xml:space="preserve">Наименование системы теплоснабжения </v>
      </c>
      <c r="AU4" s="129"/>
      <c r="AV4" s="129"/>
      <c r="AW4" s="50">
        <v>0</v>
      </c>
    </row>
    <row r="5" ht="21" hidden="1" customHeight="1">
      <c r="A5" s="264"/>
      <c r="B5" s="264"/>
      <c r="C5" s="264"/>
      <c r="D5" s="264"/>
      <c r="E5" s="585"/>
      <c r="F5" s="585"/>
      <c r="G5" s="585"/>
      <c r="H5" s="584">
        <v>1</v>
      </c>
      <c r="I5" s="264"/>
      <c r="J5" s="264"/>
      <c r="K5" s="264"/>
      <c r="L5" s="264"/>
      <c r="M5" s="333"/>
      <c r="N5" s="86"/>
      <c r="O5" s="86"/>
      <c r="P5" s="86"/>
      <c r="Q5" s="504"/>
      <c r="R5" s="501"/>
      <c r="S5" s="50"/>
      <c r="T5" s="502"/>
      <c r="U5" s="493" t="e">
        <f>INDEX(PT_DIFFERENTIATION_NUM_IST_TE,MATCH(D5,PT_DIFFERENTIATION_IST_TE_ID,0))</f>
        <v>#VALUE!</v>
      </c>
      <c r="V5" s="506" t="s">
        <v>406</v>
      </c>
      <c r="W5" s="495"/>
      <c r="X5" s="496"/>
      <c r="Y5" s="497"/>
      <c r="Z5" s="497"/>
      <c r="AA5" s="497"/>
      <c r="AB5" s="497"/>
      <c r="AC5" s="497"/>
      <c r="AD5" s="497"/>
      <c r="AE5" s="497"/>
      <c r="AF5" s="498"/>
      <c r="AG5" s="496" t="e">
        <f>INDEX(PT_DIFFERENTIATION_IST_TE,MATCH(D5,PT_DIFFERENTIATION_IST_TE_ID,0))</f>
        <v>#VALUE!</v>
      </c>
      <c r="AH5" s="497"/>
      <c r="AI5" s="497"/>
      <c r="AJ5" s="497"/>
      <c r="AK5" s="497"/>
      <c r="AL5" s="497"/>
      <c r="AM5" s="497"/>
      <c r="AN5" s="497"/>
      <c r="AO5" s="497"/>
      <c r="AP5" s="498"/>
      <c r="AQ5" s="499" t="s">
        <v>407</v>
      </c>
      <c r="AS5" s="129"/>
      <c r="AT5" s="129" t="str">
        <f t="shared" si="18"/>
        <v xml:space="preserve">Источник тепловой энергии  </v>
      </c>
      <c r="AU5" s="129"/>
      <c r="AV5" s="129"/>
      <c r="AW5" s="50">
        <v>0</v>
      </c>
    </row>
    <row r="6" ht="14.25" hidden="1" customHeight="1">
      <c r="A6" s="264"/>
      <c r="B6" s="264"/>
      <c r="C6" s="264"/>
      <c r="D6" s="264"/>
      <c r="E6" s="585"/>
      <c r="F6" s="585"/>
      <c r="G6" s="585"/>
      <c r="H6" s="585"/>
      <c r="I6" s="157" t="e">
        <f>U5&amp;".1"</f>
        <v>#VALUE!</v>
      </c>
      <c r="J6" s="264"/>
      <c r="K6" s="264"/>
      <c r="L6" s="264"/>
      <c r="M6" s="333" t="s">
        <v>408</v>
      </c>
      <c r="N6" s="50"/>
      <c r="Q6" s="132">
        <v>1</v>
      </c>
      <c r="R6" s="132"/>
      <c r="S6" s="132"/>
      <c r="T6" s="508"/>
      <c r="U6" s="362"/>
      <c r="V6" s="595"/>
      <c r="W6" s="596"/>
      <c r="X6" s="597"/>
      <c r="Y6" s="598"/>
      <c r="Z6" s="598"/>
      <c r="AA6" s="598"/>
      <c r="AB6" s="598"/>
      <c r="AC6" s="598"/>
      <c r="AD6" s="598"/>
      <c r="AE6" s="598"/>
      <c r="AF6" s="599"/>
      <c r="AG6" s="597"/>
      <c r="AH6" s="598"/>
      <c r="AI6" s="598"/>
      <c r="AJ6" s="598"/>
      <c r="AK6" s="598"/>
      <c r="AL6" s="598"/>
      <c r="AM6" s="598"/>
      <c r="AN6" s="598"/>
      <c r="AO6" s="598"/>
      <c r="AP6" s="599"/>
      <c r="AQ6" s="600"/>
      <c r="AS6" s="129"/>
      <c r="AT6" s="129" t="str">
        <f t="shared" si="18"/>
        <v/>
      </c>
      <c r="AU6" s="129"/>
      <c r="AV6" s="129"/>
      <c r="AW6" s="50">
        <v>0</v>
      </c>
    </row>
    <row r="7" ht="21" hidden="1" customHeight="1">
      <c r="A7" s="264"/>
      <c r="B7" s="264"/>
      <c r="C7" s="264"/>
      <c r="D7" s="264"/>
      <c r="E7" s="585"/>
      <c r="F7" s="585"/>
      <c r="G7" s="585"/>
      <c r="H7" s="585"/>
      <c r="I7" s="73"/>
      <c r="J7" s="157" t="e">
        <f>I6&amp;".1"</f>
        <v>#VALUE!</v>
      </c>
      <c r="K7" s="264"/>
      <c r="L7" s="264"/>
      <c r="M7" s="333" t="s">
        <v>411</v>
      </c>
      <c r="N7" s="50"/>
      <c r="O7" s="50"/>
      <c r="Q7" s="132"/>
      <c r="R7" s="132">
        <v>1</v>
      </c>
      <c r="S7" s="57"/>
      <c r="T7" s="513"/>
      <c r="U7" s="493" t="e">
        <f>$J7</f>
        <v>#VALUE!</v>
      </c>
      <c r="V7" s="514" t="s">
        <v>412</v>
      </c>
      <c r="W7" s="495"/>
      <c r="X7" s="440"/>
      <c r="Y7" s="510"/>
      <c r="Z7" s="510"/>
      <c r="AA7" s="510"/>
      <c r="AB7" s="510"/>
      <c r="AC7" s="455"/>
      <c r="AD7" s="455"/>
      <c r="AE7" s="455"/>
      <c r="AF7" s="623"/>
      <c r="AG7" s="440"/>
      <c r="AH7" s="510"/>
      <c r="AI7" s="510"/>
      <c r="AJ7" s="510"/>
      <c r="AK7" s="510"/>
      <c r="AL7" s="510"/>
      <c r="AM7" s="510"/>
      <c r="AN7" s="510"/>
      <c r="AO7" s="510"/>
      <c r="AP7" s="511"/>
      <c r="AQ7" s="499" t="s">
        <v>413</v>
      </c>
      <c r="AS7" s="129"/>
      <c r="AT7" s="129" t="str">
        <f t="shared" si="18"/>
        <v xml:space="preserve">Группа потребителей</v>
      </c>
      <c r="AU7" s="129"/>
      <c r="AV7" s="129"/>
      <c r="AW7" s="50">
        <v>0</v>
      </c>
    </row>
    <row r="8" ht="21" hidden="1" customHeight="1">
      <c r="A8" s="264"/>
      <c r="B8" s="264"/>
      <c r="C8" s="264"/>
      <c r="D8" s="264"/>
      <c r="E8" s="585"/>
      <c r="F8" s="585"/>
      <c r="G8" s="585"/>
      <c r="H8" s="585"/>
      <c r="I8" s="73"/>
      <c r="J8" s="73"/>
      <c r="K8" s="157" t="e">
        <f>J7&amp;".1"</f>
        <v>#VALUE!</v>
      </c>
      <c r="L8" s="51"/>
      <c r="M8" s="333" t="s">
        <v>414</v>
      </c>
      <c r="N8" s="50"/>
      <c r="O8" s="50"/>
      <c r="P8" s="50"/>
      <c r="Q8" s="132"/>
      <c r="R8" s="132"/>
      <c r="S8" s="132">
        <v>1</v>
      </c>
      <c r="T8" s="513"/>
      <c r="U8" s="493" t="e">
        <f>$K8</f>
        <v>#VALUE!</v>
      </c>
      <c r="V8" s="515"/>
      <c r="W8" s="495"/>
      <c r="X8" s="516"/>
      <c r="Y8" s="516"/>
      <c r="Z8" s="516"/>
      <c r="AA8" s="516"/>
      <c r="AB8" s="624"/>
      <c r="AC8" s="519"/>
      <c r="AD8" s="224" t="s">
        <v>67</v>
      </c>
      <c r="AE8" s="519"/>
      <c r="AF8" s="224" t="s">
        <v>67</v>
      </c>
      <c r="AG8" s="625"/>
      <c r="AH8" s="516"/>
      <c r="AI8" s="516"/>
      <c r="AJ8" s="516"/>
      <c r="AK8" s="518"/>
      <c r="AL8" s="519"/>
      <c r="AM8" s="224" t="s">
        <v>67</v>
      </c>
      <c r="AN8" s="519"/>
      <c r="AO8" s="224" t="s">
        <v>67</v>
      </c>
      <c r="AP8" s="517"/>
      <c r="AQ8" s="626" t="s">
        <v>453</v>
      </c>
      <c r="AR8" s="57" t="e">
        <f>STRCHECKDATE(X10:AP10)</f>
        <v>#NAME?</v>
      </c>
      <c r="AS8" s="129"/>
      <c r="AT8" s="129" t="str">
        <f t="shared" si="18"/>
        <v/>
      </c>
      <c r="AU8" s="129"/>
      <c r="AV8" s="129"/>
      <c r="AW8" s="50">
        <v>0</v>
      </c>
    </row>
    <row r="9" ht="21" hidden="1" customHeight="1">
      <c r="A9" s="264"/>
      <c r="B9" s="264"/>
      <c r="C9" s="264"/>
      <c r="D9" s="264"/>
      <c r="E9" s="585"/>
      <c r="F9" s="585"/>
      <c r="G9" s="585"/>
      <c r="H9" s="585"/>
      <c r="I9" s="73"/>
      <c r="J9" s="73"/>
      <c r="K9" s="73"/>
      <c r="L9" s="157" t="e">
        <f>K8&amp;".1"</f>
        <v>#VALUE!</v>
      </c>
      <c r="M9" s="333"/>
      <c r="N9" s="50"/>
      <c r="O9" s="50"/>
      <c r="P9" s="50"/>
      <c r="Q9" s="132"/>
      <c r="R9" s="132"/>
      <c r="S9" s="132"/>
      <c r="T9" s="513"/>
      <c r="U9" s="493" t="e">
        <f>$L9</f>
        <v>#VALUE!</v>
      </c>
      <c r="V9" s="627"/>
      <c r="W9" s="495"/>
      <c r="X9" s="517"/>
      <c r="Y9" s="516"/>
      <c r="Z9" s="516"/>
      <c r="AA9" s="516"/>
      <c r="AB9" s="624"/>
      <c r="AC9" s="522"/>
      <c r="AD9" s="224"/>
      <c r="AE9" s="522"/>
      <c r="AF9" s="224"/>
      <c r="AG9" s="625"/>
      <c r="AH9" s="516"/>
      <c r="AI9" s="516"/>
      <c r="AJ9" s="516"/>
      <c r="AK9" s="518"/>
      <c r="AL9" s="522"/>
      <c r="AM9" s="224"/>
      <c r="AN9" s="522"/>
      <c r="AO9" s="224"/>
      <c r="AP9" s="517"/>
      <c r="AQ9" s="520" t="s">
        <v>454</v>
      </c>
      <c r="AS9" s="129"/>
      <c r="AT9" s="129"/>
      <c r="AU9" s="129"/>
      <c r="AV9" s="129"/>
      <c r="AW9" s="50">
        <v>0</v>
      </c>
    </row>
    <row r="10" ht="14.25" hidden="1" customHeight="1">
      <c r="A10" s="264"/>
      <c r="B10" s="264"/>
      <c r="C10" s="264"/>
      <c r="D10" s="264"/>
      <c r="E10" s="585"/>
      <c r="F10" s="585"/>
      <c r="G10" s="585"/>
      <c r="H10" s="585"/>
      <c r="I10" s="73"/>
      <c r="J10" s="73"/>
      <c r="K10" s="73"/>
      <c r="L10" s="157"/>
      <c r="M10" s="333"/>
      <c r="N10" s="50"/>
      <c r="O10" s="50"/>
      <c r="P10" s="50"/>
      <c r="Q10" s="132"/>
      <c r="R10" s="132"/>
      <c r="S10" s="132"/>
      <c r="T10" s="513"/>
      <c r="U10" s="467"/>
      <c r="V10" s="495"/>
      <c r="W10" s="495"/>
      <c r="X10" s="517"/>
      <c r="Y10" s="517"/>
      <c r="Z10" s="517"/>
      <c r="AA10" s="517"/>
      <c r="AB10" s="628" t="str">
        <f>AC8&amp;"-"&amp;AE8</f>
        <v>-</v>
      </c>
      <c r="AC10" s="522"/>
      <c r="AD10" s="224"/>
      <c r="AE10" s="522"/>
      <c r="AF10" s="224"/>
      <c r="AG10" s="629"/>
      <c r="AH10" s="517"/>
      <c r="AI10" s="517"/>
      <c r="AJ10" s="517"/>
      <c r="AK10" s="521" t="str">
        <f>AL8&amp;"-"&amp;AN8</f>
        <v>-</v>
      </c>
      <c r="AL10" s="522"/>
      <c r="AM10" s="224"/>
      <c r="AN10" s="522"/>
      <c r="AO10" s="224"/>
      <c r="AP10" s="517"/>
      <c r="AQ10" s="523"/>
      <c r="AS10" s="129"/>
      <c r="AT10" s="129" t="str">
        <f>IF(V10="","",V10)</f>
        <v/>
      </c>
      <c r="AU10" s="129"/>
      <c r="AV10" s="129"/>
      <c r="AW10" s="50">
        <v>0</v>
      </c>
    </row>
    <row r="11" ht="11.25" hidden="1" customHeight="1">
      <c r="A11" s="264"/>
      <c r="B11" s="264"/>
      <c r="C11" s="264"/>
      <c r="D11" s="264"/>
      <c r="E11" s="585"/>
      <c r="F11" s="585"/>
      <c r="G11" s="585"/>
      <c r="H11" s="585"/>
      <c r="I11" s="73"/>
      <c r="J11" s="73"/>
      <c r="K11" s="157"/>
      <c r="L11" s="264"/>
      <c r="M11" s="333"/>
      <c r="N11" s="50"/>
      <c r="O11" s="50"/>
      <c r="P11" s="50"/>
      <c r="Q11" s="132"/>
      <c r="R11" s="132"/>
      <c r="S11" s="132"/>
      <c r="T11" s="513"/>
      <c r="U11" s="524"/>
      <c r="V11" s="525" t="s">
        <v>455</v>
      </c>
      <c r="W11" s="630"/>
      <c r="X11" s="631"/>
      <c r="Y11" s="631"/>
      <c r="Z11" s="631"/>
      <c r="AA11" s="631"/>
      <c r="AB11" s="632"/>
      <c r="AC11" s="522"/>
      <c r="AD11" s="224"/>
      <c r="AE11" s="522"/>
      <c r="AF11" s="224"/>
      <c r="AG11" s="631"/>
      <c r="AH11" s="631"/>
      <c r="AI11" s="631"/>
      <c r="AJ11" s="631"/>
      <c r="AK11" s="632"/>
      <c r="AL11" s="522"/>
      <c r="AM11" s="224"/>
      <c r="AN11" s="522"/>
      <c r="AO11" s="224"/>
      <c r="AP11" s="633"/>
      <c r="AQ11" s="523"/>
      <c r="AS11" s="129"/>
      <c r="AT11" s="129"/>
      <c r="AU11" s="129"/>
      <c r="AV11" s="129"/>
      <c r="AW11" s="50">
        <v>0</v>
      </c>
    </row>
    <row r="12" ht="15" hidden="1" customHeight="1">
      <c r="A12" s="264"/>
      <c r="B12" s="264"/>
      <c r="C12" s="264"/>
      <c r="D12" s="264"/>
      <c r="E12" s="585"/>
      <c r="F12" s="585"/>
      <c r="G12" s="585"/>
      <c r="H12" s="585"/>
      <c r="I12" s="73"/>
      <c r="J12" s="157"/>
      <c r="K12" s="264"/>
      <c r="L12" s="264"/>
      <c r="M12" s="333"/>
      <c r="N12" s="50"/>
      <c r="O12" s="50"/>
      <c r="Q12" s="132"/>
      <c r="R12" s="132"/>
      <c r="S12" s="132"/>
      <c r="T12" s="508"/>
      <c r="U12" s="524"/>
      <c r="V12" s="528" t="s">
        <v>416</v>
      </c>
      <c r="W12" s="214"/>
      <c r="X12" s="214"/>
      <c r="Y12" s="214"/>
      <c r="Z12" s="214"/>
      <c r="AA12" s="214"/>
      <c r="AB12" s="214"/>
      <c r="AC12" s="634"/>
      <c r="AD12" s="634"/>
      <c r="AE12" s="634"/>
      <c r="AF12" s="634"/>
      <c r="AG12" s="214"/>
      <c r="AH12" s="214"/>
      <c r="AI12" s="214"/>
      <c r="AJ12" s="214"/>
      <c r="AK12" s="214"/>
      <c r="AL12" s="214"/>
      <c r="AM12" s="214"/>
      <c r="AN12" s="214"/>
      <c r="AO12" s="214"/>
      <c r="AP12" s="526"/>
      <c r="AQ12" s="527"/>
      <c r="AS12" s="129"/>
      <c r="AT12" s="129" t="str">
        <f t="shared" ref="AT12:AT65" si="19">IF(V12="","",V12)</f>
        <v xml:space="preserve">Добавить вид теплоносителя (параметры теплоносителя)</v>
      </c>
      <c r="AU12" s="129"/>
      <c r="AV12" s="129"/>
      <c r="AW12" s="50">
        <v>0</v>
      </c>
    </row>
    <row r="13" ht="11.25" hidden="1" customHeight="1">
      <c r="A13" s="264"/>
      <c r="B13" s="264"/>
      <c r="C13" s="264"/>
      <c r="D13" s="264"/>
      <c r="E13" s="585"/>
      <c r="F13" s="585"/>
      <c r="G13" s="585"/>
      <c r="H13" s="585"/>
      <c r="I13" s="157"/>
      <c r="J13" s="264"/>
      <c r="K13" s="264"/>
      <c r="L13" s="264"/>
      <c r="M13" s="333"/>
      <c r="N13" s="50"/>
      <c r="Q13" s="132"/>
      <c r="R13" s="132"/>
      <c r="S13" s="132"/>
      <c r="T13" s="508"/>
      <c r="U13" s="524"/>
      <c r="V13" s="532" t="s">
        <v>417</v>
      </c>
      <c r="W13" s="214"/>
      <c r="X13" s="214"/>
      <c r="Y13" s="214"/>
      <c r="Z13" s="214"/>
      <c r="AA13" s="214"/>
      <c r="AB13" s="214"/>
      <c r="AC13" s="214"/>
      <c r="AD13" s="214"/>
      <c r="AE13" s="214"/>
      <c r="AF13" s="529"/>
      <c r="AG13" s="214"/>
      <c r="AH13" s="214"/>
      <c r="AI13" s="214"/>
      <c r="AJ13" s="214"/>
      <c r="AK13" s="214"/>
      <c r="AL13" s="214"/>
      <c r="AM13" s="214"/>
      <c r="AN13" s="214"/>
      <c r="AO13" s="529"/>
      <c r="AP13" s="214"/>
      <c r="AQ13" s="530"/>
      <c r="AS13" s="129"/>
      <c r="AT13" s="129" t="str">
        <f t="shared" si="19"/>
        <v xml:space="preserve">Добавить группу потребителей</v>
      </c>
      <c r="AU13" s="129"/>
      <c r="AV13" s="129"/>
      <c r="AW13" s="50">
        <v>0</v>
      </c>
    </row>
    <row r="14" ht="14.25" hidden="1" customHeight="1">
      <c r="A14" s="264"/>
      <c r="B14" s="264"/>
      <c r="C14" s="264"/>
      <c r="D14" s="264"/>
      <c r="E14" s="585"/>
      <c r="F14" s="585"/>
      <c r="G14" s="585"/>
      <c r="H14" s="584"/>
      <c r="I14" s="264"/>
      <c r="J14" s="264"/>
      <c r="K14" s="264"/>
      <c r="L14" s="264"/>
      <c r="M14" s="333"/>
      <c r="N14" s="86"/>
      <c r="O14" s="86"/>
      <c r="P14" s="50"/>
      <c r="Q14" s="143"/>
      <c r="R14" s="531"/>
      <c r="S14" s="492"/>
      <c r="T14" s="143"/>
      <c r="U14" s="601"/>
      <c r="V14" s="602"/>
      <c r="W14" s="603"/>
      <c r="X14" s="603"/>
      <c r="Y14" s="603"/>
      <c r="Z14" s="603"/>
      <c r="AA14" s="603"/>
      <c r="AB14" s="603"/>
      <c r="AC14" s="603"/>
      <c r="AD14" s="603"/>
      <c r="AE14" s="603"/>
      <c r="AF14" s="603"/>
      <c r="AG14" s="603"/>
      <c r="AH14" s="603"/>
      <c r="AI14" s="603"/>
      <c r="AJ14" s="603"/>
      <c r="AK14" s="603"/>
      <c r="AL14" s="603"/>
      <c r="AM14" s="603"/>
      <c r="AN14" s="603"/>
      <c r="AO14" s="603"/>
      <c r="AP14" s="603"/>
      <c r="AQ14" s="604"/>
      <c r="AS14" s="129"/>
      <c r="AT14" s="129" t="str">
        <f t="shared" si="19"/>
        <v/>
      </c>
      <c r="AU14" s="129"/>
      <c r="AV14" s="129"/>
      <c r="AW14" s="50">
        <v>0</v>
      </c>
    </row>
    <row r="15" s="57" customFormat="1" ht="14.25" hidden="1" customHeight="1">
      <c r="A15" s="586"/>
      <c r="B15" s="586"/>
      <c r="C15" s="586"/>
      <c r="D15" s="586"/>
      <c r="E15" s="585"/>
      <c r="F15" s="585"/>
      <c r="G15" s="584"/>
      <c r="H15" s="586"/>
      <c r="I15" s="586"/>
      <c r="J15" s="586"/>
      <c r="K15" s="586"/>
      <c r="L15" s="586"/>
      <c r="M15" s="587"/>
      <c r="N15" s="588"/>
      <c r="O15" s="588"/>
      <c r="P15" s="131"/>
      <c r="Q15" s="167"/>
      <c r="R15" s="533"/>
      <c r="S15" s="167"/>
      <c r="T15" s="167"/>
      <c r="U15" s="534"/>
      <c r="V15" s="535" t="s">
        <v>211</v>
      </c>
      <c r="W15" s="536"/>
      <c r="X15" s="536"/>
      <c r="Y15" s="536"/>
      <c r="Z15" s="536"/>
      <c r="AA15" s="536"/>
      <c r="AB15" s="536"/>
      <c r="AC15" s="536"/>
      <c r="AD15" s="536"/>
      <c r="AE15" s="536"/>
      <c r="AF15" s="536"/>
      <c r="AG15" s="536"/>
      <c r="AH15" s="536"/>
      <c r="AI15" s="536"/>
      <c r="AJ15" s="536"/>
      <c r="AK15" s="536"/>
      <c r="AL15" s="536"/>
      <c r="AM15" s="536"/>
      <c r="AN15" s="536"/>
      <c r="AO15" s="536"/>
      <c r="AP15" s="536"/>
      <c r="AQ15" s="536"/>
      <c r="AS15" s="129"/>
      <c r="AT15" s="129" t="str">
        <f t="shared" si="19"/>
        <v xml:space="preserve">Добавить источник для дифференциации</v>
      </c>
      <c r="AU15" s="129"/>
      <c r="AV15" s="129"/>
      <c r="AW15" s="57">
        <v>0</v>
      </c>
    </row>
    <row r="16" s="57" customFormat="1" ht="14.25" hidden="1" customHeight="1">
      <c r="A16" s="586"/>
      <c r="B16" s="586"/>
      <c r="C16" s="586"/>
      <c r="D16" s="586"/>
      <c r="E16" s="585"/>
      <c r="F16" s="584"/>
      <c r="G16" s="586"/>
      <c r="H16" s="586"/>
      <c r="I16" s="586"/>
      <c r="J16" s="586"/>
      <c r="K16" s="586"/>
      <c r="L16" s="586"/>
      <c r="M16" s="587"/>
      <c r="N16" s="589"/>
      <c r="O16" s="589"/>
      <c r="P16" s="131"/>
      <c r="Q16" s="167"/>
      <c r="R16" s="533"/>
      <c r="S16" s="167"/>
      <c r="T16" s="167"/>
      <c r="U16" s="538"/>
      <c r="V16" s="539" t="s">
        <v>212</v>
      </c>
      <c r="W16" s="540"/>
      <c r="X16" s="540"/>
      <c r="Y16" s="540"/>
      <c r="Z16" s="540"/>
      <c r="AA16" s="540"/>
      <c r="AB16" s="540"/>
      <c r="AC16" s="540"/>
      <c r="AD16" s="540"/>
      <c r="AE16" s="540"/>
      <c r="AF16" s="540"/>
      <c r="AG16" s="540"/>
      <c r="AH16" s="540"/>
      <c r="AI16" s="540"/>
      <c r="AJ16" s="540"/>
      <c r="AK16" s="540"/>
      <c r="AL16" s="540"/>
      <c r="AM16" s="540"/>
      <c r="AN16" s="540"/>
      <c r="AO16" s="540"/>
      <c r="AP16" s="540"/>
      <c r="AQ16" s="540"/>
      <c r="AS16" s="129"/>
      <c r="AT16" s="129" t="str">
        <f t="shared" si="19"/>
        <v xml:space="preserve">Добавить централизованную систему для дифференциации</v>
      </c>
      <c r="AU16" s="129"/>
      <c r="AV16" s="129"/>
      <c r="AW16" s="57">
        <v>0</v>
      </c>
    </row>
    <row r="17" s="57" customFormat="1" ht="14.25" hidden="1" customHeight="1">
      <c r="A17" s="586"/>
      <c r="B17" s="586"/>
      <c r="C17" s="586"/>
      <c r="D17" s="586"/>
      <c r="E17" s="584"/>
      <c r="F17" s="586"/>
      <c r="G17" s="586"/>
      <c r="H17" s="586"/>
      <c r="I17" s="586"/>
      <c r="J17" s="586"/>
      <c r="K17" s="586"/>
      <c r="L17" s="586"/>
      <c r="M17" s="587"/>
      <c r="N17" s="589"/>
      <c r="O17" s="589"/>
      <c r="P17" s="131"/>
      <c r="Q17" s="167"/>
      <c r="R17" s="533"/>
      <c r="S17" s="167"/>
      <c r="T17" s="167"/>
      <c r="U17" s="538"/>
      <c r="V17" s="541" t="s">
        <v>213</v>
      </c>
      <c r="W17" s="540"/>
      <c r="X17" s="540"/>
      <c r="Y17" s="540"/>
      <c r="Z17" s="540"/>
      <c r="AA17" s="540"/>
      <c r="AB17" s="540"/>
      <c r="AC17" s="540"/>
      <c r="AD17" s="540"/>
      <c r="AE17" s="540"/>
      <c r="AF17" s="540"/>
      <c r="AG17" s="540"/>
      <c r="AH17" s="540"/>
      <c r="AI17" s="540"/>
      <c r="AJ17" s="540"/>
      <c r="AK17" s="540"/>
      <c r="AL17" s="540"/>
      <c r="AM17" s="540"/>
      <c r="AN17" s="540"/>
      <c r="AO17" s="540"/>
      <c r="AP17" s="540"/>
      <c r="AQ17" s="540"/>
      <c r="AS17" s="129"/>
      <c r="AT17" s="129" t="str">
        <f t="shared" si="19"/>
        <v xml:space="preserve">Добавить территорию для дифференциации</v>
      </c>
      <c r="AU17" s="129"/>
      <c r="AV17" s="129"/>
      <c r="AW17" s="57">
        <v>0</v>
      </c>
    </row>
    <row r="18" ht="14.25" hidden="1" customHeight="1">
      <c r="AF18" s="50"/>
      <c r="AO18" s="50"/>
      <c r="AW18" s="50">
        <v>0</v>
      </c>
    </row>
    <row r="19" ht="14.25" hidden="1" customHeight="1">
      <c r="AG19" s="542"/>
      <c r="AH19" s="542"/>
      <c r="AI19" s="542"/>
      <c r="AJ19" s="542"/>
      <c r="AK19" s="543"/>
      <c r="AL19" s="544"/>
      <c r="AM19" s="545" t="s">
        <v>67</v>
      </c>
      <c r="AN19" s="544"/>
      <c r="AO19" s="545" t="s">
        <v>67</v>
      </c>
      <c r="AW19" s="50">
        <v>0</v>
      </c>
    </row>
    <row r="20" ht="14.25" hidden="1" customHeight="1">
      <c r="AG20" s="542"/>
      <c r="AH20" s="542"/>
      <c r="AI20" s="542"/>
      <c r="AJ20" s="542"/>
      <c r="AK20" s="543"/>
      <c r="AL20" s="544"/>
      <c r="AM20" s="545"/>
      <c r="AN20" s="544"/>
      <c r="AO20" s="545"/>
      <c r="AW20" s="50">
        <v>0</v>
      </c>
    </row>
    <row r="21" ht="14.25" hidden="1" customHeight="1">
      <c r="AG21" s="542"/>
      <c r="AH21" s="542"/>
      <c r="AI21" s="542"/>
      <c r="AJ21" s="542"/>
      <c r="AK21" s="543"/>
      <c r="AL21" s="544"/>
      <c r="AM21" s="545"/>
      <c r="AN21" s="544"/>
      <c r="AO21" s="545"/>
      <c r="AW21" s="50">
        <v>0</v>
      </c>
    </row>
    <row r="22" ht="14.25" hidden="1" customHeight="1">
      <c r="AG22" s="542"/>
      <c r="AH22" s="542"/>
      <c r="AI22" s="542"/>
      <c r="AJ22" s="542"/>
      <c r="AK22" s="521" t="str">
        <f>AL19&amp;"-"&amp;AN19</f>
        <v>-</v>
      </c>
      <c r="AL22" s="545"/>
      <c r="AM22" s="545"/>
      <c r="AN22" s="545"/>
      <c r="AO22" s="545"/>
      <c r="AW22" s="50">
        <v>0</v>
      </c>
    </row>
    <row r="23" ht="14.25" hidden="1" customHeight="1">
      <c r="AO23" s="50"/>
      <c r="AW23" s="50">
        <v>0</v>
      </c>
    </row>
    <row r="24" s="53" customFormat="1" ht="22.5" hidden="1" customHeight="1">
      <c r="A24" s="50"/>
      <c r="B24" s="50"/>
      <c r="C24" s="50"/>
      <c r="D24" s="50"/>
      <c r="E24" s="50"/>
      <c r="F24" s="50"/>
      <c r="G24" s="50"/>
      <c r="H24" s="50"/>
      <c r="I24" s="50"/>
      <c r="J24" s="50"/>
      <c r="K24" s="50"/>
      <c r="L24" s="50"/>
      <c r="M24" s="51"/>
      <c r="N24" s="60"/>
      <c r="O24" s="60"/>
      <c r="P24" s="590" t="s">
        <v>419</v>
      </c>
      <c r="Q24" s="61"/>
      <c r="R24" s="547"/>
      <c r="S24" s="547"/>
      <c r="T24" s="547"/>
      <c r="U24" s="491"/>
      <c r="AC24" s="546"/>
      <c r="AE24" s="546"/>
      <c r="AF24" s="53"/>
      <c r="AL24" s="546"/>
      <c r="AN24" s="546"/>
      <c r="AO24" s="53"/>
      <c r="AR24" s="57"/>
      <c r="AS24" s="57"/>
      <c r="AT24" s="57"/>
      <c r="AU24" s="57"/>
      <c r="AV24" s="57"/>
      <c r="AW24" s="53">
        <v>0</v>
      </c>
    </row>
    <row r="25" s="53" customFormat="1" ht="14.25" hidden="1" customHeight="1">
      <c r="A25" s="50"/>
      <c r="B25" s="50"/>
      <c r="C25" s="50"/>
      <c r="D25" s="50"/>
      <c r="E25" s="50"/>
      <c r="F25" s="50"/>
      <c r="G25" s="50"/>
      <c r="H25" s="50"/>
      <c r="I25" s="50"/>
      <c r="J25" s="50"/>
      <c r="K25" s="50"/>
      <c r="L25" s="50"/>
      <c r="M25" s="51"/>
      <c r="N25" s="60"/>
      <c r="O25" s="60"/>
      <c r="P25" s="60"/>
      <c r="Q25" s="61"/>
      <c r="R25" s="547"/>
      <c r="S25" s="547"/>
      <c r="T25" s="547"/>
      <c r="U25" s="491"/>
      <c r="AF25" s="53"/>
      <c r="AO25" s="53"/>
      <c r="AR25" s="57"/>
      <c r="AS25" s="57"/>
      <c r="AT25" s="57"/>
      <c r="AU25" s="57"/>
      <c r="AV25" s="57"/>
      <c r="AW25" s="53">
        <v>0</v>
      </c>
    </row>
    <row r="26" s="53" customFormat="1" ht="14.25" hidden="1" customHeight="1">
      <c r="A26" s="50"/>
      <c r="B26" s="50"/>
      <c r="C26" s="50"/>
      <c r="D26" s="50"/>
      <c r="E26" s="50"/>
      <c r="F26" s="50"/>
      <c r="G26" s="50"/>
      <c r="H26" s="50"/>
      <c r="I26" s="50"/>
      <c r="J26" s="50"/>
      <c r="K26" s="50"/>
      <c r="L26" s="50"/>
      <c r="M26" s="51"/>
      <c r="N26" s="60"/>
      <c r="O26" s="60"/>
      <c r="P26" s="333" t="s">
        <v>420</v>
      </c>
      <c r="Q26" s="61"/>
      <c r="R26" s="547"/>
      <c r="S26" s="547"/>
      <c r="T26" s="547"/>
      <c r="U26" s="491"/>
      <c r="V26" s="53" t="s">
        <v>421</v>
      </c>
      <c r="AD26" s="151" t="s">
        <v>422</v>
      </c>
      <c r="AF26" s="151" t="s">
        <v>423</v>
      </c>
      <c r="AG26" s="53" t="s">
        <v>421</v>
      </c>
      <c r="AM26" s="151" t="s">
        <v>424</v>
      </c>
      <c r="AO26" s="151" t="s">
        <v>423</v>
      </c>
      <c r="AR26" s="57"/>
      <c r="AS26" s="57"/>
      <c r="AT26" s="57"/>
      <c r="AU26" s="57"/>
      <c r="AV26" s="57"/>
      <c r="AW26" s="53">
        <v>0</v>
      </c>
    </row>
    <row r="27" ht="14.25" hidden="1" customHeight="1">
      <c r="P27" s="333"/>
      <c r="AW27" s="50">
        <v>0</v>
      </c>
    </row>
    <row r="28" ht="14.25" hidden="1" customHeight="1">
      <c r="P28" s="333"/>
      <c r="AW28" s="50">
        <v>0</v>
      </c>
    </row>
    <row r="29" ht="14.65" customHeight="1">
      <c r="R29" s="548"/>
      <c r="S29" s="548"/>
      <c r="T29" s="548"/>
      <c r="U29" s="549"/>
      <c r="V29" s="91"/>
      <c r="W29" s="91"/>
      <c r="X29" s="50"/>
      <c r="Y29" s="50"/>
      <c r="Z29" s="50"/>
      <c r="AA29" s="50"/>
      <c r="AB29" s="50"/>
      <c r="AC29" s="50"/>
      <c r="AD29" s="50"/>
      <c r="AE29" s="50"/>
      <c r="AF29" s="50"/>
      <c r="AG29" s="50"/>
      <c r="AH29" s="50"/>
      <c r="AI29" s="50"/>
      <c r="AJ29" s="50"/>
      <c r="AK29" s="50"/>
      <c r="AL29" s="50"/>
      <c r="AM29" s="50"/>
      <c r="AN29" s="50"/>
      <c r="AO29" s="50"/>
      <c r="AW29" s="50">
        <v>14</v>
      </c>
    </row>
    <row r="30" ht="56.700000000000003" customHeight="1">
      <c r="R30" s="548"/>
      <c r="S30" s="548"/>
      <c r="T30" s="548"/>
      <c r="U30" s="461" t="str">
        <f>IF(TEMPLATE_GROUP="P",PT_P_FORM_HEAT_6_NAME_FORM,PT_R_FORM_HEAT_23_NAME_FORM)</f>
        <v xml:space="preserve">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461"/>
      <c r="W30" s="461"/>
      <c r="X30" s="461"/>
      <c r="Y30" s="461"/>
      <c r="Z30" s="461"/>
      <c r="AA30" s="461"/>
      <c r="AB30" s="461"/>
      <c r="AC30" s="461"/>
      <c r="AD30" s="461"/>
      <c r="AE30" s="461"/>
      <c r="AF30" s="461"/>
      <c r="AG30" s="461"/>
      <c r="AH30" s="461"/>
      <c r="AI30" s="461"/>
      <c r="AJ30" s="461"/>
      <c r="AK30" s="461"/>
      <c r="AL30" s="461"/>
      <c r="AM30" s="461"/>
      <c r="AN30" s="461"/>
      <c r="AO30" s="240"/>
      <c r="AW30" s="50">
        <v>54</v>
      </c>
    </row>
    <row r="31" ht="14.65" customHeight="1">
      <c r="R31" s="548"/>
      <c r="S31" s="548"/>
      <c r="T31" s="548"/>
      <c r="U31" s="316" t="str">
        <f>IF(org=0,"Не определено",org)</f>
        <v xml:space="preserve">АО "ДГК"</v>
      </c>
      <c r="V31" s="316"/>
      <c r="W31" s="316"/>
      <c r="X31" s="316"/>
      <c r="Y31" s="316"/>
      <c r="Z31" s="316"/>
      <c r="AA31" s="316"/>
      <c r="AB31" s="316"/>
      <c r="AC31" s="316"/>
      <c r="AD31" s="316"/>
      <c r="AE31" s="316"/>
      <c r="AF31" s="316"/>
      <c r="AG31" s="316"/>
      <c r="AH31" s="316"/>
      <c r="AI31" s="316"/>
      <c r="AJ31" s="316"/>
      <c r="AK31" s="316"/>
      <c r="AL31" s="316"/>
      <c r="AM31" s="316"/>
      <c r="AN31" s="316"/>
      <c r="AO31" s="240"/>
      <c r="AW31" s="50">
        <v>14</v>
      </c>
    </row>
    <row r="32" ht="14.25" hidden="1" customHeight="1">
      <c r="R32" s="548"/>
      <c r="S32" s="548"/>
      <c r="T32" s="548"/>
      <c r="U32" s="549"/>
      <c r="V32" s="91"/>
      <c r="W32" s="91"/>
      <c r="X32" s="550"/>
      <c r="Y32" s="550"/>
      <c r="Z32" s="550"/>
      <c r="AA32" s="550"/>
      <c r="AB32" s="550"/>
      <c r="AC32" s="550"/>
      <c r="AD32" s="550"/>
      <c r="AE32" s="550"/>
      <c r="AF32" s="550"/>
      <c r="AG32" s="550"/>
      <c r="AH32" s="550"/>
      <c r="AI32" s="550"/>
      <c r="AJ32" s="550"/>
      <c r="AK32" s="550"/>
      <c r="AL32" s="550"/>
      <c r="AM32" s="550"/>
      <c r="AN32" s="550"/>
      <c r="AO32" s="550"/>
      <c r="AP32" s="50"/>
      <c r="AW32" s="50">
        <v>0</v>
      </c>
    </row>
    <row r="33" s="184" customFormat="1" ht="25.5" hidden="1" customHeight="1">
      <c r="A33" s="106"/>
      <c r="B33" s="106"/>
      <c r="C33" s="106"/>
      <c r="D33" s="106"/>
      <c r="E33" s="106"/>
      <c r="F33" s="106"/>
      <c r="G33" s="106"/>
      <c r="H33" s="106"/>
      <c r="I33" s="106"/>
      <c r="J33" s="106"/>
      <c r="K33" s="106"/>
      <c r="L33" s="106"/>
      <c r="M33" s="333"/>
      <c r="N33" s="106"/>
      <c r="O33" s="106"/>
      <c r="P33" s="106"/>
      <c r="U33" s="551" t="s">
        <v>42</v>
      </c>
      <c r="V33" s="551"/>
      <c r="W33" s="552"/>
      <c r="X33" s="553" t="str">
        <f>IF(TITLE_NAME_OR_PR_CHANGE="",IF(TITLE_NAME_OR_PR="","",TITLE_NAME_OR_PR),TITLE_NAME_OR_PR_CHANGE)</f>
        <v/>
      </c>
      <c r="Y33" s="553"/>
      <c r="Z33" s="553"/>
      <c r="AA33" s="553"/>
      <c r="AB33" s="553"/>
      <c r="AC33" s="553"/>
      <c r="AD33" s="553"/>
      <c r="AE33" s="553"/>
      <c r="AF33" s="50"/>
      <c r="AG33" s="553" t="str">
        <f>IF(TITLE_NAME_OR_PR_CHANGE="",IF(TITLE_NAME_OR_PR="","",TITLE_NAME_OR_PR),TITLE_NAME_OR_PR_CHANGE)</f>
        <v/>
      </c>
      <c r="AH33" s="553"/>
      <c r="AI33" s="553"/>
      <c r="AJ33" s="553"/>
      <c r="AK33" s="553"/>
      <c r="AL33" s="553"/>
      <c r="AM33" s="553"/>
      <c r="AN33" s="553"/>
      <c r="AO33" s="50"/>
      <c r="AP33" s="50"/>
      <c r="AQ33" s="554"/>
      <c r="AR33" s="129"/>
      <c r="AS33" s="129"/>
      <c r="AT33" s="129"/>
      <c r="AU33" s="129"/>
      <c r="AV33" s="129"/>
      <c r="AW33" s="184">
        <v>0</v>
      </c>
    </row>
    <row r="34" s="184" customFormat="1" ht="18.75" hidden="1" customHeight="1">
      <c r="A34" s="106"/>
      <c r="B34" s="106"/>
      <c r="C34" s="106"/>
      <c r="D34" s="106"/>
      <c r="E34" s="106"/>
      <c r="F34" s="106"/>
      <c r="G34" s="106"/>
      <c r="H34" s="106"/>
      <c r="I34" s="106"/>
      <c r="J34" s="106"/>
      <c r="K34" s="106"/>
      <c r="L34" s="106"/>
      <c r="M34" s="333"/>
      <c r="N34" s="106"/>
      <c r="O34" s="106"/>
      <c r="P34" s="106"/>
      <c r="U34" s="551" t="s">
        <v>425</v>
      </c>
      <c r="V34" s="551"/>
      <c r="W34" s="552"/>
      <c r="X34" s="555">
        <f>IF(TITLE_DATE_PR_CHANGE="",IF(TITLE_DATE_PR="","",TITLE_DATE_PR),TITLE_DATE_PR_CHANGE)</f>
        <v>46212.428518518522</v>
      </c>
      <c r="Y34" s="555"/>
      <c r="Z34" s="555"/>
      <c r="AA34" s="555"/>
      <c r="AB34" s="555"/>
      <c r="AC34" s="555"/>
      <c r="AD34" s="555"/>
      <c r="AE34" s="555"/>
      <c r="AF34" s="50"/>
      <c r="AG34" s="555">
        <f>IF(TITLE_DATE_PR_CHANGE="",IF(TITLE_DATE_PR="","",TITLE_DATE_PR),TITLE_DATE_PR_CHANGE)</f>
        <v>46212.428518518522</v>
      </c>
      <c r="AH34" s="555"/>
      <c r="AI34" s="555"/>
      <c r="AJ34" s="555"/>
      <c r="AK34" s="555"/>
      <c r="AL34" s="555"/>
      <c r="AM34" s="555"/>
      <c r="AN34" s="555"/>
      <c r="AO34" s="50"/>
      <c r="AP34" s="50"/>
      <c r="AQ34" s="554"/>
      <c r="AR34" s="129"/>
      <c r="AS34" s="129"/>
      <c r="AT34" s="129"/>
      <c r="AU34" s="129"/>
      <c r="AV34" s="129"/>
      <c r="AW34" s="184">
        <v>0</v>
      </c>
    </row>
    <row r="35" s="184" customFormat="1" ht="18.75" hidden="1" customHeight="1">
      <c r="A35" s="106"/>
      <c r="B35" s="106"/>
      <c r="C35" s="106"/>
      <c r="D35" s="106"/>
      <c r="E35" s="106"/>
      <c r="F35" s="106"/>
      <c r="G35" s="106"/>
      <c r="H35" s="106"/>
      <c r="I35" s="106"/>
      <c r="J35" s="106"/>
      <c r="K35" s="106"/>
      <c r="L35" s="106"/>
      <c r="M35" s="333"/>
      <c r="N35" s="106"/>
      <c r="O35" s="106"/>
      <c r="P35" s="106"/>
      <c r="U35" s="551" t="s">
        <v>426</v>
      </c>
      <c r="V35" s="551"/>
      <c r="W35" s="552"/>
      <c r="X35" s="553" t="str">
        <f>IF(TITLE_NUMBER_PR_CHANGE="",IF(TITLE_NUMBER_PR="","",TITLE_NUMBER_PR),TITLE_NUMBER_PR_CHANGE)</f>
        <v>Исх-260/1397</v>
      </c>
      <c r="Y35" s="553"/>
      <c r="Z35" s="553"/>
      <c r="AA35" s="553"/>
      <c r="AB35" s="553"/>
      <c r="AC35" s="553"/>
      <c r="AD35" s="553"/>
      <c r="AE35" s="553"/>
      <c r="AF35" s="50"/>
      <c r="AG35" s="553" t="str">
        <f>IF(TITLE_NUMBER_PR_CHANGE="",IF(TITLE_NUMBER_PR="","",TITLE_NUMBER_PR),TITLE_NUMBER_PR_CHANGE)</f>
        <v>Исх-260/1397</v>
      </c>
      <c r="AH35" s="553"/>
      <c r="AI35" s="553"/>
      <c r="AJ35" s="553"/>
      <c r="AK35" s="553"/>
      <c r="AL35" s="553"/>
      <c r="AM35" s="553"/>
      <c r="AN35" s="553"/>
      <c r="AO35" s="50"/>
      <c r="AP35" s="50"/>
      <c r="AQ35" s="554"/>
      <c r="AR35" s="129"/>
      <c r="AS35" s="129"/>
      <c r="AT35" s="129"/>
      <c r="AU35" s="129"/>
      <c r="AV35" s="129"/>
      <c r="AW35" s="184">
        <v>0</v>
      </c>
    </row>
    <row r="36" s="184" customFormat="1" ht="18.75" hidden="1" customHeight="1">
      <c r="A36" s="106"/>
      <c r="B36" s="106"/>
      <c r="C36" s="106"/>
      <c r="D36" s="106"/>
      <c r="E36" s="106"/>
      <c r="F36" s="106"/>
      <c r="G36" s="106"/>
      <c r="H36" s="106"/>
      <c r="I36" s="106"/>
      <c r="J36" s="106"/>
      <c r="K36" s="106"/>
      <c r="L36" s="106"/>
      <c r="M36" s="333"/>
      <c r="N36" s="106"/>
      <c r="O36" s="106"/>
      <c r="P36" s="106"/>
      <c r="U36" s="551" t="s">
        <v>43</v>
      </c>
      <c r="V36" s="551"/>
      <c r="W36" s="552"/>
      <c r="X36" s="553" t="str">
        <f>IF(TITLE_IST_PUB_CHANGE="",IF(TITLE_IST_PUB="","",TITLE_IST_PUB),TITLE_IST_PUB_CHANGE)</f>
        <v/>
      </c>
      <c r="Y36" s="553"/>
      <c r="Z36" s="553"/>
      <c r="AA36" s="553"/>
      <c r="AB36" s="553"/>
      <c r="AC36" s="553"/>
      <c r="AD36" s="553"/>
      <c r="AE36" s="553"/>
      <c r="AF36" s="50"/>
      <c r="AG36" s="553" t="str">
        <f>IF(TITLE_IST_PUB_CHANGE="",IF(TITLE_IST_PUB="","",TITLE_IST_PUB),TITLE_IST_PUB_CHANGE)</f>
        <v/>
      </c>
      <c r="AH36" s="553"/>
      <c r="AI36" s="553"/>
      <c r="AJ36" s="553"/>
      <c r="AK36" s="553"/>
      <c r="AL36" s="553"/>
      <c r="AM36" s="553"/>
      <c r="AN36" s="553"/>
      <c r="AO36" s="50"/>
      <c r="AP36" s="50"/>
      <c r="AQ36" s="554"/>
      <c r="AR36" s="129"/>
      <c r="AS36" s="129"/>
      <c r="AT36" s="129"/>
      <c r="AU36" s="129"/>
      <c r="AV36" s="129"/>
      <c r="AW36" s="184">
        <v>0</v>
      </c>
    </row>
    <row r="37" ht="14.25" customHeight="1">
      <c r="R37" s="548"/>
      <c r="S37" s="548"/>
      <c r="T37" s="548"/>
      <c r="U37" s="549"/>
      <c r="V37" s="91"/>
      <c r="W37" s="91"/>
      <c r="X37" s="550"/>
      <c r="Y37" s="550"/>
      <c r="Z37" s="550"/>
      <c r="AA37" s="550"/>
      <c r="AB37" s="550"/>
      <c r="AC37" s="550"/>
      <c r="AD37" s="550"/>
      <c r="AE37" s="550"/>
      <c r="AF37" s="550"/>
      <c r="AG37" s="550"/>
      <c r="AH37" s="550"/>
      <c r="AI37" s="550"/>
      <c r="AJ37" s="550"/>
      <c r="AK37" s="550"/>
      <c r="AL37" s="550"/>
      <c r="AM37" s="550"/>
      <c r="AN37" s="550"/>
      <c r="AO37" s="550"/>
      <c r="AP37" s="50"/>
      <c r="AW37" s="50">
        <v>0</v>
      </c>
    </row>
    <row r="38" s="184" customFormat="1" ht="18.75" customHeight="1">
      <c r="A38" s="106"/>
      <c r="B38" s="106"/>
      <c r="C38" s="106"/>
      <c r="D38" s="106"/>
      <c r="E38" s="106"/>
      <c r="F38" s="106"/>
      <c r="G38" s="106"/>
      <c r="H38" s="106"/>
      <c r="I38" s="106"/>
      <c r="J38" s="106"/>
      <c r="K38" s="106"/>
      <c r="L38" s="106"/>
      <c r="M38" s="333"/>
      <c r="N38" s="106"/>
      <c r="O38" s="106"/>
      <c r="P38" s="106"/>
      <c r="U38" s="551" t="s">
        <v>427</v>
      </c>
      <c r="V38" s="551"/>
      <c r="W38" s="552"/>
      <c r="X38" s="555">
        <f>IF(TITLE_DATE_PR_CHANGE="",IF(TITLE_DATE_PR="","",TITLE_DATE_PR),TITLE_DATE_PR_CHANGE)</f>
        <v>46212.428518518522</v>
      </c>
      <c r="Y38" s="555"/>
      <c r="Z38" s="555"/>
      <c r="AA38" s="555"/>
      <c r="AB38" s="555"/>
      <c r="AC38" s="555"/>
      <c r="AD38" s="555"/>
      <c r="AE38" s="555"/>
      <c r="AF38" s="50"/>
      <c r="AG38" s="555">
        <f>IF(TITLE_DATE_PR_CHANGE="",IF(TITLE_DATE_PR="","",TITLE_DATE_PR),TITLE_DATE_PR_CHANGE)</f>
        <v>46212.428518518522</v>
      </c>
      <c r="AH38" s="555"/>
      <c r="AI38" s="555"/>
      <c r="AJ38" s="555"/>
      <c r="AK38" s="555"/>
      <c r="AL38" s="555"/>
      <c r="AM38" s="555"/>
      <c r="AN38" s="555"/>
      <c r="AO38" s="50"/>
      <c r="AP38" s="50"/>
      <c r="AQ38" s="554"/>
      <c r="AR38" s="129"/>
      <c r="AS38" s="129"/>
      <c r="AT38" s="129"/>
      <c r="AU38" s="129"/>
      <c r="AV38" s="129"/>
      <c r="AW38" s="184">
        <v>0</v>
      </c>
    </row>
    <row r="39" s="184" customFormat="1" ht="18.75" customHeight="1">
      <c r="A39" s="106"/>
      <c r="B39" s="106"/>
      <c r="C39" s="106"/>
      <c r="D39" s="106"/>
      <c r="E39" s="106"/>
      <c r="F39" s="106"/>
      <c r="G39" s="106"/>
      <c r="H39" s="106"/>
      <c r="I39" s="106"/>
      <c r="J39" s="106"/>
      <c r="K39" s="106"/>
      <c r="L39" s="106"/>
      <c r="M39" s="333"/>
      <c r="N39" s="106"/>
      <c r="O39" s="106"/>
      <c r="P39" s="106"/>
      <c r="U39" s="551" t="s">
        <v>428</v>
      </c>
      <c r="V39" s="551"/>
      <c r="W39" s="552"/>
      <c r="X39" s="553" t="str">
        <f>IF(TITLE_NUMBER_PR_CHANGE="",IF(TITLE_NUMBER_PR="","",TITLE_NUMBER_PR),TITLE_NUMBER_PR_CHANGE)</f>
        <v>Исх-260/1397</v>
      </c>
      <c r="Y39" s="553"/>
      <c r="Z39" s="553"/>
      <c r="AA39" s="553"/>
      <c r="AB39" s="553"/>
      <c r="AC39" s="553"/>
      <c r="AD39" s="553"/>
      <c r="AE39" s="553"/>
      <c r="AF39" s="50"/>
      <c r="AG39" s="553" t="str">
        <f>IF(TITLE_NUMBER_PR_CHANGE="",IF(TITLE_NUMBER_PR="","",TITLE_NUMBER_PR),TITLE_NUMBER_PR_CHANGE)</f>
        <v>Исх-260/1397</v>
      </c>
      <c r="AH39" s="553"/>
      <c r="AI39" s="553"/>
      <c r="AJ39" s="553"/>
      <c r="AK39" s="553"/>
      <c r="AL39" s="553"/>
      <c r="AM39" s="553"/>
      <c r="AN39" s="553"/>
      <c r="AO39" s="50"/>
      <c r="AP39" s="50"/>
      <c r="AQ39" s="554"/>
      <c r="AR39" s="129"/>
      <c r="AS39" s="129"/>
      <c r="AT39" s="129"/>
      <c r="AU39" s="129"/>
      <c r="AV39" s="129"/>
      <c r="AW39" s="184">
        <v>0</v>
      </c>
    </row>
    <row r="40" s="184" customFormat="1" ht="0" customHeight="1">
      <c r="A40" s="106"/>
      <c r="B40" s="106"/>
      <c r="C40" s="106"/>
      <c r="D40" s="106"/>
      <c r="E40" s="106"/>
      <c r="F40" s="106"/>
      <c r="G40" s="106"/>
      <c r="H40" s="106"/>
      <c r="I40" s="106"/>
      <c r="J40" s="106"/>
      <c r="K40" s="106"/>
      <c r="L40" s="106"/>
      <c r="M40" s="333"/>
      <c r="N40" s="106"/>
      <c r="O40" s="106"/>
      <c r="P40" s="106"/>
      <c r="U40" s="50"/>
      <c r="V40" s="50"/>
      <c r="W40" s="140"/>
      <c r="X40" s="50"/>
      <c r="Y40" s="50"/>
      <c r="Z40" s="50"/>
      <c r="AA40" s="50"/>
      <c r="AB40" s="50"/>
      <c r="AC40" s="50"/>
      <c r="AD40" s="50"/>
      <c r="AE40" s="50"/>
      <c r="AF40" s="57" t="s">
        <v>429</v>
      </c>
      <c r="AG40" s="50"/>
      <c r="AH40" s="50"/>
      <c r="AI40" s="50"/>
      <c r="AJ40" s="50"/>
      <c r="AK40" s="50"/>
      <c r="AL40" s="50"/>
      <c r="AM40" s="50"/>
      <c r="AN40" s="50"/>
      <c r="AO40" s="57" t="s">
        <v>429</v>
      </c>
      <c r="AR40" s="129"/>
      <c r="AS40" s="129"/>
      <c r="AT40" s="129"/>
      <c r="AU40" s="129"/>
      <c r="AV40" s="129"/>
      <c r="AW40" s="184">
        <v>0</v>
      </c>
    </row>
    <row r="41" ht="14.65" customHeight="1">
      <c r="R41" s="548"/>
      <c r="S41" s="548"/>
      <c r="T41" s="548"/>
      <c r="U41" s="549"/>
      <c r="V41" s="91"/>
      <c r="W41" s="556"/>
      <c r="X41" s="557"/>
      <c r="Y41" s="557"/>
      <c r="Z41" s="557"/>
      <c r="AA41" s="557"/>
      <c r="AB41" s="557"/>
      <c r="AC41" s="557"/>
      <c r="AD41" s="557"/>
      <c r="AE41" s="557"/>
      <c r="AF41" s="557"/>
      <c r="AG41" s="557"/>
      <c r="AH41" s="557"/>
      <c r="AI41" s="557"/>
      <c r="AJ41" s="557"/>
      <c r="AK41" s="557"/>
      <c r="AL41" s="557"/>
      <c r="AM41" s="557"/>
      <c r="AN41" s="557"/>
      <c r="AO41" s="557"/>
      <c r="AW41" s="50">
        <v>14</v>
      </c>
    </row>
    <row r="42" ht="14.65" customHeight="1">
      <c r="R42" s="548"/>
      <c r="S42" s="548"/>
      <c r="T42" s="548"/>
      <c r="U42" s="157" t="s">
        <v>305</v>
      </c>
      <c r="V42" s="157"/>
      <c r="W42" s="157"/>
      <c r="X42" s="157"/>
      <c r="Y42" s="157"/>
      <c r="Z42" s="157"/>
      <c r="AA42" s="157"/>
      <c r="AB42" s="157"/>
      <c r="AC42" s="157"/>
      <c r="AD42" s="157"/>
      <c r="AE42" s="157"/>
      <c r="AF42" s="157"/>
      <c r="AG42" s="157"/>
      <c r="AH42" s="157"/>
      <c r="AI42" s="157"/>
      <c r="AJ42" s="157"/>
      <c r="AK42" s="157"/>
      <c r="AL42" s="157"/>
      <c r="AM42" s="157"/>
      <c r="AN42" s="157"/>
      <c r="AO42" s="157"/>
      <c r="AP42" s="157"/>
      <c r="AQ42" s="157" t="s">
        <v>306</v>
      </c>
      <c r="AW42" s="50">
        <v>14</v>
      </c>
    </row>
    <row r="43" ht="14.65" customHeight="1">
      <c r="R43" s="548"/>
      <c r="S43" s="548"/>
      <c r="T43" s="548"/>
      <c r="U43" s="493" t="s">
        <v>89</v>
      </c>
      <c r="V43" s="358" t="s">
        <v>430</v>
      </c>
      <c r="W43" s="558"/>
      <c r="X43" s="559" t="s">
        <v>431</v>
      </c>
      <c r="Y43" s="593"/>
      <c r="Z43" s="593"/>
      <c r="AA43" s="593"/>
      <c r="AB43" s="593"/>
      <c r="AC43" s="560"/>
      <c r="AD43" s="560"/>
      <c r="AE43" s="561"/>
      <c r="AF43" s="562" t="s">
        <v>432</v>
      </c>
      <c r="AG43" s="559" t="s">
        <v>431</v>
      </c>
      <c r="AH43" s="593"/>
      <c r="AI43" s="593"/>
      <c r="AJ43" s="593"/>
      <c r="AK43" s="593"/>
      <c r="AL43" s="560"/>
      <c r="AM43" s="560"/>
      <c r="AN43" s="561"/>
      <c r="AO43" s="562" t="s">
        <v>433</v>
      </c>
      <c r="AP43" s="563" t="s">
        <v>434</v>
      </c>
      <c r="AQ43" s="157"/>
      <c r="AW43" s="50">
        <v>14</v>
      </c>
    </row>
    <row r="44" ht="35.649999999999999" customHeight="1">
      <c r="R44" s="548"/>
      <c r="S44" s="548"/>
      <c r="T44" s="548"/>
      <c r="U44" s="493"/>
      <c r="V44" s="358"/>
      <c r="W44" s="564"/>
      <c r="X44" s="317" t="s">
        <v>456</v>
      </c>
      <c r="Y44" s="157" t="s">
        <v>457</v>
      </c>
      <c r="Z44" s="157"/>
      <c r="AA44" s="157"/>
      <c r="AB44" s="157"/>
      <c r="AC44" s="317" t="s">
        <v>438</v>
      </c>
      <c r="AD44" s="635"/>
      <c r="AE44" s="318"/>
      <c r="AF44" s="566"/>
      <c r="AG44" s="317" t="s">
        <v>456</v>
      </c>
      <c r="AH44" s="157" t="s">
        <v>457</v>
      </c>
      <c r="AI44" s="157"/>
      <c r="AJ44" s="157"/>
      <c r="AK44" s="157"/>
      <c r="AL44" s="317" t="s">
        <v>438</v>
      </c>
      <c r="AM44" s="635"/>
      <c r="AN44" s="318"/>
      <c r="AO44" s="566"/>
      <c r="AP44" s="567"/>
      <c r="AQ44" s="157"/>
      <c r="AW44" s="50">
        <v>34</v>
      </c>
    </row>
    <row r="45" ht="14.65" customHeight="1">
      <c r="R45" s="548"/>
      <c r="S45" s="548"/>
      <c r="T45" s="548"/>
      <c r="U45" s="493"/>
      <c r="V45" s="358"/>
      <c r="W45" s="564"/>
      <c r="X45" s="321"/>
      <c r="Y45" s="427" t="s">
        <v>458</v>
      </c>
      <c r="Z45" s="424" t="s">
        <v>459</v>
      </c>
      <c r="AA45" s="425"/>
      <c r="AB45" s="426"/>
      <c r="AC45" s="323"/>
      <c r="AD45" s="636"/>
      <c r="AE45" s="324"/>
      <c r="AF45" s="566"/>
      <c r="AG45" s="321"/>
      <c r="AH45" s="427" t="s">
        <v>458</v>
      </c>
      <c r="AI45" s="424" t="s">
        <v>459</v>
      </c>
      <c r="AJ45" s="425"/>
      <c r="AK45" s="426"/>
      <c r="AL45" s="323"/>
      <c r="AM45" s="636"/>
      <c r="AN45" s="324"/>
      <c r="AO45" s="566"/>
      <c r="AP45" s="567"/>
      <c r="AQ45" s="157"/>
      <c r="AW45" s="50">
        <v>14</v>
      </c>
    </row>
    <row r="46" ht="27.300000000000001" customHeight="1">
      <c r="R46" s="548"/>
      <c r="S46" s="548"/>
      <c r="T46" s="548"/>
      <c r="U46" s="493"/>
      <c r="V46" s="358"/>
      <c r="W46" s="564"/>
      <c r="X46" s="321"/>
      <c r="Y46" s="637"/>
      <c r="Z46" s="427" t="s">
        <v>460</v>
      </c>
      <c r="AA46" s="424" t="s">
        <v>461</v>
      </c>
      <c r="AB46" s="426"/>
      <c r="AC46" s="427" t="s">
        <v>448</v>
      </c>
      <c r="AD46" s="428" t="s">
        <v>449</v>
      </c>
      <c r="AE46" s="429"/>
      <c r="AF46" s="566"/>
      <c r="AG46" s="321"/>
      <c r="AH46" s="637"/>
      <c r="AI46" s="427" t="s">
        <v>460</v>
      </c>
      <c r="AJ46" s="424" t="s">
        <v>461</v>
      </c>
      <c r="AK46" s="426"/>
      <c r="AL46" s="427" t="s">
        <v>448</v>
      </c>
      <c r="AM46" s="428" t="s">
        <v>449</v>
      </c>
      <c r="AN46" s="429"/>
      <c r="AO46" s="566"/>
      <c r="AP46" s="567"/>
      <c r="AQ46" s="157"/>
      <c r="AW46" s="50">
        <v>26</v>
      </c>
    </row>
    <row r="47" ht="65.25" customHeight="1">
      <c r="A47" s="106"/>
      <c r="B47" s="106" t="s">
        <v>135</v>
      </c>
      <c r="C47" s="106" t="s">
        <v>136</v>
      </c>
      <c r="D47" s="106" t="s">
        <v>137</v>
      </c>
      <c r="E47" s="333" t="s">
        <v>439</v>
      </c>
      <c r="F47" s="333" t="s">
        <v>440</v>
      </c>
      <c r="G47" s="333" t="s">
        <v>441</v>
      </c>
      <c r="H47" s="333" t="s">
        <v>442</v>
      </c>
      <c r="I47" s="333" t="s">
        <v>443</v>
      </c>
      <c r="J47" s="333" t="s">
        <v>444</v>
      </c>
      <c r="K47" s="333" t="s">
        <v>445</v>
      </c>
      <c r="L47" s="333" t="s">
        <v>462</v>
      </c>
      <c r="M47" s="333" t="s">
        <v>420</v>
      </c>
      <c r="R47" s="548"/>
      <c r="S47" s="548"/>
      <c r="T47" s="548"/>
      <c r="U47" s="493"/>
      <c r="V47" s="358"/>
      <c r="W47" s="568"/>
      <c r="X47" s="323"/>
      <c r="Y47" s="430"/>
      <c r="Z47" s="430"/>
      <c r="AA47" s="246" t="s">
        <v>463</v>
      </c>
      <c r="AB47" s="246" t="s">
        <v>464</v>
      </c>
      <c r="AC47" s="430"/>
      <c r="AD47" s="431"/>
      <c r="AE47" s="432"/>
      <c r="AF47" s="570"/>
      <c r="AG47" s="323"/>
      <c r="AH47" s="430"/>
      <c r="AI47" s="430"/>
      <c r="AJ47" s="246" t="s">
        <v>463</v>
      </c>
      <c r="AK47" s="246" t="s">
        <v>464</v>
      </c>
      <c r="AL47" s="430"/>
      <c r="AM47" s="431"/>
      <c r="AN47" s="432"/>
      <c r="AO47" s="570"/>
      <c r="AP47" s="571"/>
      <c r="AQ47" s="157"/>
      <c r="AW47" s="50">
        <v>62</v>
      </c>
    </row>
    <row r="48" s="131" customFormat="1" ht="11.25" hidden="1" customHeight="1">
      <c r="A48" s="106"/>
      <c r="B48" s="106"/>
      <c r="C48" s="106"/>
      <c r="D48" s="106"/>
      <c r="E48" s="106"/>
      <c r="F48" s="106"/>
      <c r="G48" s="106"/>
      <c r="H48" s="106"/>
      <c r="I48" s="106"/>
      <c r="J48" s="106"/>
      <c r="K48" s="106"/>
      <c r="L48" s="106"/>
      <c r="M48" s="333"/>
      <c r="N48" s="60"/>
      <c r="O48" s="60"/>
      <c r="P48" s="60"/>
      <c r="Q48" s="572"/>
      <c r="R48" s="573"/>
      <c r="S48" s="574">
        <v>1</v>
      </c>
      <c r="T48" s="574"/>
      <c r="U48" s="575" t="s">
        <v>109</v>
      </c>
      <c r="V48" s="576" t="s">
        <v>110</v>
      </c>
      <c r="W48" s="577" t="str">
        <f ca="1">OFFSET(W48,0,-1)</f>
        <v>2</v>
      </c>
      <c r="X48" s="578">
        <f ca="1">OFFSET(X48,0,-1)+1</f>
        <v>3</v>
      </c>
      <c r="Y48" s="435"/>
      <c r="Z48" s="435"/>
      <c r="AA48" s="435">
        <f ca="1">OFFSET(AA48,0,-1)+1</f>
        <v>1</v>
      </c>
      <c r="AB48" s="435">
        <f ca="1">OFFSET(AB48,0,-1)+1</f>
        <v>2</v>
      </c>
      <c r="AC48" s="578">
        <f ca="1">OFFSET(AC48,0,-1)+1</f>
        <v>3</v>
      </c>
      <c r="AD48" s="578">
        <f ca="1">OFFSET(AD48,0,-1)+1</f>
        <v>4</v>
      </c>
      <c r="AE48" s="578"/>
      <c r="AF48" s="578">
        <f ca="1">OFFSET(AF48,0,-2)+1</f>
        <v>5</v>
      </c>
      <c r="AG48" s="578">
        <f ca="1">OFFSET(AG48,0,-1)+1</f>
        <v>6</v>
      </c>
      <c r="AH48" s="578"/>
      <c r="AI48" s="578"/>
      <c r="AJ48" s="578">
        <f ca="1">OFFSET(AJ48,0,-1)+1</f>
        <v>1</v>
      </c>
      <c r="AK48" s="578">
        <f ca="1">OFFSET(AK48,0,-1)+1</f>
        <v>2</v>
      </c>
      <c r="AL48" s="578">
        <f ca="1">OFFSET(AL48,0,-1)+1</f>
        <v>3</v>
      </c>
      <c r="AM48" s="578">
        <f ca="1">OFFSET(AM48,0,-1)+1</f>
        <v>4</v>
      </c>
      <c r="AN48" s="578"/>
      <c r="AO48" s="578">
        <f ca="1">OFFSET(AO48,0,-2)+1</f>
        <v>5</v>
      </c>
      <c r="AP48" s="577">
        <f ca="1">OFFSET(AP48,0,-1)</f>
        <v>5</v>
      </c>
      <c r="AQ48" s="578">
        <f ca="1">OFFSET(AQ48,0,-1)+1</f>
        <v>6</v>
      </c>
      <c r="AR48" s="57"/>
      <c r="AS48" s="57"/>
      <c r="AT48" s="57"/>
      <c r="AU48" s="57"/>
      <c r="AV48" s="57"/>
      <c r="AW48" s="131">
        <v>0</v>
      </c>
    </row>
    <row r="49" ht="22" customHeight="1">
      <c r="A49" s="264" t="s">
        <v>174</v>
      </c>
      <c r="B49" s="264"/>
      <c r="C49" s="264"/>
      <c r="D49" s="264"/>
      <c r="E49" s="584">
        <v>1</v>
      </c>
      <c r="F49" s="264"/>
      <c r="G49" s="264"/>
      <c r="H49" s="264"/>
      <c r="I49" s="264"/>
      <c r="J49" s="264"/>
      <c r="K49" s="264"/>
      <c r="L49" s="264"/>
      <c r="M49" s="333"/>
      <c r="N49" s="86"/>
      <c r="O49" s="86"/>
      <c r="P49" s="86"/>
      <c r="Q49" s="60"/>
      <c r="R49" s="143"/>
      <c r="S49" s="143"/>
      <c r="T49" s="492"/>
      <c r="U49" s="493">
        <f>INDEX(PT_DIFFERENTIATION_NUM_NTAR,MATCH(A49,PT_DIFFERENTIATION_NTAR_ID,0))</f>
        <v>0</v>
      </c>
      <c r="V49" s="494" t="s">
        <v>123</v>
      </c>
      <c r="W49" s="495"/>
      <c r="X49" s="496"/>
      <c r="Y49" s="497"/>
      <c r="Z49" s="497"/>
      <c r="AA49" s="497"/>
      <c r="AB49" s="497"/>
      <c r="AC49" s="497"/>
      <c r="AD49" s="497"/>
      <c r="AE49" s="497"/>
      <c r="AF49" s="498"/>
      <c r="AG49" s="496" t="str">
        <f>INDEX(PT_DIFFERENTIATION_NTAR,MATCH(A49,PT_DIFFERENTIATION_NTAR_ID,0))</f>
        <v/>
      </c>
      <c r="AH49" s="497"/>
      <c r="AI49" s="497"/>
      <c r="AJ49" s="497"/>
      <c r="AK49" s="497"/>
      <c r="AL49" s="497"/>
      <c r="AM49" s="497"/>
      <c r="AN49" s="497"/>
      <c r="AO49" s="497"/>
      <c r="AP49" s="498"/>
      <c r="AQ49" s="49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 xml:space="preserve">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129"/>
      <c r="AT49" s="129" t="str">
        <f t="shared" si="19"/>
        <v xml:space="preserve">Наименование тарифа</v>
      </c>
      <c r="AU49" s="129"/>
      <c r="AV49" s="129"/>
      <c r="AW49" s="50">
        <v>21</v>
      </c>
    </row>
    <row r="50" ht="22" customHeight="1">
      <c r="A50" s="264" t="s">
        <v>174</v>
      </c>
      <c r="B50" s="264" t="s">
        <v>175</v>
      </c>
      <c r="C50" s="264"/>
      <c r="D50" s="264"/>
      <c r="E50" s="585"/>
      <c r="F50" s="584">
        <v>1</v>
      </c>
      <c r="G50" s="264"/>
      <c r="H50" s="264"/>
      <c r="I50" s="264"/>
      <c r="J50" s="264"/>
      <c r="K50" s="264"/>
      <c r="L50" s="264"/>
      <c r="M50" s="333"/>
      <c r="N50" s="86"/>
      <c r="O50" s="86"/>
      <c r="P50" s="86"/>
      <c r="Q50" s="51"/>
      <c r="R50" s="501"/>
      <c r="S50" s="50"/>
      <c r="T50" s="502"/>
      <c r="U50" s="493" t="str">
        <f>INDEX(PT_DIFFERENTIATION_NUM_TER,MATCH(B50,PT_DIFFERENTIATION_TER_ID,0))</f>
        <v>.</v>
      </c>
      <c r="V50" s="503" t="s">
        <v>402</v>
      </c>
      <c r="W50" s="495"/>
      <c r="X50" s="496"/>
      <c r="Y50" s="497"/>
      <c r="Z50" s="497"/>
      <c r="AA50" s="497"/>
      <c r="AB50" s="497"/>
      <c r="AC50" s="497"/>
      <c r="AD50" s="497"/>
      <c r="AE50" s="497"/>
      <c r="AF50" s="498"/>
      <c r="AG50" s="496" t="str">
        <f>INDEX(PT_DIFFERENTIATION_TER,MATCH(B50,PT_DIFFERENTIATION_TER_ID,0))</f>
        <v/>
      </c>
      <c r="AH50" s="497"/>
      <c r="AI50" s="497"/>
      <c r="AJ50" s="497"/>
      <c r="AK50" s="497"/>
      <c r="AL50" s="497"/>
      <c r="AM50" s="497"/>
      <c r="AN50" s="497"/>
      <c r="AO50" s="497"/>
      <c r="AP50" s="498"/>
      <c r="AQ50" s="499" t="s">
        <v>403</v>
      </c>
      <c r="AS50" s="129"/>
      <c r="AT50" s="129" t="str">
        <f t="shared" si="19"/>
        <v xml:space="preserve">Территория действия тарифа</v>
      </c>
      <c r="AU50" s="129"/>
      <c r="AV50" s="129"/>
      <c r="AW50" s="50">
        <v>21</v>
      </c>
    </row>
    <row r="51" ht="24" customHeight="1">
      <c r="A51" s="264" t="s">
        <v>174</v>
      </c>
      <c r="B51" s="264" t="s">
        <v>175</v>
      </c>
      <c r="C51" s="264" t="s">
        <v>176</v>
      </c>
      <c r="D51" s="264"/>
      <c r="E51" s="585"/>
      <c r="F51" s="585"/>
      <c r="G51" s="584">
        <v>1</v>
      </c>
      <c r="H51" s="264"/>
      <c r="I51" s="264"/>
      <c r="J51" s="264"/>
      <c r="K51" s="264"/>
      <c r="L51" s="264"/>
      <c r="M51" s="333"/>
      <c r="N51" s="86"/>
      <c r="O51" s="86"/>
      <c r="P51" s="86"/>
      <c r="Q51" s="504"/>
      <c r="R51" s="501"/>
      <c r="S51" s="50"/>
      <c r="T51" s="502"/>
      <c r="U51" s="493" t="str">
        <f>INDEX(PT_DIFFERENTIATION_NUM_CS,MATCH(C51,PT_DIFFERENTIATION_CS_ID,0))</f>
        <v>..</v>
      </c>
      <c r="V51" s="505" t="s">
        <v>404</v>
      </c>
      <c r="W51" s="495"/>
      <c r="X51" s="496"/>
      <c r="Y51" s="497"/>
      <c r="Z51" s="497"/>
      <c r="AA51" s="497"/>
      <c r="AB51" s="497"/>
      <c r="AC51" s="497"/>
      <c r="AD51" s="497"/>
      <c r="AE51" s="497"/>
      <c r="AF51" s="498"/>
      <c r="AG51" s="496" t="str">
        <f>INDEX(PT_DIFFERENTIATION_CS,MATCH(C51,PT_DIFFERENTIATION_CS_ID,0))</f>
        <v/>
      </c>
      <c r="AH51" s="497"/>
      <c r="AI51" s="497"/>
      <c r="AJ51" s="497"/>
      <c r="AK51" s="497"/>
      <c r="AL51" s="497"/>
      <c r="AM51" s="497"/>
      <c r="AN51" s="497"/>
      <c r="AO51" s="497"/>
      <c r="AP51" s="498"/>
      <c r="AQ51" s="499" t="s">
        <v>405</v>
      </c>
      <c r="AS51" s="129"/>
      <c r="AT51" s="129" t="str">
        <f t="shared" si="19"/>
        <v xml:space="preserve">Наименование системы теплоснабжения </v>
      </c>
      <c r="AU51" s="129"/>
      <c r="AV51" s="129"/>
      <c r="AW51" s="50">
        <v>23</v>
      </c>
    </row>
    <row r="52" ht="22" customHeight="1">
      <c r="A52" s="264" t="s">
        <v>174</v>
      </c>
      <c r="B52" s="264" t="s">
        <v>175</v>
      </c>
      <c r="C52" s="264" t="s">
        <v>176</v>
      </c>
      <c r="D52" s="264" t="s">
        <v>177</v>
      </c>
      <c r="E52" s="585"/>
      <c r="F52" s="585"/>
      <c r="G52" s="585"/>
      <c r="H52" s="584">
        <v>1</v>
      </c>
      <c r="I52" s="264"/>
      <c r="J52" s="264"/>
      <c r="K52" s="264"/>
      <c r="L52" s="264"/>
      <c r="M52" s="333"/>
      <c r="N52" s="86"/>
      <c r="O52" s="86"/>
      <c r="P52" s="86"/>
      <c r="Q52" s="504"/>
      <c r="R52" s="501"/>
      <c r="S52" s="50"/>
      <c r="T52" s="502"/>
      <c r="U52" s="493" t="str">
        <f>INDEX(PT_DIFFERENTIATION_NUM_IST_TE,MATCH(D52,PT_DIFFERENTIATION_IST_TE_ID,0))</f>
        <v>...</v>
      </c>
      <c r="V52" s="506" t="s">
        <v>406</v>
      </c>
      <c r="W52" s="495"/>
      <c r="X52" s="496"/>
      <c r="Y52" s="497"/>
      <c r="Z52" s="497"/>
      <c r="AA52" s="497"/>
      <c r="AB52" s="497"/>
      <c r="AC52" s="497"/>
      <c r="AD52" s="497"/>
      <c r="AE52" s="497"/>
      <c r="AF52" s="498"/>
      <c r="AG52" s="496" t="str">
        <f>INDEX(PT_DIFFERENTIATION_IST_TE,MATCH(D52,PT_DIFFERENTIATION_IST_TE_ID,0))</f>
        <v/>
      </c>
      <c r="AH52" s="497"/>
      <c r="AI52" s="497"/>
      <c r="AJ52" s="497"/>
      <c r="AK52" s="497"/>
      <c r="AL52" s="497"/>
      <c r="AM52" s="497"/>
      <c r="AN52" s="497"/>
      <c r="AO52" s="497"/>
      <c r="AP52" s="498"/>
      <c r="AQ52" s="499" t="s">
        <v>407</v>
      </c>
      <c r="AS52" s="129"/>
      <c r="AT52" s="129" t="str">
        <f t="shared" si="19"/>
        <v xml:space="preserve">Источник тепловой энергии  </v>
      </c>
      <c r="AU52" s="129"/>
      <c r="AV52" s="129"/>
      <c r="AW52" s="50">
        <v>21</v>
      </c>
    </row>
    <row r="53" s="57" customFormat="1" ht="0" customHeight="1">
      <c r="A53" s="586" t="s">
        <v>174</v>
      </c>
      <c r="B53" s="586" t="s">
        <v>175</v>
      </c>
      <c r="C53" s="586" t="s">
        <v>176</v>
      </c>
      <c r="D53" s="586" t="s">
        <v>177</v>
      </c>
      <c r="E53" s="585"/>
      <c r="F53" s="585"/>
      <c r="G53" s="585"/>
      <c r="H53" s="585"/>
      <c r="I53" s="157" t="str">
        <f>U52&amp;".1"</f>
        <v>....1</v>
      </c>
      <c r="J53" s="586"/>
      <c r="K53" s="586"/>
      <c r="L53" s="586"/>
      <c r="M53" s="587" t="s">
        <v>408</v>
      </c>
      <c r="N53" s="572"/>
      <c r="O53" s="572"/>
      <c r="P53" s="572"/>
      <c r="Q53" s="132">
        <v>1</v>
      </c>
      <c r="R53" s="132"/>
      <c r="S53" s="132"/>
      <c r="T53" s="508"/>
      <c r="U53" s="362"/>
      <c r="V53" s="595"/>
      <c r="W53" s="596"/>
      <c r="X53" s="597"/>
      <c r="Y53" s="598"/>
      <c r="Z53" s="598"/>
      <c r="AA53" s="598"/>
      <c r="AB53" s="598"/>
      <c r="AC53" s="598"/>
      <c r="AD53" s="598"/>
      <c r="AE53" s="598"/>
      <c r="AF53" s="599"/>
      <c r="AG53" s="597"/>
      <c r="AH53" s="598"/>
      <c r="AI53" s="598"/>
      <c r="AJ53" s="598"/>
      <c r="AK53" s="598"/>
      <c r="AL53" s="598"/>
      <c r="AM53" s="598"/>
      <c r="AN53" s="598"/>
      <c r="AO53" s="598"/>
      <c r="AP53" s="599"/>
      <c r="AQ53" s="600"/>
      <c r="AS53" s="129"/>
      <c r="AT53" s="129" t="str">
        <f t="shared" si="19"/>
        <v/>
      </c>
      <c r="AU53" s="129"/>
      <c r="AV53" s="129"/>
      <c r="AW53" s="57">
        <v>0</v>
      </c>
    </row>
    <row r="54" ht="22" customHeight="1">
      <c r="A54" s="264" t="s">
        <v>174</v>
      </c>
      <c r="B54" s="264" t="s">
        <v>175</v>
      </c>
      <c r="C54" s="264" t="s">
        <v>176</v>
      </c>
      <c r="D54" s="264" t="s">
        <v>177</v>
      </c>
      <c r="E54" s="585"/>
      <c r="F54" s="585"/>
      <c r="G54" s="585"/>
      <c r="H54" s="585"/>
      <c r="I54" s="73"/>
      <c r="J54" s="157" t="str">
        <f>I53&amp;".1"</f>
        <v>....1.1</v>
      </c>
      <c r="K54" s="264"/>
      <c r="L54" s="264"/>
      <c r="M54" s="333" t="s">
        <v>411</v>
      </c>
      <c r="Q54" s="132"/>
      <c r="R54" s="132">
        <v>1</v>
      </c>
      <c r="S54" s="57"/>
      <c r="T54" s="513"/>
      <c r="U54" s="493" t="str">
        <f>$J54</f>
        <v>....1.1</v>
      </c>
      <c r="V54" s="514" t="s">
        <v>412</v>
      </c>
      <c r="W54" s="495"/>
      <c r="X54" s="440"/>
      <c r="Y54" s="510"/>
      <c r="Z54" s="510"/>
      <c r="AA54" s="510"/>
      <c r="AB54" s="510"/>
      <c r="AC54" s="455"/>
      <c r="AD54" s="455"/>
      <c r="AE54" s="455"/>
      <c r="AF54" s="623"/>
      <c r="AG54" s="440"/>
      <c r="AH54" s="510"/>
      <c r="AI54" s="510"/>
      <c r="AJ54" s="510"/>
      <c r="AK54" s="510"/>
      <c r="AL54" s="510"/>
      <c r="AM54" s="510"/>
      <c r="AN54" s="510"/>
      <c r="AO54" s="510"/>
      <c r="AP54" s="511"/>
      <c r="AQ54" s="499" t="s">
        <v>413</v>
      </c>
      <c r="AS54" s="129"/>
      <c r="AT54" s="129" t="str">
        <f t="shared" si="19"/>
        <v xml:space="preserve">Группа потребителей</v>
      </c>
      <c r="AU54" s="129"/>
      <c r="AV54" s="129"/>
      <c r="AW54" s="50">
        <v>21</v>
      </c>
    </row>
    <row r="55" ht="22" customHeight="1">
      <c r="A55" s="264" t="s">
        <v>174</v>
      </c>
      <c r="B55" s="264" t="s">
        <v>175</v>
      </c>
      <c r="C55" s="264" t="s">
        <v>176</v>
      </c>
      <c r="D55" s="264" t="s">
        <v>177</v>
      </c>
      <c r="E55" s="585"/>
      <c r="F55" s="585"/>
      <c r="G55" s="585"/>
      <c r="H55" s="585"/>
      <c r="I55" s="73"/>
      <c r="J55" s="73"/>
      <c r="K55" s="157" t="str">
        <f>J54&amp;".1"</f>
        <v>....1.1.1</v>
      </c>
      <c r="L55" s="51"/>
      <c r="M55" s="333" t="s">
        <v>414</v>
      </c>
      <c r="Q55" s="132"/>
      <c r="R55" s="132"/>
      <c r="S55" s="57">
        <v>1</v>
      </c>
      <c r="T55" s="513"/>
      <c r="U55" s="493" t="str">
        <f>$K55</f>
        <v>....1.1.1</v>
      </c>
      <c r="V55" s="515"/>
      <c r="W55" s="495"/>
      <c r="X55" s="516"/>
      <c r="Y55" s="516"/>
      <c r="Z55" s="516"/>
      <c r="AA55" s="516"/>
      <c r="AB55" s="624"/>
      <c r="AC55" s="519"/>
      <c r="AD55" s="224" t="s">
        <v>67</v>
      </c>
      <c r="AE55" s="519"/>
      <c r="AF55" s="224" t="s">
        <v>67</v>
      </c>
      <c r="AG55" s="625"/>
      <c r="AH55" s="516"/>
      <c r="AI55" s="516"/>
      <c r="AJ55" s="516"/>
      <c r="AK55" s="518"/>
      <c r="AL55" s="519"/>
      <c r="AM55" s="224" t="s">
        <v>67</v>
      </c>
      <c r="AN55" s="519"/>
      <c r="AO55" s="224" t="s">
        <v>67</v>
      </c>
      <c r="AP55" s="580"/>
      <c r="AQ55" s="626" t="s">
        <v>453</v>
      </c>
      <c r="AR55" s="57" t="e">
        <f t="shared" ref="AR55:AR56" si="20">STRCHECKDATE(X57:AP57)</f>
        <v>#NAME?</v>
      </c>
      <c r="AS55" s="129"/>
      <c r="AT55" s="129" t="str">
        <f t="shared" si="19"/>
        <v/>
      </c>
      <c r="AU55" s="129"/>
      <c r="AV55" s="129"/>
      <c r="AW55" s="50">
        <v>21</v>
      </c>
    </row>
    <row r="56" ht="11.5" customHeight="1">
      <c r="A56" s="264" t="s">
        <v>174</v>
      </c>
      <c r="B56" s="264" t="s">
        <v>175</v>
      </c>
      <c r="C56" s="264" t="s">
        <v>176</v>
      </c>
      <c r="D56" s="264" t="s">
        <v>177</v>
      </c>
      <c r="E56" s="585"/>
      <c r="F56" s="585"/>
      <c r="G56" s="585"/>
      <c r="H56" s="585"/>
      <c r="I56" s="73"/>
      <c r="J56" s="73"/>
      <c r="K56" s="73"/>
      <c r="L56" s="157" t="str">
        <f>K55&amp;".1"</f>
        <v>....1.1.1.1</v>
      </c>
      <c r="M56" s="333"/>
      <c r="Q56" s="132"/>
      <c r="R56" s="132"/>
      <c r="S56" s="57">
        <v>1</v>
      </c>
      <c r="T56" s="513"/>
      <c r="U56" s="493" t="str">
        <f>$L56</f>
        <v>....1.1.1.1</v>
      </c>
      <c r="V56" s="627"/>
      <c r="W56" s="495"/>
      <c r="X56" s="517"/>
      <c r="Y56" s="516"/>
      <c r="Z56" s="516"/>
      <c r="AA56" s="516"/>
      <c r="AB56" s="624"/>
      <c r="AC56" s="522"/>
      <c r="AD56" s="224"/>
      <c r="AE56" s="522"/>
      <c r="AF56" s="224"/>
      <c r="AG56" s="625"/>
      <c r="AH56" s="516"/>
      <c r="AI56" s="516"/>
      <c r="AJ56" s="516"/>
      <c r="AK56" s="518"/>
      <c r="AL56" s="522"/>
      <c r="AM56" s="224"/>
      <c r="AN56" s="522"/>
      <c r="AO56" s="224"/>
      <c r="AP56" s="580"/>
      <c r="AQ56" s="520" t="s">
        <v>454</v>
      </c>
      <c r="AR56" s="57" t="e">
        <f t="shared" si="20"/>
        <v>#NAME?</v>
      </c>
      <c r="AS56" s="129"/>
      <c r="AT56" s="129" t="str">
        <f t="shared" si="19"/>
        <v/>
      </c>
      <c r="AU56" s="129"/>
      <c r="AV56" s="129"/>
      <c r="AW56" s="50">
        <v>11</v>
      </c>
    </row>
    <row r="57" ht="0" customHeight="1">
      <c r="A57" s="264" t="s">
        <v>174</v>
      </c>
      <c r="B57" s="264" t="s">
        <v>175</v>
      </c>
      <c r="C57" s="264" t="s">
        <v>176</v>
      </c>
      <c r="D57" s="264" t="s">
        <v>177</v>
      </c>
      <c r="E57" s="585"/>
      <c r="F57" s="585"/>
      <c r="G57" s="585"/>
      <c r="H57" s="585"/>
      <c r="I57" s="73"/>
      <c r="J57" s="73"/>
      <c r="K57" s="73"/>
      <c r="L57" s="157"/>
      <c r="M57" s="333"/>
      <c r="Q57" s="132"/>
      <c r="R57" s="132"/>
      <c r="S57" s="57"/>
      <c r="T57" s="513"/>
      <c r="U57" s="467"/>
      <c r="V57" s="495"/>
      <c r="W57" s="495"/>
      <c r="X57" s="517"/>
      <c r="Y57" s="517"/>
      <c r="Z57" s="517"/>
      <c r="AA57" s="517"/>
      <c r="AB57" s="628" t="str">
        <f>AC55&amp;"-"&amp;AE55</f>
        <v>-</v>
      </c>
      <c r="AC57" s="522"/>
      <c r="AD57" s="224"/>
      <c r="AE57" s="522"/>
      <c r="AF57" s="224"/>
      <c r="AG57" s="629"/>
      <c r="AH57" s="517"/>
      <c r="AI57" s="517"/>
      <c r="AJ57" s="517"/>
      <c r="AK57" s="521" t="str">
        <f>AL55&amp;"-"&amp;AN55</f>
        <v>-</v>
      </c>
      <c r="AL57" s="522"/>
      <c r="AM57" s="224"/>
      <c r="AN57" s="522"/>
      <c r="AO57" s="224"/>
      <c r="AP57" s="582"/>
      <c r="AQ57" s="523"/>
      <c r="AS57" s="129"/>
      <c r="AT57" s="129" t="str">
        <f t="shared" si="19"/>
        <v/>
      </c>
      <c r="AU57" s="129"/>
      <c r="AV57" s="129"/>
      <c r="AW57" s="50">
        <v>0</v>
      </c>
    </row>
    <row r="58" ht="11.5" customHeight="1">
      <c r="A58" s="264" t="s">
        <v>174</v>
      </c>
      <c r="B58" s="264" t="s">
        <v>175</v>
      </c>
      <c r="C58" s="264" t="s">
        <v>176</v>
      </c>
      <c r="D58" s="264" t="s">
        <v>177</v>
      </c>
      <c r="E58" s="585"/>
      <c r="F58" s="585"/>
      <c r="G58" s="585"/>
      <c r="H58" s="585"/>
      <c r="I58" s="73"/>
      <c r="J58" s="73"/>
      <c r="K58" s="157"/>
      <c r="L58" s="264"/>
      <c r="M58" s="333"/>
      <c r="Q58" s="132"/>
      <c r="R58" s="132"/>
      <c r="S58" s="132"/>
      <c r="T58" s="508"/>
      <c r="U58" s="524"/>
      <c r="V58" s="525" t="s">
        <v>455</v>
      </c>
      <c r="W58" s="214"/>
      <c r="X58" s="214"/>
      <c r="Y58" s="214"/>
      <c r="Z58" s="214"/>
      <c r="AA58" s="214"/>
      <c r="AB58" s="214"/>
      <c r="AC58" s="522"/>
      <c r="AD58" s="224"/>
      <c r="AE58" s="522"/>
      <c r="AF58" s="224"/>
      <c r="AG58" s="214"/>
      <c r="AH58" s="214"/>
      <c r="AI58" s="214"/>
      <c r="AJ58" s="214"/>
      <c r="AK58" s="214"/>
      <c r="AL58" s="522"/>
      <c r="AM58" s="224"/>
      <c r="AN58" s="522"/>
      <c r="AO58" s="224"/>
      <c r="AP58" s="526"/>
      <c r="AQ58" s="523"/>
      <c r="AS58" s="129"/>
      <c r="AT58" s="129" t="str">
        <f t="shared" si="19"/>
        <v xml:space="preserve">Добавить наименование поставщика</v>
      </c>
      <c r="AU58" s="129"/>
      <c r="AV58" s="129"/>
      <c r="AW58" s="50">
        <v>11</v>
      </c>
    </row>
    <row r="59" ht="11.5" customHeight="1">
      <c r="A59" s="264" t="s">
        <v>174</v>
      </c>
      <c r="B59" s="264" t="s">
        <v>175</v>
      </c>
      <c r="C59" s="264" t="s">
        <v>176</v>
      </c>
      <c r="D59" s="264" t="s">
        <v>177</v>
      </c>
      <c r="E59" s="585"/>
      <c r="F59" s="585"/>
      <c r="G59" s="585"/>
      <c r="H59" s="585"/>
      <c r="I59" s="73"/>
      <c r="J59" s="157"/>
      <c r="K59" s="264"/>
      <c r="L59" s="264"/>
      <c r="M59" s="333"/>
      <c r="Q59" s="132"/>
      <c r="R59" s="132"/>
      <c r="S59" s="132"/>
      <c r="T59" s="508"/>
      <c r="U59" s="524"/>
      <c r="V59" s="528" t="s">
        <v>416</v>
      </c>
      <c r="W59" s="214"/>
      <c r="X59" s="214"/>
      <c r="Y59" s="214"/>
      <c r="Z59" s="214"/>
      <c r="AA59" s="214"/>
      <c r="AB59" s="214"/>
      <c r="AC59" s="634"/>
      <c r="AD59" s="634"/>
      <c r="AE59" s="634"/>
      <c r="AF59" s="634"/>
      <c r="AG59" s="214"/>
      <c r="AH59" s="214"/>
      <c r="AI59" s="214"/>
      <c r="AJ59" s="214"/>
      <c r="AK59" s="214"/>
      <c r="AL59" s="214"/>
      <c r="AM59" s="214"/>
      <c r="AN59" s="214"/>
      <c r="AO59" s="214"/>
      <c r="AP59" s="526"/>
      <c r="AQ59" s="527"/>
      <c r="AS59" s="129"/>
      <c r="AT59" s="129" t="str">
        <f t="shared" si="19"/>
        <v xml:space="preserve">Добавить вид теплоносителя (параметры теплоносителя)</v>
      </c>
      <c r="AU59" s="129"/>
      <c r="AV59" s="129"/>
      <c r="AW59" s="50">
        <v>11</v>
      </c>
    </row>
    <row r="60" ht="11.5" customHeight="1">
      <c r="A60" s="264" t="s">
        <v>174</v>
      </c>
      <c r="B60" s="264" t="s">
        <v>175</v>
      </c>
      <c r="C60" s="264" t="s">
        <v>176</v>
      </c>
      <c r="D60" s="264" t="s">
        <v>177</v>
      </c>
      <c r="E60" s="585"/>
      <c r="F60" s="585"/>
      <c r="G60" s="585"/>
      <c r="H60" s="585"/>
      <c r="I60" s="157"/>
      <c r="J60" s="264"/>
      <c r="K60" s="264"/>
      <c r="L60" s="264"/>
      <c r="M60" s="333"/>
      <c r="Q60" s="132"/>
      <c r="R60" s="132"/>
      <c r="S60" s="132"/>
      <c r="T60" s="508"/>
      <c r="U60" s="524"/>
      <c r="V60" s="532" t="s">
        <v>417</v>
      </c>
      <c r="W60" s="214"/>
      <c r="X60" s="214"/>
      <c r="Y60" s="214"/>
      <c r="Z60" s="214"/>
      <c r="AA60" s="214"/>
      <c r="AB60" s="214"/>
      <c r="AC60" s="214"/>
      <c r="AD60" s="214"/>
      <c r="AE60" s="214"/>
      <c r="AF60" s="529"/>
      <c r="AG60" s="214"/>
      <c r="AH60" s="214"/>
      <c r="AI60" s="214"/>
      <c r="AJ60" s="214"/>
      <c r="AK60" s="214"/>
      <c r="AL60" s="214"/>
      <c r="AM60" s="214"/>
      <c r="AN60" s="214"/>
      <c r="AO60" s="529"/>
      <c r="AP60" s="214"/>
      <c r="AQ60" s="530"/>
      <c r="AS60" s="129"/>
      <c r="AT60" s="129" t="str">
        <f t="shared" si="19"/>
        <v xml:space="preserve">Добавить группу потребителей</v>
      </c>
      <c r="AU60" s="129"/>
      <c r="AV60" s="129"/>
      <c r="AW60" s="50">
        <v>11</v>
      </c>
    </row>
    <row r="61" ht="0" customHeight="1">
      <c r="A61" s="264" t="s">
        <v>174</v>
      </c>
      <c r="B61" s="264" t="s">
        <v>175</v>
      </c>
      <c r="C61" s="264" t="s">
        <v>176</v>
      </c>
      <c r="D61" s="264" t="s">
        <v>177</v>
      </c>
      <c r="E61" s="585"/>
      <c r="F61" s="585"/>
      <c r="G61" s="585"/>
      <c r="H61" s="584"/>
      <c r="I61" s="264"/>
      <c r="J61" s="264"/>
      <c r="K61" s="264"/>
      <c r="L61" s="264"/>
      <c r="M61" s="333"/>
      <c r="N61" s="86"/>
      <c r="O61" s="86"/>
      <c r="P61" s="50"/>
      <c r="Q61" s="143"/>
      <c r="R61" s="531"/>
      <c r="S61" s="492"/>
      <c r="T61" s="143"/>
      <c r="U61" s="601"/>
      <c r="V61" s="602"/>
      <c r="W61" s="603"/>
      <c r="X61" s="603"/>
      <c r="Y61" s="603"/>
      <c r="Z61" s="603"/>
      <c r="AA61" s="603"/>
      <c r="AB61" s="603"/>
      <c r="AC61" s="603"/>
      <c r="AD61" s="603"/>
      <c r="AE61" s="603"/>
      <c r="AF61" s="603"/>
      <c r="AG61" s="603"/>
      <c r="AH61" s="603"/>
      <c r="AI61" s="603"/>
      <c r="AJ61" s="603"/>
      <c r="AK61" s="603"/>
      <c r="AL61" s="603"/>
      <c r="AM61" s="603"/>
      <c r="AN61" s="603"/>
      <c r="AO61" s="603"/>
      <c r="AP61" s="603"/>
      <c r="AQ61" s="604"/>
      <c r="AS61" s="129"/>
      <c r="AT61" s="129" t="str">
        <f t="shared" si="19"/>
        <v/>
      </c>
      <c r="AU61" s="129"/>
      <c r="AV61" s="129"/>
      <c r="AW61" s="50">
        <v>0</v>
      </c>
    </row>
    <row r="62" s="57" customFormat="1" ht="0" customHeight="1">
      <c r="A62" s="586" t="s">
        <v>174</v>
      </c>
      <c r="B62" s="586" t="s">
        <v>175</v>
      </c>
      <c r="C62" s="586" t="s">
        <v>176</v>
      </c>
      <c r="D62" s="586"/>
      <c r="E62" s="585"/>
      <c r="F62" s="585"/>
      <c r="G62" s="584"/>
      <c r="H62" s="586"/>
      <c r="I62" s="586"/>
      <c r="J62" s="586"/>
      <c r="K62" s="586"/>
      <c r="L62" s="586"/>
      <c r="M62" s="587"/>
      <c r="N62" s="588"/>
      <c r="O62" s="588"/>
      <c r="P62" s="131"/>
      <c r="Q62" s="167"/>
      <c r="R62" s="533"/>
      <c r="S62" s="167"/>
      <c r="T62" s="167"/>
      <c r="U62" s="538"/>
      <c r="V62" s="541" t="s">
        <v>211</v>
      </c>
      <c r="W62" s="540"/>
      <c r="X62" s="540"/>
      <c r="Y62" s="540"/>
      <c r="Z62" s="540"/>
      <c r="AA62" s="540"/>
      <c r="AB62" s="540"/>
      <c r="AC62" s="540"/>
      <c r="AD62" s="540"/>
      <c r="AE62" s="540"/>
      <c r="AF62" s="540"/>
      <c r="AG62" s="540"/>
      <c r="AH62" s="540"/>
      <c r="AI62" s="540"/>
      <c r="AJ62" s="540"/>
      <c r="AK62" s="540"/>
      <c r="AL62" s="540"/>
      <c r="AM62" s="540"/>
      <c r="AN62" s="540"/>
      <c r="AO62" s="540"/>
      <c r="AP62" s="540"/>
      <c r="AQ62" s="540"/>
      <c r="AS62" s="129"/>
      <c r="AT62" s="129" t="str">
        <f t="shared" si="19"/>
        <v xml:space="preserve">Добавить источник для дифференциации</v>
      </c>
      <c r="AU62" s="129"/>
      <c r="AV62" s="129"/>
      <c r="AW62" s="57">
        <v>0</v>
      </c>
    </row>
    <row r="63" s="57" customFormat="1" ht="0" customHeight="1">
      <c r="A63" s="586" t="s">
        <v>174</v>
      </c>
      <c r="B63" s="586" t="s">
        <v>175</v>
      </c>
      <c r="C63" s="586"/>
      <c r="D63" s="586"/>
      <c r="E63" s="585"/>
      <c r="F63" s="584"/>
      <c r="G63" s="586"/>
      <c r="H63" s="586"/>
      <c r="I63" s="586"/>
      <c r="J63" s="586"/>
      <c r="K63" s="586"/>
      <c r="L63" s="586"/>
      <c r="M63" s="587"/>
      <c r="N63" s="589"/>
      <c r="O63" s="589"/>
      <c r="P63" s="131"/>
      <c r="Q63" s="167"/>
      <c r="R63" s="533"/>
      <c r="S63" s="167"/>
      <c r="T63" s="167"/>
      <c r="U63" s="538"/>
      <c r="V63" s="541" t="s">
        <v>212</v>
      </c>
      <c r="W63" s="540"/>
      <c r="X63" s="540"/>
      <c r="Y63" s="540"/>
      <c r="Z63" s="540"/>
      <c r="AA63" s="540"/>
      <c r="AB63" s="540"/>
      <c r="AC63" s="540"/>
      <c r="AD63" s="540"/>
      <c r="AE63" s="540"/>
      <c r="AF63" s="540"/>
      <c r="AG63" s="540"/>
      <c r="AH63" s="540"/>
      <c r="AI63" s="540"/>
      <c r="AJ63" s="540"/>
      <c r="AK63" s="540"/>
      <c r="AL63" s="540"/>
      <c r="AM63" s="540"/>
      <c r="AN63" s="540"/>
      <c r="AO63" s="540"/>
      <c r="AP63" s="540"/>
      <c r="AQ63" s="540"/>
      <c r="AS63" s="129"/>
      <c r="AT63" s="129" t="str">
        <f t="shared" si="19"/>
        <v xml:space="preserve">Добавить централизованную систему для дифференциации</v>
      </c>
      <c r="AU63" s="129"/>
      <c r="AV63" s="129"/>
      <c r="AW63" s="57">
        <v>0</v>
      </c>
    </row>
    <row r="64" s="57" customFormat="1" ht="0" customHeight="1">
      <c r="A64" s="586" t="s">
        <v>174</v>
      </c>
      <c r="B64" s="586"/>
      <c r="C64" s="586"/>
      <c r="D64" s="586"/>
      <c r="E64" s="584"/>
      <c r="F64" s="586"/>
      <c r="G64" s="586"/>
      <c r="H64" s="586"/>
      <c r="I64" s="586"/>
      <c r="J64" s="586"/>
      <c r="K64" s="586"/>
      <c r="L64" s="586"/>
      <c r="M64" s="587"/>
      <c r="N64" s="589"/>
      <c r="O64" s="589"/>
      <c r="P64" s="131"/>
      <c r="Q64" s="167"/>
      <c r="R64" s="533"/>
      <c r="S64" s="167"/>
      <c r="T64" s="167"/>
      <c r="U64" s="538"/>
      <c r="V64" s="541" t="s">
        <v>213</v>
      </c>
      <c r="W64" s="540"/>
      <c r="X64" s="540"/>
      <c r="Y64" s="540"/>
      <c r="Z64" s="540"/>
      <c r="AA64" s="540"/>
      <c r="AB64" s="540"/>
      <c r="AC64" s="540"/>
      <c r="AD64" s="540"/>
      <c r="AE64" s="540"/>
      <c r="AF64" s="540"/>
      <c r="AG64" s="540"/>
      <c r="AH64" s="540"/>
      <c r="AI64" s="540"/>
      <c r="AJ64" s="540"/>
      <c r="AK64" s="540"/>
      <c r="AL64" s="540"/>
      <c r="AM64" s="540"/>
      <c r="AN64" s="540"/>
      <c r="AO64" s="540"/>
      <c r="AP64" s="540"/>
      <c r="AQ64" s="540"/>
      <c r="AS64" s="129"/>
      <c r="AT64" s="129" t="str">
        <f t="shared" si="19"/>
        <v xml:space="preserve">Добавить территорию для дифференциации</v>
      </c>
      <c r="AU64" s="129"/>
      <c r="AV64" s="129"/>
      <c r="AW64" s="57">
        <v>0</v>
      </c>
    </row>
    <row r="65" s="57" customFormat="1" ht="4.2000000000000002" customHeight="1">
      <c r="A65" s="586"/>
      <c r="B65" s="586"/>
      <c r="C65" s="586"/>
      <c r="D65" s="586"/>
      <c r="E65" s="586"/>
      <c r="F65" s="586"/>
      <c r="G65" s="586"/>
      <c r="H65" s="586"/>
      <c r="I65" s="586"/>
      <c r="J65" s="586"/>
      <c r="K65" s="586"/>
      <c r="L65" s="586"/>
      <c r="M65" s="587"/>
      <c r="N65" s="589"/>
      <c r="O65" s="589"/>
      <c r="P65" s="131"/>
      <c r="Q65" s="167"/>
      <c r="R65" s="533"/>
      <c r="S65" s="167"/>
      <c r="T65" s="167"/>
      <c r="U65" s="538"/>
      <c r="V65" s="541" t="s">
        <v>214</v>
      </c>
      <c r="W65" s="540"/>
      <c r="X65" s="540"/>
      <c r="Y65" s="540"/>
      <c r="Z65" s="540"/>
      <c r="AA65" s="540"/>
      <c r="AB65" s="540"/>
      <c r="AC65" s="540"/>
      <c r="AD65" s="540"/>
      <c r="AE65" s="540"/>
      <c r="AF65" s="540"/>
      <c r="AG65" s="540"/>
      <c r="AH65" s="540"/>
      <c r="AI65" s="540"/>
      <c r="AJ65" s="540"/>
      <c r="AK65" s="540"/>
      <c r="AL65" s="540"/>
      <c r="AM65" s="540"/>
      <c r="AN65" s="540"/>
      <c r="AO65" s="540"/>
      <c r="AP65" s="540"/>
      <c r="AQ65" s="540"/>
      <c r="AS65" s="129"/>
      <c r="AT65" s="129" t="str">
        <f t="shared" si="19"/>
        <v xml:space="preserve">Добавить наименование тарифа</v>
      </c>
      <c r="AU65" s="129"/>
      <c r="AV65" s="129"/>
      <c r="AW65" s="57">
        <v>4</v>
      </c>
    </row>
    <row r="66" ht="11.5" customHeight="1">
      <c r="N66" s="50"/>
      <c r="O66" s="50"/>
      <c r="P66" s="50"/>
      <c r="Q66" s="50"/>
      <c r="R66" s="50"/>
      <c r="S66" s="50"/>
      <c r="T66" s="50"/>
      <c r="U66" s="50"/>
      <c r="AR66" s="50"/>
      <c r="AS66" s="50"/>
      <c r="AT66" s="50"/>
      <c r="AU66" s="50"/>
      <c r="AV66" s="50"/>
      <c r="AW66" s="50">
        <v>11</v>
      </c>
    </row>
    <row r="67" ht="35.649999999999999" customHeight="1">
      <c r="P67" s="50"/>
      <c r="U67" s="485"/>
      <c r="V67" s="583"/>
      <c r="W67" s="583"/>
      <c r="X67" s="583"/>
      <c r="Y67" s="583"/>
      <c r="Z67" s="583"/>
      <c r="AA67" s="583"/>
      <c r="AB67" s="583"/>
      <c r="AC67" s="583"/>
      <c r="AD67" s="583"/>
      <c r="AE67" s="583"/>
      <c r="AF67" s="583"/>
      <c r="AG67" s="583"/>
      <c r="AH67" s="583"/>
      <c r="AI67" s="583"/>
      <c r="AJ67" s="583"/>
      <c r="AK67" s="583"/>
      <c r="AL67" s="583"/>
      <c r="AM67" s="583"/>
      <c r="AN67" s="583"/>
      <c r="AO67" s="583"/>
      <c r="AP67" s="583"/>
      <c r="AQ67" s="583"/>
      <c r="AW67" s="50">
        <v>34</v>
      </c>
    </row>
    <row r="68" ht="21" customHeight="1">
      <c r="P68" s="50"/>
      <c r="V68" s="583"/>
      <c r="W68" s="583"/>
      <c r="X68" s="583"/>
      <c r="Y68" s="583"/>
      <c r="Z68" s="583"/>
      <c r="AA68" s="583"/>
      <c r="AB68" s="583"/>
      <c r="AC68" s="583"/>
      <c r="AD68" s="583"/>
      <c r="AE68" s="583"/>
      <c r="AF68" s="583"/>
      <c r="AG68" s="583"/>
      <c r="AH68" s="583"/>
      <c r="AI68" s="583"/>
      <c r="AJ68" s="583"/>
      <c r="AK68" s="583"/>
      <c r="AL68" s="583"/>
      <c r="AM68" s="583"/>
      <c r="AN68" s="583"/>
      <c r="AO68" s="583"/>
      <c r="AP68" s="583"/>
      <c r="AQ68" s="583"/>
      <c r="AW68" s="50">
        <v>20</v>
      </c>
    </row>
    <row r="69" ht="14.65" customHeight="1">
      <c r="P69" s="50"/>
      <c r="AW69" s="50">
        <v>14</v>
      </c>
    </row>
    <row r="70" ht="28.5" customHeight="1">
      <c r="P70" s="50"/>
      <c r="V70" s="583"/>
      <c r="W70" s="583"/>
      <c r="X70" s="583"/>
      <c r="Y70" s="583"/>
      <c r="Z70" s="583"/>
      <c r="AA70" s="583"/>
      <c r="AB70" s="583"/>
      <c r="AC70" s="583"/>
      <c r="AD70" s="583"/>
      <c r="AE70" s="583"/>
      <c r="AF70" s="583"/>
      <c r="AG70" s="583"/>
      <c r="AH70" s="583"/>
      <c r="AI70" s="583"/>
      <c r="AJ70" s="583"/>
      <c r="AK70" s="583"/>
      <c r="AL70" s="583"/>
      <c r="AM70" s="583"/>
      <c r="AN70" s="583"/>
      <c r="AO70" s="583"/>
      <c r="AP70" s="583"/>
      <c r="AQ70" s="583"/>
      <c r="AW70" s="50">
        <v>27</v>
      </c>
    </row>
    <row r="71" ht="18.75" customHeight="1">
      <c r="P71" s="50"/>
      <c r="V71" s="583"/>
      <c r="W71" s="583"/>
      <c r="X71" s="583"/>
      <c r="Y71" s="583"/>
      <c r="Z71" s="583"/>
      <c r="AA71" s="583"/>
      <c r="AB71" s="583"/>
      <c r="AC71" s="583"/>
      <c r="AD71" s="583"/>
      <c r="AE71" s="583"/>
      <c r="AF71" s="583"/>
      <c r="AG71" s="583"/>
      <c r="AH71" s="583"/>
      <c r="AI71" s="583"/>
      <c r="AJ71" s="583"/>
      <c r="AK71" s="583"/>
      <c r="AL71" s="583"/>
      <c r="AM71" s="583"/>
      <c r="AN71" s="583"/>
      <c r="AO71" s="583"/>
      <c r="AP71" s="583"/>
      <c r="AQ71" s="583"/>
      <c r="AW71" s="50">
        <v>18</v>
      </c>
    </row>
    <row r="72" ht="22.5" hidden="1" customHeight="1">
      <c r="A72" s="50" t="s">
        <v>83</v>
      </c>
      <c r="B72" s="50">
        <v>0</v>
      </c>
      <c r="C72" s="50">
        <v>0</v>
      </c>
      <c r="D72" s="50">
        <v>0</v>
      </c>
      <c r="E72" s="50">
        <v>0</v>
      </c>
      <c r="F72" s="50">
        <v>0</v>
      </c>
      <c r="G72" s="50">
        <v>0</v>
      </c>
      <c r="H72" s="50">
        <v>0</v>
      </c>
      <c r="I72" s="50">
        <v>0</v>
      </c>
      <c r="J72" s="50">
        <v>0</v>
      </c>
      <c r="K72" s="50">
        <v>0</v>
      </c>
      <c r="L72" s="50">
        <v>0</v>
      </c>
      <c r="M72" s="51">
        <v>0</v>
      </c>
      <c r="N72" s="60">
        <v>0</v>
      </c>
      <c r="O72" s="60">
        <v>0</v>
      </c>
      <c r="P72" s="60">
        <v>0</v>
      </c>
      <c r="Q72" s="60">
        <v>0</v>
      </c>
      <c r="R72" s="487">
        <v>3</v>
      </c>
      <c r="S72" s="487">
        <v>3</v>
      </c>
      <c r="T72" s="487">
        <v>3</v>
      </c>
      <c r="U72" s="86">
        <v>12</v>
      </c>
      <c r="V72" s="50">
        <v>31</v>
      </c>
      <c r="W72" s="50">
        <v>0</v>
      </c>
      <c r="X72" s="50">
        <v>0</v>
      </c>
      <c r="Y72" s="50">
        <v>0</v>
      </c>
      <c r="Z72" s="50">
        <v>0</v>
      </c>
      <c r="AA72" s="50">
        <v>0</v>
      </c>
      <c r="AB72" s="50">
        <v>0</v>
      </c>
      <c r="AC72" s="50">
        <v>0</v>
      </c>
      <c r="AD72" s="50">
        <v>0</v>
      </c>
      <c r="AE72" s="50">
        <v>0</v>
      </c>
      <c r="AF72" s="50">
        <v>0</v>
      </c>
      <c r="AG72" s="50">
        <v>21</v>
      </c>
      <c r="AH72" s="50">
        <v>21</v>
      </c>
      <c r="AI72" s="50">
        <v>21</v>
      </c>
      <c r="AJ72" s="50">
        <v>21</v>
      </c>
      <c r="AK72" s="50">
        <v>21</v>
      </c>
      <c r="AL72" s="50">
        <v>11</v>
      </c>
      <c r="AM72" s="50">
        <v>3</v>
      </c>
      <c r="AN72" s="50">
        <v>11</v>
      </c>
      <c r="AO72" s="50">
        <v>8</v>
      </c>
      <c r="AP72" s="50">
        <v>4</v>
      </c>
      <c r="AQ72" s="50">
        <v>115</v>
      </c>
      <c r="AR72" s="57">
        <v>10</v>
      </c>
      <c r="AS72" s="57">
        <v>10</v>
      </c>
      <c r="AT72" s="57">
        <v>10</v>
      </c>
      <c r="AU72" s="57">
        <v>10</v>
      </c>
      <c r="AV72" s="57">
        <v>10</v>
      </c>
      <c r="AW72" s="50">
        <v>23</v>
      </c>
    </row>
  </sheetData>
  <sheetProtection autoFilter="0" deleteColumns="1" deleteRows="1" formatCells="1" formatColumns="0" formatRows="0" insertColumns="1" insertHyperlinks="1" insertRows="1" objects="0" pivotTables="1" scenarios="0" selectLockedCells="0" selectUnlockedCells="0" sheet="1" sort="1"/>
  <mergeCells count="1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J7:J12"/>
    <mergeCell ref="R7:R12"/>
    <mergeCell ref="X7:AF7"/>
    <mergeCell ref="AG7:AP7"/>
    <mergeCell ref="K8:K11"/>
    <mergeCell ref="S8:S11"/>
    <mergeCell ref="AC8:AC11"/>
    <mergeCell ref="AD8:AD11"/>
    <mergeCell ref="AE8:AE11"/>
    <mergeCell ref="AF8:AF11"/>
    <mergeCell ref="AL8:AL11"/>
    <mergeCell ref="AM8:AM11"/>
    <mergeCell ref="AN8:AN11"/>
    <mergeCell ref="AO8:AO11"/>
    <mergeCell ref="L9:L10"/>
    <mergeCell ref="AQ9:AQ12"/>
    <mergeCell ref="AL19:AL22"/>
    <mergeCell ref="AM19:AM22"/>
    <mergeCell ref="AN19:AN22"/>
    <mergeCell ref="AO19:AO22"/>
    <mergeCell ref="U30:AN30"/>
    <mergeCell ref="U31:AN31"/>
    <mergeCell ref="U33:V33"/>
    <mergeCell ref="X33:AE33"/>
    <mergeCell ref="AG33:AN33"/>
    <mergeCell ref="U34:V34"/>
    <mergeCell ref="X34:AE34"/>
    <mergeCell ref="AG34:AN34"/>
    <mergeCell ref="U35:V35"/>
    <mergeCell ref="X35:AE35"/>
    <mergeCell ref="AG35:AN35"/>
    <mergeCell ref="U36:V36"/>
    <mergeCell ref="X36:AE36"/>
    <mergeCell ref="AG36:AN36"/>
    <mergeCell ref="U38:V38"/>
    <mergeCell ref="X38:AE38"/>
    <mergeCell ref="AG38:AN38"/>
    <mergeCell ref="U39:V39"/>
    <mergeCell ref="X39:AE39"/>
    <mergeCell ref="AG39:AN39"/>
    <mergeCell ref="X41:AF41"/>
    <mergeCell ref="AG41:AO41"/>
    <mergeCell ref="U42:AP42"/>
    <mergeCell ref="AQ42:AQ47"/>
    <mergeCell ref="U43:U47"/>
    <mergeCell ref="V43:V47"/>
    <mergeCell ref="X43:AE43"/>
    <mergeCell ref="AF43:AF47"/>
    <mergeCell ref="AG43:AN43"/>
    <mergeCell ref="AO43:AO47"/>
    <mergeCell ref="AP43:AP47"/>
    <mergeCell ref="X44:X47"/>
    <mergeCell ref="Y44:AB44"/>
    <mergeCell ref="AC44:AE45"/>
    <mergeCell ref="AG44:AG47"/>
    <mergeCell ref="AH44:AK44"/>
    <mergeCell ref="AL44:AN45"/>
    <mergeCell ref="Y45:Y47"/>
    <mergeCell ref="Z45:AB45"/>
    <mergeCell ref="AH45:AH47"/>
    <mergeCell ref="AI45:AK45"/>
    <mergeCell ref="Z46:Z47"/>
    <mergeCell ref="AA46:AB46"/>
    <mergeCell ref="AC46:AC47"/>
    <mergeCell ref="AD46:AE47"/>
    <mergeCell ref="AI46:AI47"/>
    <mergeCell ref="AJ46:AK46"/>
    <mergeCell ref="AL46:AL47"/>
    <mergeCell ref="AM46:AN47"/>
    <mergeCell ref="AD48:AE48"/>
    <mergeCell ref="AM48:AN4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X53:AF53"/>
    <mergeCell ref="AG53:AP53"/>
    <mergeCell ref="J54:J59"/>
    <mergeCell ref="R54:R59"/>
    <mergeCell ref="X54:AF54"/>
    <mergeCell ref="AG54:AP54"/>
    <mergeCell ref="K55:K58"/>
    <mergeCell ref="AC55:AC58"/>
    <mergeCell ref="AD55:AD58"/>
    <mergeCell ref="AE55:AE58"/>
    <mergeCell ref="AF55:AF58"/>
    <mergeCell ref="AL55:AL58"/>
    <mergeCell ref="AM55:AM58"/>
    <mergeCell ref="AN55:AN58"/>
    <mergeCell ref="AO55:AO58"/>
    <mergeCell ref="L56:L57"/>
    <mergeCell ref="AQ56:AQ59"/>
    <mergeCell ref="V67:AQ67"/>
    <mergeCell ref="V68:AQ68"/>
    <mergeCell ref="V70:AQ70"/>
    <mergeCell ref="V71:AQ71"/>
  </mergeCells>
  <dataValidations count="4" disablePrompts="0">
    <dataValidation sqref="U131130:AQ131136 U196666:AQ196672 U262202:AQ262208 U327738:AQ327744 U393274:AQ393280 U458810:AQ458816 U524346:AQ524352 U589882:AQ589888 U655418:AQ655424 U720954:AQ720960 U786490:AQ786496 U852026:AQ852032 U917562:AQ917568 U983098:AQ983104 U65594:AQ65600" type="none" allowBlank="1" errorStyle="stop" imeMode="noControl" operator="between" showDropDown="0" showErrorMessage="0" showInputMessage="0"/>
    <dataValidation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type="none" allowBlank="1" errorStyle="stop" imeMode="noControl" operator="between" promptTitle="checkPeriodRange" showDropDown="0" showErrorMessage="0" showInputMessage="0"/>
    <dataValidation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E1002B-00F4-4ABF-8076-005A00D800D3}" type="list" allowBlank="1" error="Выберите значение из списка" errorStyle="stop" errorTitle="Ошибка" imeMode="noControl" operator="between" showDropDown="0" showErrorMessage="1" showInputMessage="1">
          <x14:formula1>
            <xm:f>kind_of_heat_transfer</xm:f>
          </x14:formula1>
          <xm:sqref>V65592 V131128 V196664 V262200 V327736 V393272 V458808 V524344 V589880 V655416 V720952 V786488 V852024 V917560 V983096</xm:sqref>
        </x14:dataValidation>
        <x14:dataValidation xr:uid="{0004003F-00E8-427B-921C-00D000CE00AD}" type="list" allowBlank="1" error="Выберите значение из списка" errorStyle="stop" errorTitle="Ошибка" imeMode="noControl" operator="between" showDropDown="0" showErrorMessage="1" showInputMessage="1">
          <x14:formula1>
            <xm:f>kind_of_scheme_in</xm:f>
          </x14:formula1>
          <xm: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xm:sqref>
        </x14:dataValidation>
        <x14:dataValidation xr:uid="{005E00F5-0036-4442-AF97-000500F60027}"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X983095:AP983095 X65591:AP65591 X131127:AP131127 X196663:AP196663 X262199:AP262199 X327735:AP327735 X393271:AP393271 X458807:AP458807 X524343:AP524343 X589879:AP589879 X655415:AP655415 X720951:AP720951 X786487:AP786487 X852023:AP852023 X917559:AP917559</xm:sqref>
        </x14:dataValidation>
        <x14:dataValidation xr:uid="{00CA0042-0002-48F7-9BEE-006100220035}" type="textLength" allowBlank="1" error="Допускается ввод не более 900 символов!" errorStyle="stop" errorTitle="Ошибка" imeMode="noControl" operator="lessThanOrEqual" showDropDown="0" showErrorMessage="1" showInputMessage="1">
          <x14:formula1>
            <xm:f>900</xm:f>
          </x14:formula1>
          <xm:sqref>AQ65586:AQ65593 AQ131122:AQ131129 AQ196658:AQ196665 AQ262194:AQ262201 AQ327730:AQ327737 AQ393266:AQ393273 AQ458802:AQ458809 AQ524338:AQ524345 AQ589874:AQ589881 AQ655410:AQ655417 AQ720946:AQ720953 AQ786482:AQ786489 AQ852018:AQ852025 AQ917554:AQ917561 AQ983090:AQ983097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outlinePr applyStyles="0" summaryBelow="1" summaryRight="1" showOutlineSymbols="1"/>
    <pageSetUpPr autoPageBreaks="1" fitToPage="0"/>
  </sheetPr>
  <sheetViews>
    <sheetView showGridLines="0" topLeftCell="C1" zoomScale="90" workbookViewId="0">
      <selection activeCell="I27" activeCellId="0" sqref="I27"/>
    </sheetView>
  </sheetViews>
  <sheetFormatPr defaultColWidth="9.140625" defaultRowHeight="11.25" customHeight="1"/>
  <cols>
    <col customWidth="1" hidden="1" min="1" max="1" style="47" width="10.7109375"/>
    <col customWidth="1" hidden="1" min="2" max="2" style="48" width="10.7109375"/>
    <col customWidth="1" min="3" max="3" style="49" width="3.00390625"/>
    <col customWidth="1" min="4" max="4" style="50" width="1.00390625"/>
    <col customWidth="1" min="5" max="6" style="50" width="55.00390625"/>
    <col customWidth="1" min="7" max="7" style="51" width="1.00390625"/>
    <col customWidth="1" hidden="1" min="8" max="8" style="50" width="18.00390625"/>
    <col customWidth="1" min="9" max="9" style="52" width="59.00390625"/>
    <col customWidth="1" hidden="1" min="10" max="10" style="53" width="52.140625"/>
    <col customWidth="1" min="11" max="11" style="50" width="8.00390625"/>
    <col customWidth="1" min="12" max="12" style="50" width="77.00390625"/>
    <col customWidth="1" min="13" max="16" style="50" width="8.00390625"/>
    <col customWidth="1" hidden="1" min="17" max="17" style="50" width="12.00390625"/>
  </cols>
  <sheetData>
    <row r="1" s="54" customFormat="1" ht="3" customHeight="1">
      <c r="A1" s="47"/>
      <c r="B1" s="55"/>
      <c r="F1" s="54" t="s">
        <v>13</v>
      </c>
      <c r="G1" s="52"/>
      <c r="H1" s="56"/>
      <c r="I1" s="52"/>
      <c r="J1" s="57"/>
      <c r="Q1" s="54" t="s">
        <v>14</v>
      </c>
    </row>
    <row r="2" s="56" customFormat="1" ht="14.25" customHeight="1">
      <c r="A2" s="47"/>
      <c r="B2" s="48"/>
      <c r="E2" s="58" t="str">
        <f>code</f>
        <v xml:space="preserve">Код отчёта: PP110.OPEN.INFO.REQUEST.HEAT.EIAS</v>
      </c>
      <c r="F2" s="59"/>
      <c r="G2" s="60"/>
      <c r="H2" s="60"/>
      <c r="I2" s="60"/>
      <c r="J2" s="61"/>
      <c r="K2" s="60"/>
      <c r="Q2" s="56">
        <v>14</v>
      </c>
    </row>
    <row r="3" ht="14.65" customHeight="1">
      <c r="E3" s="62" t="str">
        <f>version</f>
        <v xml:space="preserve">Версия отчёта: 1.1.1</v>
      </c>
      <c r="F3" s="59"/>
      <c r="G3" s="63"/>
      <c r="H3" s="63"/>
      <c r="I3" s="63"/>
      <c r="J3" s="64"/>
      <c r="K3" s="63"/>
      <c r="Q3" s="50">
        <v>14</v>
      </c>
    </row>
    <row r="4" s="65" customFormat="1" ht="6.2999999999999998" customHeight="1">
      <c r="A4" s="47"/>
      <c r="B4" s="66"/>
      <c r="C4" s="67"/>
      <c r="D4" s="68"/>
      <c r="E4" s="65"/>
      <c r="F4" s="69"/>
      <c r="G4" s="51"/>
      <c r="H4" s="50"/>
      <c r="I4" s="52"/>
      <c r="J4" s="70"/>
      <c r="Q4" s="65">
        <v>6</v>
      </c>
    </row>
    <row r="5" ht="39.75" customHeight="1">
      <c r="D5" s="71"/>
      <c r="E5" s="72" t="str">
        <f>NameTemplatesInTitle</f>
        <v xml:space="preserve">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73"/>
      <c r="G5" s="74"/>
      <c r="J5" s="75"/>
      <c r="Q5" s="50">
        <v>38</v>
      </c>
    </row>
    <row r="6" s="65" customFormat="1" ht="6.2999999999999998" customHeight="1">
      <c r="A6" s="47"/>
      <c r="B6" s="66"/>
      <c r="C6" s="67"/>
      <c r="D6" s="68"/>
      <c r="E6" s="76"/>
      <c r="F6" s="77"/>
      <c r="G6" s="74"/>
      <c r="H6" s="50"/>
      <c r="I6" s="52"/>
      <c r="J6" s="70"/>
      <c r="Q6" s="65">
        <v>6</v>
      </c>
    </row>
    <row r="7" ht="21" customHeight="1">
      <c r="D7" s="71"/>
      <c r="E7" s="78" t="s">
        <v>15</v>
      </c>
      <c r="F7" s="79" t="s">
        <v>16</v>
      </c>
      <c r="G7" s="74"/>
      <c r="Q7" s="50">
        <v>20</v>
      </c>
    </row>
    <row r="8" s="65" customFormat="1" ht="6.2999999999999998" customHeight="1">
      <c r="A8" s="80"/>
      <c r="B8" s="66"/>
      <c r="C8" s="67"/>
      <c r="D8" s="81"/>
      <c r="E8" s="76"/>
      <c r="F8" s="82"/>
      <c r="G8" s="83"/>
      <c r="H8" s="50"/>
      <c r="I8" s="52"/>
      <c r="J8" s="84"/>
      <c r="Q8" s="65">
        <v>6</v>
      </c>
    </row>
    <row r="9" s="50" customFormat="1" ht="19.5" hidden="1" customHeight="1">
      <c r="A9" s="47"/>
      <c r="B9" s="48"/>
      <c r="C9" s="49"/>
      <c r="D9" s="71"/>
      <c r="E9" s="78" t="s">
        <v>17</v>
      </c>
      <c r="F9" s="85"/>
      <c r="G9" s="74"/>
      <c r="I9" s="86" t="str">
        <f>IF(TITLE_STRUCTURE_INFO_ROIV="","","раскрывается "&amp;INDEX(ROIV_INFO_COMMENT,MATCH(TITLE_STRUCTURE_INFO_ROIV,ROIV_INFO_LIST,0)))</f>
        <v/>
      </c>
      <c r="J9" s="53"/>
      <c r="Q9" s="50">
        <v>0</v>
      </c>
    </row>
    <row r="10" s="65" customFormat="1" ht="24" hidden="1" customHeight="1">
      <c r="A10" s="80"/>
      <c r="B10" s="66"/>
      <c r="C10" s="67"/>
      <c r="D10" s="81"/>
      <c r="E10" s="78" t="s">
        <v>18</v>
      </c>
      <c r="F10" s="87" t="s">
        <v>19</v>
      </c>
      <c r="G10" s="83"/>
      <c r="H10" s="50"/>
      <c r="I10" s="52"/>
      <c r="J10" s="84"/>
      <c r="Q10" s="65">
        <v>24</v>
      </c>
    </row>
    <row r="11" ht="22.5" customHeight="1">
      <c r="A11" s="88" t="s">
        <v>20</v>
      </c>
      <c r="D11" s="71"/>
      <c r="E11" s="78" t="s">
        <v>21</v>
      </c>
      <c r="F11" s="89">
        <v>44883</v>
      </c>
      <c r="G11" s="83"/>
      <c r="H11" s="90" t="s">
        <v>22</v>
      </c>
      <c r="J11" s="53" t="s">
        <v>23</v>
      </c>
      <c r="Q11" s="50">
        <v>0</v>
      </c>
    </row>
    <row r="12" ht="22.5" customHeight="1">
      <c r="A12" s="88"/>
      <c r="D12" s="71"/>
      <c r="E12" s="78" t="s">
        <v>24</v>
      </c>
      <c r="F12" s="89">
        <v>46775.421979166669</v>
      </c>
      <c r="G12" s="91"/>
      <c r="J12" s="53" t="s">
        <v>25</v>
      </c>
      <c r="Q12" s="50">
        <v>0</v>
      </c>
    </row>
    <row r="13" s="50" customFormat="1" ht="22.5" hidden="1" customHeight="1">
      <c r="A13" s="92" t="s">
        <v>26</v>
      </c>
      <c r="B13" s="48"/>
      <c r="C13" s="49"/>
      <c r="D13" s="71"/>
      <c r="E13" s="93" t="s">
        <v>27</v>
      </c>
      <c r="F13" s="89" t="s">
        <v>28</v>
      </c>
      <c r="G13" s="83"/>
      <c r="H13" s="63"/>
      <c r="I13" s="52"/>
      <c r="J13" s="61" t="s">
        <v>29</v>
      </c>
      <c r="Q13" s="50">
        <v>0</v>
      </c>
    </row>
    <row r="14" s="50" customFormat="1" ht="27" hidden="1" customHeight="1">
      <c r="A14" s="92" t="s">
        <v>30</v>
      </c>
      <c r="B14" s="48"/>
      <c r="C14" s="49"/>
      <c r="D14" s="71"/>
      <c r="E14" s="78" t="s">
        <v>31</v>
      </c>
      <c r="F14" s="94"/>
      <c r="G14" s="83"/>
      <c r="H14" s="63"/>
      <c r="I14" s="52"/>
      <c r="J14" s="53" t="s">
        <v>32</v>
      </c>
      <c r="Q14" s="50">
        <v>0</v>
      </c>
    </row>
    <row r="15" s="50" customFormat="1" ht="19.5" hidden="1" customHeight="1">
      <c r="A15" s="92" t="s">
        <v>33</v>
      </c>
      <c r="B15" s="48"/>
      <c r="C15" s="49"/>
      <c r="D15" s="71"/>
      <c r="E15" s="78" t="s">
        <v>34</v>
      </c>
      <c r="F15" s="94"/>
      <c r="G15" s="83"/>
      <c r="H15" s="63"/>
      <c r="I15" s="52"/>
      <c r="J15" s="53" t="s">
        <v>35</v>
      </c>
      <c r="Q15" s="50">
        <v>0</v>
      </c>
    </row>
    <row r="16" s="65" customFormat="1" ht="6.2999999999999998" customHeight="1">
      <c r="A16" s="80"/>
      <c r="B16" s="66"/>
      <c r="C16" s="67"/>
      <c r="D16" s="81"/>
      <c r="E16" s="76"/>
      <c r="F16" s="82"/>
      <c r="G16" s="83"/>
      <c r="H16" s="50"/>
      <c r="I16" s="52"/>
      <c r="J16" s="70"/>
      <c r="Q16" s="65">
        <v>6</v>
      </c>
    </row>
    <row r="17" ht="21" customHeight="1">
      <c r="D17" s="71"/>
      <c r="E17" s="78" t="s">
        <v>36</v>
      </c>
      <c r="F17" s="95" t="s">
        <v>37</v>
      </c>
      <c r="G17" s="91"/>
      <c r="H17" s="90" t="s">
        <v>22</v>
      </c>
      <c r="Q17" s="50">
        <v>20</v>
      </c>
    </row>
    <row r="18" ht="25.5" customHeight="1">
      <c r="D18" s="71"/>
      <c r="E18" s="93" t="s">
        <v>38</v>
      </c>
      <c r="F18" s="89">
        <v>46213.426423611112</v>
      </c>
      <c r="G18" s="91"/>
      <c r="I18" s="96"/>
      <c r="J18" s="97" t="s">
        <v>39</v>
      </c>
      <c r="Q18" s="50">
        <v>0</v>
      </c>
    </row>
    <row r="19" ht="25.5" customHeight="1">
      <c r="D19" s="71"/>
      <c r="E19" s="78" t="str">
        <f>"Дата периода регулирования, с которой "&amp;IF(TEMPLATE_GROUP="P","вводятся","предлагаются")&amp;" изменения в тарифы"</f>
        <v xml:space="preserve">Дата периода регулирования, с которой предлагаются изменения в тарифы</v>
      </c>
      <c r="F19" s="89">
        <v>46226.428171296298</v>
      </c>
      <c r="G19" s="91"/>
      <c r="I19" s="96"/>
      <c r="J19" s="97"/>
      <c r="Q19" s="50">
        <v>0</v>
      </c>
    </row>
    <row r="20" ht="22.5" customHeight="1">
      <c r="D20" s="71"/>
      <c r="E20" s="98"/>
      <c r="F20" s="51" t="str">
        <f>"Первичное "&amp;IF(TEMPLATE_GROUP="P","установление тарифов","предложение по тарифам")</f>
        <v xml:space="preserve">Первичное предложение по тарифам</v>
      </c>
      <c r="G20" s="91"/>
      <c r="I20" s="83"/>
      <c r="J20" s="75" t="s">
        <v>40</v>
      </c>
      <c r="Q20" s="50">
        <v>0</v>
      </c>
    </row>
    <row r="21" ht="19.5" customHeight="1">
      <c r="D21" s="71"/>
      <c r="E21" s="78" t="str">
        <f>"Дата "&amp;IF(TEMPLATE_GROUP="P","документа","подачи заявления")&amp;" об утверждении тарифов"</f>
        <v xml:space="preserve">Дата подачи заявления об утверждении тарифов</v>
      </c>
      <c r="F21" s="89">
        <v>44860.429050925923</v>
      </c>
      <c r="G21" s="91"/>
      <c r="I21" s="99"/>
      <c r="Q21" s="50">
        <v>0</v>
      </c>
    </row>
    <row r="22" ht="19.5" customHeight="1">
      <c r="D22" s="71"/>
      <c r="E22" s="78" t="str">
        <f>"Номер "&amp;IF(TEMPLATE_GROUP="P","документа","подачи заявления")&amp;" об утверждении тарифов"</f>
        <v xml:space="preserve">Номер подачи заявления об утверждении тарифов</v>
      </c>
      <c r="F22" s="95" t="s">
        <v>41</v>
      </c>
      <c r="G22" s="91"/>
      <c r="I22" s="99"/>
      <c r="Q22" s="50">
        <v>0</v>
      </c>
    </row>
    <row r="23" ht="22.5" hidden="1" customHeight="1">
      <c r="D23" s="71"/>
      <c r="E23" s="78" t="s">
        <v>42</v>
      </c>
      <c r="F23" s="95"/>
      <c r="G23" s="91"/>
      <c r="Q23" s="50">
        <v>0</v>
      </c>
    </row>
    <row r="24" ht="19.5" hidden="1" customHeight="1">
      <c r="D24" s="71"/>
      <c r="E24" s="78" t="s">
        <v>43</v>
      </c>
      <c r="F24" s="95"/>
      <c r="G24" s="91"/>
      <c r="Q24" s="50">
        <v>0</v>
      </c>
    </row>
    <row r="25" ht="22.5" customHeight="1">
      <c r="D25" s="71"/>
      <c r="E25" s="98"/>
      <c r="F25" s="51" t="str">
        <f>"Изменение "&amp;IF(TEMPLATE_GROUP="P","тарифов","предложения по тарифам")</f>
        <v xml:space="preserve">Изменение предложения по тарифам</v>
      </c>
      <c r="G25" s="91"/>
      <c r="J25" s="75" t="s">
        <v>44</v>
      </c>
      <c r="Q25" s="50">
        <v>0</v>
      </c>
    </row>
    <row r="26" ht="19.5" customHeight="1">
      <c r="D26" s="71"/>
      <c r="E26" s="78" t="str">
        <f>"Дата "&amp;IF(TEMPLATE_GROUP="P","принятия решения","подачи заявления")&amp;" об изменении тарифов"</f>
        <v xml:space="preserve">Дата подачи заявления об изменении тарифов</v>
      </c>
      <c r="F26" s="89">
        <v>46212.428518518522</v>
      </c>
      <c r="G26" s="91"/>
      <c r="Q26" s="50">
        <v>0</v>
      </c>
    </row>
    <row r="27" ht="19.5" customHeight="1">
      <c r="D27" s="71"/>
      <c r="E27" s="78" t="str">
        <f>"Номер "&amp;IF(TEMPLATE_GROUP="P","принятия решения","заявления")&amp;" об изменении тарифов"</f>
        <v xml:space="preserve">Номер заявления об изменении тарифов</v>
      </c>
      <c r="F27" s="95" t="s">
        <v>45</v>
      </c>
      <c r="G27" s="91"/>
      <c r="Q27" s="50">
        <v>0</v>
      </c>
    </row>
    <row r="28" ht="24.75" hidden="1" customHeight="1">
      <c r="D28" s="71"/>
      <c r="E28" s="78" t="s">
        <v>46</v>
      </c>
      <c r="F28" s="100"/>
      <c r="G28" s="91"/>
      <c r="Q28" s="50">
        <v>0</v>
      </c>
    </row>
    <row r="29" ht="19.5" hidden="1" customHeight="1">
      <c r="D29" s="71"/>
      <c r="E29" s="78" t="s">
        <v>43</v>
      </c>
      <c r="F29" s="100"/>
      <c r="G29" s="91"/>
      <c r="Q29" s="50">
        <v>0</v>
      </c>
    </row>
    <row r="30" s="65" customFormat="1" ht="6.2999999999999998" customHeight="1">
      <c r="A30" s="80"/>
      <c r="B30" s="66"/>
      <c r="C30" s="67"/>
      <c r="D30" s="81"/>
      <c r="E30" s="76"/>
      <c r="F30" s="82"/>
      <c r="G30" s="83"/>
      <c r="H30" s="50"/>
      <c r="I30" s="52"/>
      <c r="J30" s="70"/>
      <c r="Q30" s="65">
        <v>6</v>
      </c>
    </row>
    <row r="31" ht="21" customHeight="1">
      <c r="C31" s="101"/>
      <c r="D31" s="102"/>
      <c r="E31" s="78" t="str">
        <f>"Наименование "&amp;IF(TEMPLATE_GROUP="ROIV","органа тарифного регулирования","ЮЛ / ИП")</f>
        <v xml:space="preserve">Наименование ЮЛ / ИП</v>
      </c>
      <c r="F31" s="103" t="s">
        <v>47</v>
      </c>
      <c r="G31" s="104"/>
      <c r="Q31" s="50">
        <v>20</v>
      </c>
    </row>
    <row r="32" ht="21" hidden="1" customHeight="1">
      <c r="C32" s="101"/>
      <c r="D32" s="102"/>
      <c r="E32" s="105" t="s">
        <v>48</v>
      </c>
      <c r="F32" s="103"/>
      <c r="G32" s="104"/>
      <c r="Q32" s="50">
        <v>20</v>
      </c>
    </row>
    <row r="33" ht="21" customHeight="1">
      <c r="C33" s="101"/>
      <c r="D33" s="102"/>
      <c r="E33" s="78" t="s">
        <v>49</v>
      </c>
      <c r="F33" s="103" t="s">
        <v>50</v>
      </c>
      <c r="G33" s="104"/>
      <c r="Q33" s="50">
        <v>20</v>
      </c>
    </row>
    <row r="34" ht="21" customHeight="1">
      <c r="C34" s="101"/>
      <c r="D34" s="102"/>
      <c r="E34" s="78" t="s">
        <v>51</v>
      </c>
      <c r="F34" s="103" t="s">
        <v>52</v>
      </c>
      <c r="G34" s="104"/>
      <c r="H34" s="106"/>
      <c r="Q34" s="50">
        <v>20</v>
      </c>
    </row>
    <row r="35" s="65" customFormat="1" ht="11.5" customHeight="1">
      <c r="A35" s="80"/>
      <c r="B35" s="66"/>
      <c r="C35" s="67"/>
      <c r="D35" s="81"/>
      <c r="E35" s="76"/>
      <c r="F35" s="82"/>
      <c r="G35" s="83"/>
      <c r="H35" s="50"/>
      <c r="I35" s="52"/>
      <c r="J35" s="70"/>
      <c r="Q35" s="65">
        <v>11</v>
      </c>
    </row>
    <row r="36" ht="19.5" customHeight="1">
      <c r="A36" s="107"/>
      <c r="D36" s="102"/>
      <c r="E36" s="78" t="s">
        <v>53</v>
      </c>
      <c r="F36" s="108" t="s">
        <v>54</v>
      </c>
      <c r="G36" s="83"/>
      <c r="Q36" s="50">
        <v>0</v>
      </c>
    </row>
    <row r="37" ht="21" customHeight="1">
      <c r="A37" s="107"/>
      <c r="D37" s="102"/>
      <c r="E37" s="78" t="s">
        <v>55</v>
      </c>
      <c r="F37" s="108" t="s">
        <v>56</v>
      </c>
      <c r="G37" s="83"/>
      <c r="Q37" s="50">
        <v>20</v>
      </c>
    </row>
    <row r="38" s="65" customFormat="1" ht="6.2999999999999998" customHeight="1">
      <c r="A38" s="80"/>
      <c r="B38" s="66"/>
      <c r="C38" s="67"/>
      <c r="D38" s="68"/>
      <c r="E38" s="109"/>
      <c r="F38" s="110"/>
      <c r="G38" s="91"/>
      <c r="H38" s="50"/>
      <c r="I38" s="52"/>
      <c r="J38" s="53"/>
      <c r="Q38" s="65">
        <v>6</v>
      </c>
    </row>
    <row r="39" ht="36.75" customHeight="1">
      <c r="A39" s="80"/>
      <c r="D39" s="71"/>
      <c r="E39" s="78" t="s">
        <v>57</v>
      </c>
      <c r="F39" s="87" t="s">
        <v>19</v>
      </c>
      <c r="G39" s="91"/>
      <c r="H39" s="90" t="s">
        <v>22</v>
      </c>
      <c r="Q39" s="50">
        <v>35</v>
      </c>
    </row>
    <row r="40" s="65" customFormat="1" ht="6" hidden="1" customHeight="1">
      <c r="A40" s="47"/>
      <c r="B40" s="66"/>
      <c r="C40" s="67"/>
      <c r="D40" s="68"/>
      <c r="E40" s="109"/>
      <c r="F40" s="110"/>
      <c r="G40" s="91"/>
      <c r="H40" s="50"/>
      <c r="I40" s="52"/>
      <c r="J40" s="53"/>
      <c r="Q40" s="65">
        <v>6</v>
      </c>
    </row>
    <row r="41" s="50" customFormat="1" ht="26.25" hidden="1" customHeight="1">
      <c r="A41" s="92" t="s">
        <v>26</v>
      </c>
      <c r="B41" s="48"/>
      <c r="C41" s="49"/>
      <c r="D41" s="71"/>
      <c r="E41" s="78" t="str">
        <f>"Дифференциация информации по централизованным системам  "&amp;TEMPLATE_SPHERE_RUS</f>
        <v xml:space="preserve">Дифференциация информации по централизованным системам  теплоснабжения</v>
      </c>
      <c r="F41" s="87" t="s">
        <v>19</v>
      </c>
      <c r="G41" s="91"/>
      <c r="I41" s="52"/>
      <c r="J41" s="53"/>
      <c r="Q41" s="50">
        <v>0</v>
      </c>
    </row>
    <row r="42" s="65" customFormat="1" ht="6" customHeight="1">
      <c r="A42" s="47"/>
      <c r="B42" s="66"/>
      <c r="C42" s="67"/>
      <c r="D42" s="68"/>
      <c r="E42" s="109"/>
      <c r="F42" s="110"/>
      <c r="G42" s="91"/>
      <c r="H42" s="50"/>
      <c r="I42" s="52"/>
      <c r="J42" s="70"/>
      <c r="Q42" s="65">
        <v>0</v>
      </c>
    </row>
    <row r="43" s="50" customFormat="1" ht="27" hidden="1" customHeight="1">
      <c r="A43" s="47"/>
      <c r="B43" s="48"/>
      <c r="C43" s="49"/>
      <c r="D43" s="71"/>
      <c r="E43" s="78" t="s">
        <v>58</v>
      </c>
      <c r="F43" s="87" t="s">
        <v>19</v>
      </c>
      <c r="G43" s="91"/>
      <c r="I43" s="52"/>
      <c r="J43" s="53"/>
      <c r="Q43" s="50">
        <v>0</v>
      </c>
    </row>
    <row r="44" s="50" customFormat="1" ht="27" hidden="1" customHeight="1">
      <c r="A44" s="47"/>
      <c r="B44" s="48"/>
      <c r="C44" s="49"/>
      <c r="D44" s="71"/>
      <c r="E44" s="78" t="s">
        <v>59</v>
      </c>
      <c r="F44" s="111"/>
      <c r="G44" s="91"/>
      <c r="I44" s="52"/>
      <c r="J44" s="53"/>
      <c r="Q44" s="50">
        <v>0</v>
      </c>
    </row>
    <row r="45" s="65" customFormat="1" ht="6" customHeight="1">
      <c r="A45" s="47"/>
      <c r="B45" s="66"/>
      <c r="C45" s="67"/>
      <c r="D45" s="68"/>
      <c r="E45" s="109"/>
      <c r="F45" s="110"/>
      <c r="G45" s="91"/>
      <c r="H45" s="50"/>
      <c r="I45" s="52"/>
      <c r="J45" s="53"/>
      <c r="Q45" s="65">
        <v>0</v>
      </c>
    </row>
    <row r="46" s="65" customFormat="1" ht="24.75" customHeight="1">
      <c r="A46" s="47"/>
      <c r="B46" s="66"/>
      <c r="C46" s="67"/>
      <c r="D46" s="68"/>
      <c r="E46" s="78" t="s">
        <v>60</v>
      </c>
      <c r="F46" s="87" t="s">
        <v>19</v>
      </c>
      <c r="G46" s="91"/>
      <c r="H46" s="50"/>
      <c r="I46" s="52"/>
      <c r="J46" s="53"/>
      <c r="Q46" s="65">
        <v>0</v>
      </c>
    </row>
    <row r="47" s="50" customFormat="1" ht="24.75" customHeight="1">
      <c r="A47" s="47"/>
      <c r="B47" s="48"/>
      <c r="C47" s="49"/>
      <c r="D47" s="71"/>
      <c r="E47" s="78" t="s">
        <v>61</v>
      </c>
      <c r="F47" s="87" t="s">
        <v>19</v>
      </c>
      <c r="G47" s="91"/>
      <c r="I47" s="52"/>
      <c r="J47" s="53"/>
      <c r="Q47" s="50">
        <v>0</v>
      </c>
    </row>
    <row r="48" s="65" customFormat="1" ht="6" hidden="1" customHeight="1">
      <c r="A48" s="47"/>
      <c r="B48" s="66"/>
      <c r="C48" s="67"/>
      <c r="D48" s="68"/>
      <c r="E48" s="109"/>
      <c r="F48" s="110"/>
      <c r="G48" s="91"/>
      <c r="H48" s="50"/>
      <c r="I48" s="52"/>
      <c r="J48" s="53"/>
      <c r="Q48" s="65">
        <v>0</v>
      </c>
    </row>
    <row r="49" ht="29.25" hidden="1" customHeight="1">
      <c r="B49" s="48"/>
      <c r="D49" s="71"/>
      <c r="E49" s="78" t="str">
        <f>"Организация осуществляет подключение (технологическое присоединение) к системе "&amp;TEMPLATE_SPHERE_RUS</f>
        <v xml:space="preserve">Организация осуществляет подключение (технологическое присоединение) к системе теплоснабжения</v>
      </c>
      <c r="F49" s="87"/>
      <c r="G49" s="91"/>
      <c r="Q49" s="50">
        <v>0</v>
      </c>
    </row>
    <row r="50" s="65" customFormat="1" ht="6" hidden="1" customHeight="1">
      <c r="A50" s="80"/>
      <c r="B50" s="66"/>
      <c r="C50" s="67"/>
      <c r="D50" s="81"/>
      <c r="E50" s="76"/>
      <c r="F50" s="82"/>
      <c r="G50" s="83"/>
      <c r="H50" s="50"/>
      <c r="I50" s="52"/>
      <c r="J50" s="53"/>
      <c r="Q50" s="65">
        <v>0</v>
      </c>
    </row>
    <row r="51" s="50" customFormat="1" ht="28.5" hidden="1" customHeight="1">
      <c r="A51" s="112"/>
      <c r="B51" s="48"/>
      <c r="C51" s="49"/>
      <c r="D51" s="52"/>
      <c r="E51" s="78" t="s">
        <v>62</v>
      </c>
      <c r="F51" s="87" t="s">
        <v>19</v>
      </c>
      <c r="G51" s="51"/>
      <c r="I51" s="113"/>
      <c r="J51" s="53"/>
      <c r="P51" s="114"/>
      <c r="Q51" s="50">
        <v>0</v>
      </c>
    </row>
    <row r="52" s="65" customFormat="1" ht="6" hidden="1" customHeight="1">
      <c r="A52" s="80"/>
      <c r="B52" s="66"/>
      <c r="C52" s="67"/>
      <c r="D52" s="81"/>
      <c r="E52" s="76"/>
      <c r="F52" s="82"/>
      <c r="G52" s="83"/>
      <c r="H52" s="50"/>
      <c r="I52" s="52"/>
      <c r="J52" s="70"/>
      <c r="Q52" s="65">
        <v>0</v>
      </c>
    </row>
    <row r="53" s="50" customFormat="1" ht="27" hidden="1" customHeight="1">
      <c r="A53" s="112"/>
      <c r="B53" s="48"/>
      <c r="C53" s="49"/>
      <c r="D53" s="52"/>
      <c r="E53" s="78" t="s">
        <v>63</v>
      </c>
      <c r="F53" s="115" t="s">
        <v>19</v>
      </c>
      <c r="G53" s="51"/>
      <c r="I53" s="113"/>
      <c r="J53" s="53"/>
      <c r="P53" s="114"/>
      <c r="Q53" s="50">
        <v>0</v>
      </c>
    </row>
    <row r="54" s="50" customFormat="1" ht="27" hidden="1" customHeight="1">
      <c r="A54" s="112"/>
      <c r="B54" s="48"/>
      <c r="C54" s="49"/>
      <c r="D54" s="52"/>
      <c r="E54" s="78" t="s">
        <v>64</v>
      </c>
      <c r="F54" s="116"/>
      <c r="G54" s="51"/>
      <c r="I54" s="113"/>
      <c r="J54" s="53"/>
      <c r="P54" s="114"/>
      <c r="Q54" s="50">
        <v>0</v>
      </c>
    </row>
    <row r="55" s="65" customFormat="1" ht="6" hidden="1" customHeight="1">
      <c r="A55" s="80"/>
      <c r="B55" s="66"/>
      <c r="C55" s="67"/>
      <c r="D55" s="81"/>
      <c r="E55" s="76"/>
      <c r="F55" s="82"/>
      <c r="G55" s="83"/>
      <c r="H55" s="50"/>
      <c r="I55" s="52"/>
      <c r="J55" s="70"/>
      <c r="Q55" s="65">
        <v>0</v>
      </c>
    </row>
    <row r="56" s="50" customFormat="1" ht="25.5" hidden="1" customHeight="1">
      <c r="A56" s="112"/>
      <c r="B56" s="48"/>
      <c r="C56" s="49"/>
      <c r="D56" s="52"/>
      <c r="E56" s="78" t="s">
        <v>65</v>
      </c>
      <c r="F56" s="115" t="s">
        <v>19</v>
      </c>
      <c r="G56" s="51"/>
      <c r="I56" s="113"/>
      <c r="J56" s="53"/>
      <c r="P56" s="114"/>
      <c r="Q56" s="50">
        <v>0</v>
      </c>
    </row>
    <row r="57" s="65" customFormat="1" ht="6" hidden="1" customHeight="1">
      <c r="A57" s="80"/>
      <c r="B57" s="66"/>
      <c r="C57" s="67"/>
      <c r="D57" s="81"/>
      <c r="E57" s="76"/>
      <c r="F57" s="82"/>
      <c r="G57" s="83"/>
      <c r="H57" s="50"/>
      <c r="I57" s="52"/>
      <c r="J57" s="70"/>
      <c r="Q57" s="65">
        <v>0</v>
      </c>
    </row>
    <row r="58" s="50" customFormat="1" ht="15" hidden="1" customHeight="1">
      <c r="A58" s="112"/>
      <c r="B58" s="48"/>
      <c r="C58" s="49"/>
      <c r="D58" s="52"/>
      <c r="E58" s="78" t="s">
        <v>66</v>
      </c>
      <c r="F58" s="115" t="s">
        <v>67</v>
      </c>
      <c r="G58" s="51"/>
      <c r="I58" s="113"/>
      <c r="J58" s="53"/>
      <c r="P58" s="114"/>
      <c r="Q58" s="50">
        <v>0</v>
      </c>
    </row>
    <row r="59" s="50" customFormat="1" ht="75" hidden="1" customHeight="1">
      <c r="A59" s="112"/>
      <c r="B59" s="48"/>
      <c r="C59" s="49"/>
      <c r="D59" s="52"/>
      <c r="E59" s="7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 xml:space="preserve">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5"/>
      <c r="G59" s="51"/>
      <c r="I59" s="113"/>
      <c r="J59" s="53"/>
      <c r="P59" s="114"/>
      <c r="Q59" s="50">
        <v>0</v>
      </c>
    </row>
    <row r="60" s="50" customFormat="1" ht="15" hidden="1" customHeight="1">
      <c r="A60" s="112"/>
      <c r="B60" s="48"/>
      <c r="C60" s="49"/>
      <c r="D60" s="52"/>
      <c r="E60" s="78" t="s">
        <v>68</v>
      </c>
      <c r="F60" s="108"/>
      <c r="G60" s="51"/>
      <c r="I60" s="113"/>
      <c r="J60" s="53"/>
      <c r="P60" s="114"/>
      <c r="Q60" s="50">
        <v>0</v>
      </c>
    </row>
    <row r="61" s="65" customFormat="1" ht="6" hidden="1" customHeight="1">
      <c r="A61" s="80"/>
      <c r="B61" s="66"/>
      <c r="C61" s="67"/>
      <c r="D61" s="68"/>
      <c r="E61" s="109"/>
      <c r="F61" s="110"/>
      <c r="G61" s="91"/>
      <c r="H61" s="50"/>
      <c r="I61" s="52"/>
      <c r="J61" s="53"/>
      <c r="Q61" s="65">
        <v>0</v>
      </c>
    </row>
    <row r="62" s="50" customFormat="1" ht="33.75" hidden="1" customHeight="1">
      <c r="A62" s="80"/>
      <c r="B62" s="48"/>
      <c r="C62" s="49"/>
      <c r="D62" s="71"/>
      <c r="E62" s="78" t="s">
        <v>69</v>
      </c>
      <c r="F62" s="87" t="s">
        <v>67</v>
      </c>
      <c r="G62" s="91"/>
      <c r="H62" s="90" t="s">
        <v>22</v>
      </c>
      <c r="I62" s="52"/>
      <c r="J62" s="53"/>
      <c r="Q62" s="50">
        <v>0</v>
      </c>
    </row>
    <row r="63" s="65" customFormat="1" ht="6.2999999999999998" customHeight="1">
      <c r="A63" s="80"/>
      <c r="B63" s="66"/>
      <c r="C63" s="67"/>
      <c r="D63" s="81"/>
      <c r="E63" s="76"/>
      <c r="F63" s="82"/>
      <c r="G63" s="83"/>
      <c r="H63" s="50"/>
      <c r="I63" s="52"/>
      <c r="J63" s="70"/>
      <c r="Q63" s="65">
        <v>6</v>
      </c>
    </row>
    <row r="64" ht="21" customHeight="1">
      <c r="A64" s="47"/>
      <c r="B64" s="117"/>
      <c r="D64" s="118"/>
      <c r="E64" s="78" t="s">
        <v>70</v>
      </c>
      <c r="F64" s="95" t="s">
        <v>71</v>
      </c>
      <c r="G64" s="83"/>
      <c r="Q64" s="50">
        <v>20</v>
      </c>
    </row>
    <row r="65" ht="21" customHeight="1">
      <c r="A65" s="47"/>
      <c r="B65" s="117"/>
      <c r="D65" s="118"/>
      <c r="E65" s="78" t="s">
        <v>72</v>
      </c>
      <c r="F65" s="95" t="s">
        <v>73</v>
      </c>
      <c r="G65" s="83"/>
      <c r="Q65" s="50">
        <v>20</v>
      </c>
    </row>
    <row r="66" ht="36.75" customHeight="1">
      <c r="D66" s="71"/>
      <c r="E66" s="119" t="s">
        <v>74</v>
      </c>
      <c r="F66" s="120"/>
      <c r="G66" s="91"/>
      <c r="Q66" s="50">
        <v>35</v>
      </c>
    </row>
    <row r="67" ht="21" customHeight="1">
      <c r="A67" s="47"/>
      <c r="D67" s="71"/>
      <c r="E67" s="78" t="s">
        <v>75</v>
      </c>
      <c r="F67" s="95" t="s">
        <v>76</v>
      </c>
      <c r="G67" s="83"/>
      <c r="Q67" s="50">
        <v>20</v>
      </c>
    </row>
    <row r="68" ht="21" customHeight="1">
      <c r="A68" s="47"/>
      <c r="B68" s="117"/>
      <c r="D68" s="118"/>
      <c r="E68" s="78" t="s">
        <v>77</v>
      </c>
      <c r="F68" s="95" t="s">
        <v>78</v>
      </c>
      <c r="G68" s="83"/>
      <c r="Q68" s="50">
        <v>20</v>
      </c>
    </row>
    <row r="69" ht="21" customHeight="1">
      <c r="A69" s="47"/>
      <c r="B69" s="117"/>
      <c r="D69" s="118"/>
      <c r="E69" s="78" t="s">
        <v>79</v>
      </c>
      <c r="F69" s="95" t="s">
        <v>80</v>
      </c>
      <c r="G69" s="83"/>
      <c r="Q69" s="50">
        <v>20</v>
      </c>
    </row>
    <row r="70" ht="21" customHeight="1">
      <c r="D70" s="71"/>
      <c r="E70" s="78" t="s">
        <v>81</v>
      </c>
      <c r="F70" s="121" t="s">
        <v>82</v>
      </c>
      <c r="G70" s="91"/>
      <c r="Q70" s="50">
        <v>20</v>
      </c>
    </row>
    <row r="71" ht="21" customHeight="1">
      <c r="A71" s="47"/>
      <c r="D71" s="91"/>
      <c r="F71" s="122"/>
      <c r="G71" s="83"/>
      <c r="Q71" s="50">
        <v>20</v>
      </c>
    </row>
    <row r="72" ht="21" customHeight="1">
      <c r="A72" s="47"/>
      <c r="B72" s="117"/>
      <c r="D72" s="118"/>
      <c r="E72" s="123"/>
      <c r="F72" s="124" t="s">
        <v>13</v>
      </c>
      <c r="G72" s="83"/>
      <c r="Q72" s="50">
        <v>20</v>
      </c>
    </row>
    <row r="73" ht="21" customHeight="1">
      <c r="A73" s="47"/>
      <c r="B73" s="117"/>
      <c r="D73" s="118"/>
      <c r="E73" s="123"/>
      <c r="F73" s="125"/>
      <c r="G73" s="83"/>
      <c r="Q73" s="50">
        <v>20</v>
      </c>
    </row>
    <row r="74" ht="21" customHeight="1">
      <c r="A74" s="47"/>
      <c r="B74" s="117"/>
      <c r="D74" s="118"/>
      <c r="E74" s="126"/>
      <c r="F74" s="125"/>
      <c r="G74" s="83"/>
      <c r="Q74" s="50">
        <v>20</v>
      </c>
    </row>
    <row r="75" ht="21" customHeight="1">
      <c r="A75" s="47"/>
      <c r="B75" s="117"/>
      <c r="D75" s="118"/>
      <c r="E75" s="123"/>
      <c r="F75" s="125"/>
      <c r="G75" s="83"/>
      <c r="Q75" s="50">
        <v>20</v>
      </c>
    </row>
    <row r="76" ht="11.5" customHeight="1">
      <c r="Q76" s="50">
        <v>11</v>
      </c>
    </row>
    <row r="77" ht="11.5" customHeight="1">
      <c r="Q77" s="50">
        <v>11</v>
      </c>
    </row>
    <row r="78" ht="11.5" customHeight="1">
      <c r="E78" s="127"/>
      <c r="F78" s="127"/>
      <c r="G78" s="127"/>
      <c r="H78" s="127"/>
      <c r="I78" s="127"/>
      <c r="Q78" s="50">
        <v>11</v>
      </c>
    </row>
    <row r="79" ht="11.25" hidden="1" customHeight="1">
      <c r="A79" s="47" t="s">
        <v>83</v>
      </c>
      <c r="B79" s="48">
        <v>0</v>
      </c>
      <c r="C79" s="49">
        <v>3</v>
      </c>
      <c r="D79" s="50">
        <v>1</v>
      </c>
      <c r="E79" s="50">
        <v>55</v>
      </c>
      <c r="F79" s="50">
        <v>54</v>
      </c>
      <c r="G79" s="51">
        <v>1</v>
      </c>
      <c r="H79" s="50">
        <v>0</v>
      </c>
      <c r="I79" s="52">
        <v>59</v>
      </c>
      <c r="J79" s="53">
        <v>0</v>
      </c>
      <c r="K79" s="50">
        <v>8</v>
      </c>
      <c r="L79" s="50">
        <v>77</v>
      </c>
      <c r="M79" s="50">
        <v>8</v>
      </c>
      <c r="N79" s="50">
        <v>8</v>
      </c>
      <c r="O79" s="50">
        <v>8</v>
      </c>
      <c r="P79" s="50">
        <v>8</v>
      </c>
      <c r="Q79" s="50">
        <v>11</v>
      </c>
    </row>
  </sheetData>
  <sheetProtection autoFilter="0" deleteColumns="1" deleteRows="1" formatCells="1" formatColumns="0" formatRows="0" insertColumns="1" insertHyperlinks="1" insertRows="1" objects="0" pivotTables="1" scenarios="0" selectLockedCells="0" selectUnlockedCells="0" sheet="1" sort="1"/>
  <mergeCells count="3">
    <mergeCell ref="E5:F5"/>
    <mergeCell ref="A11:A12"/>
    <mergeCell ref="J18:J19"/>
  </mergeCells>
  <dataValidations count="4" disablePrompts="0">
    <dataValidation sqref="F31" type="none" allowBlank="1" errorStyle="stop" imeMode="noControl" operator="between" prompt="Выбор организации двойным щелчком левой клавиши мыши" showDropDown="0" showErrorMessage="1" showInputMessage="1"/>
    <dataValidation sqref="F54" type="none" allowBlank="1" errorStyle="stop" imeMode="noControl" operator="between" prompt="Выберите значение из календаря (иконка справа от выбранной ячейки), либо введите дату непосредственно в ячейку в формате - 'ДД.ММ.ГГГГ'" showDropDown="0" showErrorMessage="1" showInputMessage="1"/>
    <dataValidation sqref="F49 F53 F56 F58 F51 F39:F41 F43 F45:F47 F62 F10"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F26 F21 F18:F19 F11:F13"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s>
  <hyperlinks>
    <hyperlink location="Титульный!H9" ref="H11" tooltip="Помощь по работе с полями отчётной формы"/>
    <hyperlink location="Титульный!H9" ref="H17" tooltip="Помощь по работе с полями отчётной формы"/>
    <hyperlink location="Титульный!H9" ref="H39" tooltip="Помощь по работе с полями отчётной формы"/>
    <hyperlink location="Титульный!H9" ref="H62" tooltip="Помощь по работе с полями отчётной формы"/>
    <hyperlink r:id="rId1" ref="F70"/>
  </hyperlinks>
  <printOptions headings="0" gridLines="0"/>
  <pageMargins left="0.75" right="0.75" top="1" bottom="1" header="0.5" footer="0.5"/>
  <pageSetup paperSize="8"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legacyDrawing r:id="rId4"/>
  <extLst>
    <ext xmlns:x14="http://schemas.microsoft.com/office/spreadsheetml/2009/9/main" uri="{CCE6A557-97BC-4b89-ADB6-D9C93CAAB3DF}">
      <x14:dataValidations xmlns:xm="http://schemas.microsoft.com/office/excel/2006/main" count="9" disablePrompts="0">
        <x14:dataValidation xr:uid="{00A900BA-0088-42BF-9AD8-00B6000C0024}" type="list" allowBlank="1" error="Выберите значение из списка" errorStyle="stop" errorTitle="Ошибка" imeMode="noControl" operator="between" prompt="Выберите значение из списка:&#10;ОСН - Общая система налогообложения&#10;УСН - Упрощённая система налогообложения&#10;ЕСХН - Единый сельскохозяйственный налог&#10;ПСН - Патентная система налогообложения&#10;НПД - Налог на профессиональный доход" showDropDown="0" showErrorMessage="1" showInputMessage="1">
          <x14:formula1>
            <xm:f>kind_of_NDS</xm:f>
          </x14:formula1>
          <xm:sqref>F37</xm:sqref>
        </x14:dataValidation>
        <x14:dataValidation xr:uid="{00580015-0052-44E8-A772-0016002F00C1}" type="list" allowBlank="1" error="Выберите значение из списка" errorStyle="stop" errorTitle="Ошибка" imeMode="noControl" operator="between" prompt="Выберите значение из списка" showDropDown="0" showErrorMessage="1" showInputMessage="1">
          <x14:formula1>
            <xm:f>ROIV_INFO_LIST</xm:f>
          </x14:formula1>
          <xm:sqref>F9</xm:sqref>
        </x14:dataValidation>
        <x14:dataValidation xr:uid="{0034002D-00B4-4DDF-A5E0-000100B5001B}" type="list" allowBlank="1" error="Выберите значение из списка" errorStyle="stop" errorTitle="Ошибка" imeMode="noControl" operator="between" prompt="Выберите значение из списка" showDropDown="0" showErrorMessage="1" showInputMessage="1">
          <x14:formula1>
            <xm:f>TITLE_IP_DETAILED_METHOD_LIST</xm:f>
          </x14:formula1>
          <xm:sqref>F60</xm:sqref>
        </x14:dataValidation>
        <x14:dataValidation xr:uid="{0007007C-0000-43E3-B0FE-00F8007B00BC}" type="list" allowBlank="1" error="Выберите значение из списка" errorStyle="stop" errorTitle="Ошибка" imeMode="noControl" operator="between" prompt="Выберите значение из списка" showDropDown="0" showErrorMessage="1" showInputMessage="1">
          <x14:formula1>
            <xm:f>QUARTER</xm:f>
          </x14:formula1>
          <xm:sqref>F15</xm:sqref>
        </x14:dataValidation>
        <x14:dataValidation xr:uid="{007C0075-0083-45BB-AA6D-00C90032000D}" type="list" allowBlank="1" error="Выберите значение из списка" errorStyle="stop" errorTitle="Ошибка" imeMode="noControl" operator="between" prompt="Выберите значение из списка" showDropDown="0" showErrorMessage="1" showInputMessage="1">
          <x14:formula1>
            <xm:f>year_list</xm:f>
          </x14:formula1>
          <xm:sqref>F14</xm:sqref>
        </x14:dataValidation>
        <x14:dataValidation xr:uid="{00F900F3-00B0-43DE-B3CB-009A008C00B3}" type="list" allowBlank="1" error="Выберите значение из списка" errorStyle="stop" errorTitle="Ошибка" imeMode="noControl" operator="between" prompt="Выберите значение из списка" showDropDown="0" showErrorMessage="1" showInputMessage="1">
          <x14:formula1>
            <xm:f>kind_of_org_type</xm:f>
          </x14:formula1>
          <xm:sqref>F36</xm:sqref>
        </x14:dataValidation>
        <x14:dataValidation xr:uid="{00650079-0096-4CA9-857C-006800F50065}" type="list" allowBlank="1" error="Выберите значение из списка" errorStyle="stop" errorTitle="Ошибка" imeMode="noControl" operator="between" prompt="Выберите значение из списка" showDropDown="0" showErrorMessage="1" showInputMessage="1">
          <x14:formula1>
            <xm:f>kind_of_data_type</xm:f>
          </x14:formula1>
          <xm:sqref>F17</xm:sqref>
        </x14:dataValidation>
        <x14:dataValidation xr:uid="{007F00FB-002E-4772-B49E-00B200710011}" type="list" allowBlank="1" error="Выберите значение из списка" errorStyle="stop" errorTitle="Ошибка" imeMode="noControl" operator="between" prompt="Выберите значение из списка" showDropDown="0" showErrorMessage="1" showInputMessage="1">
          <x14:formula1>
            <xm:f>kind_of_NDS</xm:f>
          </x14:formula1>
          <xm:sqref>F61 F38</xm:sqref>
        </x14:dataValidation>
        <x14:dataValidation xr:uid="{00FA0098-00C1-4447-8E16-004B00C40061}" type="textLength" allowBlank="1" error="Допускается ввод не более 900 символов!" errorStyle="stop" errorTitle="Ошибка" imeMode="noControl" operator="lessThanOrEqual" showDropDown="0" showErrorMessage="1" showInputMessage="1">
          <x14:formula1>
            <xm:f>900</xm:f>
          </x14:formula1>
          <xm:sqref>F72:F75 F64:F65 F67:F70 F22:F24 F27:F29 F32</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zoomScale="90" workbookViewId="0">
      <pane xSplit="27" ySplit="44" topLeftCell="AB45" activePane="bottomRight" state="frozen"/>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2.00390625"/>
    <col customWidth="1" hidden="1" min="10" max="10" style="53" width="9.8515625"/>
    <col customWidth="1" hidden="1" min="11" max="11" style="53" width="11.421875"/>
    <col customWidth="1" hidden="1" min="12" max="12" style="113" width="19.140625"/>
    <col customWidth="1" hidden="1" min="13" max="14" style="61" width="12.28125"/>
    <col customWidth="1" hidden="1" min="15" max="15" style="61" width="23.421875"/>
    <col customWidth="1" min="16" max="16" style="61" width="3.00390625"/>
    <col customWidth="1" min="17" max="17" style="547" width="3.00390625"/>
    <col customWidth="1" min="18" max="18" style="487" width="3.00390625"/>
    <col customWidth="1" min="19" max="19" style="86" width="12.00390625"/>
    <col customWidth="1" min="20" max="20" style="50" width="31.00390625"/>
    <col customWidth="1" min="21" max="21" style="50" width="0.140625"/>
    <col customWidth="1" hidden="1" min="22" max="23" style="50" width="21.7109375"/>
    <col customWidth="1" hidden="1" min="24" max="24" style="50" width="11.7109375"/>
    <col customWidth="1" hidden="1" min="25" max="25" style="50" width="3.7109375"/>
    <col customWidth="1" hidden="1" min="26" max="26" style="50" width="11.7109375"/>
    <col customWidth="1" hidden="1" min="27" max="27" style="50" width="8.57421875"/>
    <col customWidth="1" min="28" max="28" style="50" width="5.421875"/>
    <col customWidth="1" min="29" max="30" style="50" width="3.00390625"/>
    <col customWidth="1" min="31" max="31" style="50" width="24.00390625"/>
    <col customWidth="1" min="32" max="32" style="50" width="3.7109375"/>
    <col customWidth="1" min="33" max="34" style="50" width="3.00390625"/>
    <col customWidth="1" min="35" max="35" style="50" width="24.00390625"/>
    <col customWidth="1" min="36" max="36" style="50" width="3.7109375"/>
    <col customWidth="1" min="37" max="38" style="50" width="3.00390625"/>
    <col customWidth="1" min="39" max="39" style="50" width="18.00390625"/>
    <col customWidth="1" min="40" max="41" style="50" width="21.00390625"/>
    <col customWidth="1" min="42" max="42" style="50" width="11.00390625"/>
    <col customWidth="1" min="43" max="43" style="50" width="3.7109375"/>
    <col customWidth="1" min="44" max="44" style="50" width="11.00390625"/>
    <col customWidth="1" hidden="1" min="45" max="45" style="50" width="8.57421875"/>
    <col customWidth="1" min="46" max="46" style="50" width="4.00390625"/>
    <col customWidth="1" min="47" max="47" style="50" width="115.00390625"/>
    <col customWidth="1" min="48" max="52" style="57" width="10.00390625"/>
    <col hidden="1" min="53" max="53" style="50" width="10.57421875"/>
  </cols>
  <sheetData>
    <row r="1" ht="22.5" hidden="1" customHeight="1">
      <c r="W1" s="50"/>
      <c r="X1" s="50"/>
      <c r="AO1" s="50"/>
      <c r="AP1" s="50"/>
      <c r="BA1" s="50" t="s">
        <v>14</v>
      </c>
    </row>
    <row r="2" ht="21" hidden="1" customHeight="1">
      <c r="A2" s="488"/>
      <c r="B2" s="488"/>
      <c r="C2" s="488"/>
      <c r="D2" s="488"/>
      <c r="E2" s="489">
        <v>1</v>
      </c>
      <c r="F2" s="488"/>
      <c r="G2" s="488"/>
      <c r="H2" s="488"/>
      <c r="I2" s="488"/>
      <c r="J2" s="488"/>
      <c r="K2" s="488"/>
      <c r="L2" s="490"/>
      <c r="M2" s="491"/>
      <c r="N2" s="491"/>
      <c r="O2" s="491"/>
      <c r="P2" s="61"/>
      <c r="Q2" s="64"/>
      <c r="R2" s="492"/>
      <c r="S2" s="493" t="e">
        <f>INDEX(PT_DIFFERENTIATION_NUM_NTAR,MATCH(A2,PT_DIFFERENTIATION_NTAR_ID,0))</f>
        <v>#VALUE!</v>
      </c>
      <c r="T2" s="494" t="s">
        <v>123</v>
      </c>
      <c r="U2" s="495"/>
      <c r="V2" s="497"/>
      <c r="W2" s="497"/>
      <c r="X2" s="497"/>
      <c r="Y2" s="497"/>
      <c r="Z2" s="497"/>
      <c r="AA2" s="498"/>
      <c r="AB2" s="496" t="e">
        <f>INDEX(PT_DIFFERENTIATION_NTAR,MATCH(A2,PT_DIFFERENTIATION_NTAR_ID,0))</f>
        <v>#VALUE!</v>
      </c>
      <c r="AC2" s="497"/>
      <c r="AD2" s="497"/>
      <c r="AE2" s="497"/>
      <c r="AF2" s="497"/>
      <c r="AG2" s="497"/>
      <c r="AH2" s="497"/>
      <c r="AI2" s="497"/>
      <c r="AJ2" s="497"/>
      <c r="AK2" s="497"/>
      <c r="AL2" s="497"/>
      <c r="AM2" s="497"/>
      <c r="AN2" s="497"/>
      <c r="AO2" s="497"/>
      <c r="AP2" s="497"/>
      <c r="AQ2" s="497"/>
      <c r="AR2" s="497"/>
      <c r="AS2" s="497"/>
      <c r="AT2" s="498"/>
      <c r="AU2" s="499" t="s">
        <v>401</v>
      </c>
      <c r="AW2" s="129"/>
      <c r="AX2" s="129" t="str">
        <f t="shared" ref="AX2:AX8" si="21">IF(T2="","",T2)</f>
        <v xml:space="preserve">Наименование тарифа</v>
      </c>
      <c r="AY2" s="129"/>
      <c r="AZ2" s="129"/>
      <c r="BA2" s="50">
        <v>0</v>
      </c>
    </row>
    <row r="3" ht="21" hidden="1" customHeight="1">
      <c r="A3" s="488"/>
      <c r="B3" s="488"/>
      <c r="C3" s="488"/>
      <c r="D3" s="488"/>
      <c r="E3" s="500"/>
      <c r="F3" s="489">
        <v>1</v>
      </c>
      <c r="G3" s="488"/>
      <c r="H3" s="488"/>
      <c r="I3" s="488"/>
      <c r="J3" s="488"/>
      <c r="K3" s="488"/>
      <c r="L3" s="490"/>
      <c r="M3" s="491"/>
      <c r="N3" s="491"/>
      <c r="O3" s="491"/>
      <c r="P3" s="113"/>
      <c r="Q3" s="638"/>
      <c r="R3" s="502"/>
      <c r="S3" s="493" t="e">
        <f>INDEX(PT_DIFFERENTIATION_NUM_TER,MATCH(B3,PT_DIFFERENTIATION_TER_ID,0))</f>
        <v>#VALUE!</v>
      </c>
      <c r="T3" s="503" t="s">
        <v>402</v>
      </c>
      <c r="U3" s="495"/>
      <c r="V3" s="497"/>
      <c r="W3" s="497"/>
      <c r="X3" s="497"/>
      <c r="Y3" s="497"/>
      <c r="Z3" s="497"/>
      <c r="AA3" s="498"/>
      <c r="AB3" s="496" t="e">
        <f>INDEX(PT_DIFFERENTIATION_TER,MATCH(B3,PT_DIFFERENTIATION_TER_ID,0))</f>
        <v>#VALUE!</v>
      </c>
      <c r="AC3" s="497"/>
      <c r="AD3" s="497"/>
      <c r="AE3" s="497"/>
      <c r="AF3" s="497"/>
      <c r="AG3" s="497"/>
      <c r="AH3" s="497"/>
      <c r="AI3" s="497"/>
      <c r="AJ3" s="497"/>
      <c r="AK3" s="497"/>
      <c r="AL3" s="497"/>
      <c r="AM3" s="497"/>
      <c r="AN3" s="497"/>
      <c r="AO3" s="497"/>
      <c r="AP3" s="497"/>
      <c r="AQ3" s="497"/>
      <c r="AR3" s="497"/>
      <c r="AS3" s="497"/>
      <c r="AT3" s="498"/>
      <c r="AU3" s="499" t="s">
        <v>403</v>
      </c>
      <c r="AW3" s="129"/>
      <c r="AX3" s="129" t="str">
        <f t="shared" si="21"/>
        <v xml:space="preserve">Территория действия тарифа</v>
      </c>
      <c r="AY3" s="129"/>
      <c r="AZ3" s="129"/>
      <c r="BA3" s="50">
        <v>0</v>
      </c>
    </row>
    <row r="4" ht="22.5" hidden="1" customHeight="1">
      <c r="A4" s="488"/>
      <c r="B4" s="488"/>
      <c r="C4" s="488"/>
      <c r="D4" s="488"/>
      <c r="E4" s="500"/>
      <c r="F4" s="500"/>
      <c r="G4" s="489">
        <v>1</v>
      </c>
      <c r="H4" s="488"/>
      <c r="I4" s="488"/>
      <c r="J4" s="488"/>
      <c r="K4" s="488"/>
      <c r="L4" s="490"/>
      <c r="M4" s="491"/>
      <c r="N4" s="491"/>
      <c r="O4" s="491"/>
      <c r="P4" s="135"/>
      <c r="Q4" s="638"/>
      <c r="R4" s="502"/>
      <c r="S4" s="493" t="e">
        <f>INDEX(PT_DIFFERENTIATION_NUM_CS,MATCH(C4,PT_DIFFERENTIATION_CS_ID,0))</f>
        <v>#VALUE!</v>
      </c>
      <c r="T4" s="505" t="s">
        <v>404</v>
      </c>
      <c r="U4" s="495"/>
      <c r="V4" s="497"/>
      <c r="W4" s="497"/>
      <c r="X4" s="497"/>
      <c r="Y4" s="497"/>
      <c r="Z4" s="497"/>
      <c r="AA4" s="498"/>
      <c r="AB4" s="496" t="e">
        <f>INDEX(PT_DIFFERENTIATION_CS,MATCH(C4,PT_DIFFERENTIATION_CS_ID,0))</f>
        <v>#VALUE!</v>
      </c>
      <c r="AC4" s="497"/>
      <c r="AD4" s="497"/>
      <c r="AE4" s="497"/>
      <c r="AF4" s="497"/>
      <c r="AG4" s="497"/>
      <c r="AH4" s="497"/>
      <c r="AI4" s="497"/>
      <c r="AJ4" s="497"/>
      <c r="AK4" s="497"/>
      <c r="AL4" s="497"/>
      <c r="AM4" s="497"/>
      <c r="AN4" s="497"/>
      <c r="AO4" s="497"/>
      <c r="AP4" s="497"/>
      <c r="AQ4" s="497"/>
      <c r="AR4" s="497"/>
      <c r="AS4" s="497"/>
      <c r="AT4" s="498"/>
      <c r="AU4" s="499" t="s">
        <v>405</v>
      </c>
      <c r="AW4" s="129"/>
      <c r="AX4" s="129" t="str">
        <f t="shared" si="21"/>
        <v xml:space="preserve">Наименование системы теплоснабжения </v>
      </c>
      <c r="AY4" s="129"/>
      <c r="AZ4" s="129"/>
      <c r="BA4" s="50">
        <v>0</v>
      </c>
    </row>
    <row r="5" ht="21" hidden="1" customHeight="1">
      <c r="A5" s="488"/>
      <c r="B5" s="488"/>
      <c r="C5" s="488"/>
      <c r="D5" s="488"/>
      <c r="E5" s="500"/>
      <c r="F5" s="500"/>
      <c r="G5" s="500"/>
      <c r="H5" s="489">
        <v>1</v>
      </c>
      <c r="I5" s="488"/>
      <c r="J5" s="488"/>
      <c r="K5" s="488"/>
      <c r="L5" s="490"/>
      <c r="M5" s="491"/>
      <c r="N5" s="491"/>
      <c r="O5" s="491"/>
      <c r="P5" s="135"/>
      <c r="Q5" s="638"/>
      <c r="R5" s="502"/>
      <c r="S5" s="493" t="e">
        <f>INDEX(PT_DIFFERENTIATION_NUM_IST_TE,MATCH(D5,PT_DIFFERENTIATION_IST_TE_ID,0))</f>
        <v>#VALUE!</v>
      </c>
      <c r="T5" s="506" t="s">
        <v>406</v>
      </c>
      <c r="U5" s="495"/>
      <c r="V5" s="497"/>
      <c r="W5" s="497"/>
      <c r="X5" s="497"/>
      <c r="Y5" s="497"/>
      <c r="Z5" s="497"/>
      <c r="AA5" s="498"/>
      <c r="AB5" s="496" t="e">
        <f>INDEX(PT_DIFFERENTIATION_IST_TE,MATCH(D5,PT_DIFFERENTIATION_IST_TE_ID,0))</f>
        <v>#VALUE!</v>
      </c>
      <c r="AC5" s="497"/>
      <c r="AD5" s="497"/>
      <c r="AE5" s="497"/>
      <c r="AF5" s="497"/>
      <c r="AG5" s="497"/>
      <c r="AH5" s="497"/>
      <c r="AI5" s="497"/>
      <c r="AJ5" s="497"/>
      <c r="AK5" s="497"/>
      <c r="AL5" s="497"/>
      <c r="AM5" s="497"/>
      <c r="AN5" s="497"/>
      <c r="AO5" s="497"/>
      <c r="AP5" s="497"/>
      <c r="AQ5" s="497"/>
      <c r="AR5" s="497"/>
      <c r="AS5" s="497"/>
      <c r="AT5" s="498"/>
      <c r="AU5" s="499" t="s">
        <v>407</v>
      </c>
      <c r="AW5" s="129"/>
      <c r="AX5" s="129" t="str">
        <f t="shared" si="21"/>
        <v xml:space="preserve">Источник тепловой энергии  </v>
      </c>
      <c r="AY5" s="129"/>
      <c r="AZ5" s="129"/>
      <c r="BA5" s="50">
        <v>0</v>
      </c>
    </row>
    <row r="6" s="57" customFormat="1" ht="0.75" hidden="1" customHeight="1">
      <c r="A6" s="133"/>
      <c r="B6" s="133"/>
      <c r="C6" s="133"/>
      <c r="D6" s="133"/>
      <c r="E6" s="500"/>
      <c r="F6" s="500"/>
      <c r="G6" s="500"/>
      <c r="H6" s="500"/>
      <c r="I6" s="507" t="e">
        <f>S5&amp;".1"</f>
        <v>#VALUE!</v>
      </c>
      <c r="J6" s="133"/>
      <c r="K6" s="133"/>
      <c r="L6" s="212" t="s">
        <v>408</v>
      </c>
      <c r="M6" s="605"/>
      <c r="N6" s="605"/>
      <c r="O6" s="605"/>
      <c r="P6" s="132">
        <v>1</v>
      </c>
      <c r="Q6" s="132"/>
      <c r="R6" s="508"/>
      <c r="S6" s="362"/>
      <c r="T6" s="595"/>
      <c r="U6" s="596"/>
      <c r="V6" s="598"/>
      <c r="W6" s="598"/>
      <c r="X6" s="598"/>
      <c r="Y6" s="598"/>
      <c r="Z6" s="598"/>
      <c r="AA6" s="599"/>
      <c r="AB6" s="597"/>
      <c r="AC6" s="598"/>
      <c r="AD6" s="598"/>
      <c r="AE6" s="598"/>
      <c r="AF6" s="598"/>
      <c r="AG6" s="598"/>
      <c r="AH6" s="598"/>
      <c r="AI6" s="598"/>
      <c r="AJ6" s="598"/>
      <c r="AK6" s="598"/>
      <c r="AL6" s="598"/>
      <c r="AM6" s="598"/>
      <c r="AN6" s="598"/>
      <c r="AO6" s="598"/>
      <c r="AP6" s="598"/>
      <c r="AQ6" s="598"/>
      <c r="AR6" s="598"/>
      <c r="AS6" s="598"/>
      <c r="AT6" s="599"/>
      <c r="AU6" s="600"/>
      <c r="AW6" s="129"/>
      <c r="AX6" s="129" t="str">
        <f t="shared" si="21"/>
        <v/>
      </c>
      <c r="AY6" s="129"/>
      <c r="AZ6" s="129"/>
      <c r="BA6" s="57">
        <v>0</v>
      </c>
    </row>
    <row r="7" s="57" customFormat="1" ht="0.75" hidden="1" customHeight="1">
      <c r="A7" s="133"/>
      <c r="B7" s="133"/>
      <c r="C7" s="133"/>
      <c r="D7" s="133"/>
      <c r="E7" s="500"/>
      <c r="F7" s="500"/>
      <c r="G7" s="500"/>
      <c r="H7" s="500"/>
      <c r="I7" s="512"/>
      <c r="J7" s="507" t="e">
        <f>S5&amp;".1"</f>
        <v>#VALUE!</v>
      </c>
      <c r="K7" s="133"/>
      <c r="L7" s="212"/>
      <c r="M7" s="605"/>
      <c r="N7" s="605"/>
      <c r="O7" s="605"/>
      <c r="P7" s="132"/>
      <c r="Q7" s="132">
        <v>1</v>
      </c>
      <c r="R7" s="513"/>
      <c r="S7" s="362"/>
      <c r="T7" s="639"/>
      <c r="U7" s="596"/>
      <c r="V7" s="598"/>
      <c r="W7" s="598"/>
      <c r="X7" s="598"/>
      <c r="Y7" s="598"/>
      <c r="Z7" s="598"/>
      <c r="AA7" s="599"/>
      <c r="AB7" s="597"/>
      <c r="AC7" s="598"/>
      <c r="AD7" s="598"/>
      <c r="AE7" s="598"/>
      <c r="AF7" s="598"/>
      <c r="AG7" s="598"/>
      <c r="AH7" s="598"/>
      <c r="AI7" s="598"/>
      <c r="AJ7" s="598"/>
      <c r="AK7" s="598"/>
      <c r="AL7" s="598"/>
      <c r="AM7" s="598"/>
      <c r="AN7" s="598"/>
      <c r="AO7" s="598"/>
      <c r="AP7" s="598"/>
      <c r="AQ7" s="598"/>
      <c r="AR7" s="598"/>
      <c r="AS7" s="598"/>
      <c r="AT7" s="599"/>
      <c r="AU7" s="600"/>
      <c r="AW7" s="129"/>
      <c r="AX7" s="129" t="str">
        <f t="shared" si="21"/>
        <v/>
      </c>
      <c r="AY7" s="129"/>
      <c r="AZ7" s="129"/>
      <c r="BA7" s="57">
        <v>0</v>
      </c>
    </row>
    <row r="8" ht="21" hidden="1" customHeight="1">
      <c r="A8" s="488"/>
      <c r="B8" s="488"/>
      <c r="C8" s="488"/>
      <c r="D8" s="488"/>
      <c r="E8" s="500"/>
      <c r="F8" s="500"/>
      <c r="G8" s="500"/>
      <c r="H8" s="500"/>
      <c r="I8" s="512"/>
      <c r="J8" s="512"/>
      <c r="K8" s="507" t="e">
        <f>S5&amp;".1"</f>
        <v>#VALUE!</v>
      </c>
      <c r="L8" s="490"/>
      <c r="P8" s="132"/>
      <c r="Q8" s="132"/>
      <c r="R8" s="640">
        <v>1</v>
      </c>
      <c r="S8" s="607" t="e">
        <f>$K8</f>
        <v>#VALUE!</v>
      </c>
      <c r="T8" s="641"/>
      <c r="U8" s="495"/>
      <c r="V8" s="516"/>
      <c r="W8" s="518"/>
      <c r="X8" s="519"/>
      <c r="Y8" s="224" t="s">
        <v>67</v>
      </c>
      <c r="Z8" s="519"/>
      <c r="AA8" s="224" t="s">
        <v>67</v>
      </c>
      <c r="AB8" s="224" t="s">
        <v>19</v>
      </c>
      <c r="AC8" s="642"/>
      <c r="AD8" s="356">
        <v>1</v>
      </c>
      <c r="AE8" s="87"/>
      <c r="AF8" s="224" t="s">
        <v>19</v>
      </c>
      <c r="AG8" s="642"/>
      <c r="AH8" s="356">
        <v>1</v>
      </c>
      <c r="AI8" s="87"/>
      <c r="AJ8" s="224" t="s">
        <v>19</v>
      </c>
      <c r="AK8" s="643"/>
      <c r="AL8" s="356">
        <v>1</v>
      </c>
      <c r="AM8" s="115"/>
      <c r="AN8" s="516"/>
      <c r="AO8" s="518"/>
      <c r="AP8" s="519"/>
      <c r="AQ8" s="224" t="s">
        <v>67</v>
      </c>
      <c r="AR8" s="519"/>
      <c r="AS8" s="224" t="s">
        <v>67</v>
      </c>
      <c r="AT8" s="580"/>
      <c r="AU8" s="520" t="s">
        <v>465</v>
      </c>
      <c r="AV8" s="57" t="e">
        <f>STRCHECKDATE(V11:AT11)</f>
        <v>#NAME?</v>
      </c>
      <c r="AW8" s="129"/>
      <c r="AX8" s="129" t="str">
        <f t="shared" si="21"/>
        <v/>
      </c>
      <c r="AY8" s="129"/>
      <c r="AZ8" s="129"/>
      <c r="BA8" s="50">
        <v>0</v>
      </c>
    </row>
    <row r="9" ht="11.25" hidden="1" customHeight="1">
      <c r="A9" s="488"/>
      <c r="B9" s="488"/>
      <c r="C9" s="488"/>
      <c r="D9" s="488"/>
      <c r="E9" s="500"/>
      <c r="F9" s="500"/>
      <c r="G9" s="500"/>
      <c r="H9" s="500"/>
      <c r="I9" s="512"/>
      <c r="J9" s="512"/>
      <c r="K9" s="507"/>
      <c r="L9" s="490"/>
      <c r="P9" s="132"/>
      <c r="Q9" s="132"/>
      <c r="R9" s="640"/>
      <c r="S9" s="644"/>
      <c r="T9" s="645"/>
      <c r="U9" s="495"/>
      <c r="V9" s="631"/>
      <c r="W9" s="646"/>
      <c r="X9" s="519"/>
      <c r="Y9" s="224"/>
      <c r="Z9" s="519"/>
      <c r="AA9" s="224"/>
      <c r="AB9" s="224"/>
      <c r="AC9" s="642"/>
      <c r="AD9" s="356"/>
      <c r="AE9" s="87"/>
      <c r="AF9" s="224"/>
      <c r="AG9" s="642"/>
      <c r="AH9" s="356"/>
      <c r="AI9" s="87"/>
      <c r="AJ9" s="224"/>
      <c r="AK9" s="647"/>
      <c r="AL9" s="177"/>
      <c r="AM9" s="172" t="s">
        <v>466</v>
      </c>
      <c r="AN9" s="631"/>
      <c r="AO9" s="648"/>
      <c r="AP9" s="631"/>
      <c r="AQ9" s="631"/>
      <c r="AR9" s="631"/>
      <c r="AS9" s="631"/>
      <c r="AT9" s="649"/>
      <c r="AU9" s="523"/>
      <c r="AW9" s="129"/>
      <c r="AX9" s="129"/>
      <c r="AY9" s="129"/>
      <c r="AZ9" s="129"/>
      <c r="BA9" s="50">
        <v>0</v>
      </c>
    </row>
    <row r="10" ht="11.25" hidden="1" customHeight="1">
      <c r="A10" s="488"/>
      <c r="B10" s="488"/>
      <c r="C10" s="488"/>
      <c r="D10" s="488"/>
      <c r="E10" s="500"/>
      <c r="F10" s="500"/>
      <c r="G10" s="500"/>
      <c r="H10" s="500"/>
      <c r="I10" s="512"/>
      <c r="J10" s="512"/>
      <c r="K10" s="507"/>
      <c r="L10" s="490"/>
      <c r="P10" s="132"/>
      <c r="Q10" s="132"/>
      <c r="R10" s="640"/>
      <c r="S10" s="644"/>
      <c r="T10" s="645"/>
      <c r="U10" s="495"/>
      <c r="V10" s="631"/>
      <c r="W10" s="646"/>
      <c r="X10" s="519"/>
      <c r="Y10" s="224"/>
      <c r="Z10" s="519"/>
      <c r="AA10" s="224"/>
      <c r="AB10" s="224"/>
      <c r="AC10" s="642"/>
      <c r="AD10" s="356"/>
      <c r="AE10" s="87"/>
      <c r="AF10" s="224"/>
      <c r="AG10" s="650"/>
      <c r="AH10" s="172"/>
      <c r="AI10" s="172" t="s">
        <v>467</v>
      </c>
      <c r="AJ10" s="631"/>
      <c r="AK10" s="631"/>
      <c r="AL10" s="631"/>
      <c r="AM10" s="631"/>
      <c r="AN10" s="631"/>
      <c r="AO10" s="648"/>
      <c r="AP10" s="631"/>
      <c r="AQ10" s="631"/>
      <c r="AR10" s="631"/>
      <c r="AS10" s="631"/>
      <c r="AT10" s="649"/>
      <c r="AU10" s="523"/>
      <c r="AW10" s="129"/>
      <c r="AX10" s="129"/>
      <c r="AY10" s="129"/>
      <c r="AZ10" s="129"/>
      <c r="BA10" s="50">
        <v>0</v>
      </c>
    </row>
    <row r="11" ht="11.25" hidden="1" customHeight="1">
      <c r="A11" s="488"/>
      <c r="B11" s="488"/>
      <c r="C11" s="488"/>
      <c r="D11" s="488"/>
      <c r="E11" s="500"/>
      <c r="F11" s="500"/>
      <c r="G11" s="500"/>
      <c r="H11" s="500"/>
      <c r="I11" s="512"/>
      <c r="J11" s="512"/>
      <c r="K11" s="507"/>
      <c r="L11" s="490"/>
      <c r="P11" s="132"/>
      <c r="Q11" s="132"/>
      <c r="R11" s="640"/>
      <c r="S11" s="617"/>
      <c r="T11" s="651"/>
      <c r="U11" s="495"/>
      <c r="V11" s="631"/>
      <c r="W11" s="652" t="str">
        <f>X8&amp;"-"&amp;Z8</f>
        <v>-</v>
      </c>
      <c r="X11" s="522"/>
      <c r="Y11" s="224"/>
      <c r="Z11" s="522"/>
      <c r="AA11" s="224"/>
      <c r="AB11" s="224"/>
      <c r="AC11" s="653"/>
      <c r="AD11" s="654"/>
      <c r="AE11" s="172" t="s">
        <v>468</v>
      </c>
      <c r="AF11" s="631"/>
      <c r="AG11" s="631"/>
      <c r="AH11" s="631"/>
      <c r="AI11" s="631"/>
      <c r="AJ11" s="631"/>
      <c r="AK11" s="631"/>
      <c r="AL11" s="631"/>
      <c r="AM11" s="631"/>
      <c r="AN11" s="631"/>
      <c r="AO11" s="632" t="str">
        <f>AP8&amp;"-"&amp;AR8</f>
        <v>-</v>
      </c>
      <c r="AP11" s="631"/>
      <c r="AQ11" s="631"/>
      <c r="AR11" s="631"/>
      <c r="AS11" s="631"/>
      <c r="AT11" s="582"/>
      <c r="AU11" s="523"/>
      <c r="AW11" s="129"/>
      <c r="AX11" s="129" t="str">
        <f t="shared" ref="AX11:AX62" si="22">IF(T11="","",T11)</f>
        <v/>
      </c>
      <c r="AY11" s="129"/>
      <c r="AZ11" s="129"/>
      <c r="BA11" s="50">
        <v>0</v>
      </c>
    </row>
    <row r="12" ht="11.25" hidden="1" customHeight="1">
      <c r="A12" s="488"/>
      <c r="B12" s="488"/>
      <c r="C12" s="488"/>
      <c r="D12" s="488"/>
      <c r="E12" s="500"/>
      <c r="F12" s="500"/>
      <c r="G12" s="500"/>
      <c r="H12" s="500"/>
      <c r="I12" s="512"/>
      <c r="J12" s="507"/>
      <c r="K12" s="488"/>
      <c r="L12" s="490"/>
      <c r="P12" s="132"/>
      <c r="Q12" s="132"/>
      <c r="R12" s="508"/>
      <c r="S12" s="524"/>
      <c r="T12" s="528" t="s">
        <v>469</v>
      </c>
      <c r="U12" s="214"/>
      <c r="V12" s="214"/>
      <c r="W12" s="214"/>
      <c r="X12" s="214"/>
      <c r="Y12" s="214"/>
      <c r="Z12" s="214"/>
      <c r="AA12" s="214"/>
      <c r="AB12" s="214"/>
      <c r="AC12" s="214"/>
      <c r="AD12" s="214"/>
      <c r="AE12" s="214"/>
      <c r="AF12" s="214"/>
      <c r="AG12" s="214"/>
      <c r="AH12" s="214"/>
      <c r="AI12" s="214"/>
      <c r="AJ12" s="214"/>
      <c r="AK12" s="214"/>
      <c r="AL12" s="214"/>
      <c r="AM12" s="214"/>
      <c r="AN12" s="214"/>
      <c r="AO12" s="214"/>
      <c r="AP12" s="214"/>
      <c r="AQ12" s="214"/>
      <c r="AR12" s="214"/>
      <c r="AS12" s="214"/>
      <c r="AT12" s="526"/>
      <c r="AU12" s="527"/>
      <c r="AW12" s="129"/>
      <c r="AX12" s="129" t="str">
        <f t="shared" si="22"/>
        <v xml:space="preserve">Добавить строку</v>
      </c>
      <c r="AY12" s="129"/>
      <c r="AZ12" s="129"/>
      <c r="BA12" s="50">
        <v>0</v>
      </c>
    </row>
    <row r="13" s="57" customFormat="1" ht="0.75" hidden="1" customHeight="1">
      <c r="A13" s="133"/>
      <c r="B13" s="133"/>
      <c r="C13" s="133"/>
      <c r="D13" s="133"/>
      <c r="E13" s="500"/>
      <c r="F13" s="500"/>
      <c r="G13" s="500"/>
      <c r="H13" s="500"/>
      <c r="I13" s="507"/>
      <c r="J13" s="133"/>
      <c r="K13" s="133"/>
      <c r="L13" s="212"/>
      <c r="M13" s="605"/>
      <c r="N13" s="605"/>
      <c r="O13" s="605"/>
      <c r="P13" s="132"/>
      <c r="Q13" s="132"/>
      <c r="R13" s="508"/>
      <c r="S13" s="601"/>
      <c r="T13" s="602"/>
      <c r="U13" s="603"/>
      <c r="V13" s="603"/>
      <c r="W13" s="603"/>
      <c r="X13" s="603"/>
      <c r="Y13" s="603"/>
      <c r="Z13" s="603"/>
      <c r="AA13" s="603"/>
      <c r="AB13" s="603"/>
      <c r="AC13" s="603"/>
      <c r="AD13" s="603"/>
      <c r="AE13" s="603"/>
      <c r="AF13" s="603"/>
      <c r="AG13" s="603"/>
      <c r="AH13" s="603"/>
      <c r="AI13" s="603"/>
      <c r="AJ13" s="603"/>
      <c r="AK13" s="603"/>
      <c r="AL13" s="603"/>
      <c r="AM13" s="603"/>
      <c r="AN13" s="603"/>
      <c r="AO13" s="603"/>
      <c r="AP13" s="603"/>
      <c r="AQ13" s="603"/>
      <c r="AR13" s="603"/>
      <c r="AS13" s="603"/>
      <c r="AT13" s="603"/>
      <c r="AU13" s="604"/>
      <c r="AW13" s="129"/>
      <c r="AX13" s="129" t="str">
        <f t="shared" si="22"/>
        <v/>
      </c>
      <c r="AY13" s="129"/>
      <c r="AZ13" s="129"/>
      <c r="BA13" s="57">
        <v>0</v>
      </c>
    </row>
    <row r="14" s="57" customFormat="1" ht="0.75" hidden="1" customHeight="1">
      <c r="A14" s="133"/>
      <c r="B14" s="133"/>
      <c r="C14" s="133"/>
      <c r="D14" s="133"/>
      <c r="E14" s="500"/>
      <c r="F14" s="500"/>
      <c r="G14" s="500"/>
      <c r="H14" s="489"/>
      <c r="I14" s="133"/>
      <c r="J14" s="133"/>
      <c r="K14" s="133"/>
      <c r="L14" s="212"/>
      <c r="M14" s="473"/>
      <c r="N14" s="473"/>
      <c r="O14" s="57"/>
      <c r="P14" s="167"/>
      <c r="Q14" s="533"/>
      <c r="R14" s="655"/>
      <c r="S14" s="601"/>
      <c r="T14" s="602"/>
      <c r="U14" s="603"/>
      <c r="V14" s="603"/>
      <c r="W14" s="603"/>
      <c r="X14" s="603"/>
      <c r="Y14" s="603"/>
      <c r="Z14" s="603"/>
      <c r="AA14" s="603"/>
      <c r="AB14" s="603"/>
      <c r="AC14" s="603"/>
      <c r="AD14" s="603"/>
      <c r="AE14" s="603"/>
      <c r="AF14" s="603"/>
      <c r="AG14" s="603"/>
      <c r="AH14" s="603"/>
      <c r="AI14" s="603"/>
      <c r="AJ14" s="603"/>
      <c r="AK14" s="603"/>
      <c r="AL14" s="603"/>
      <c r="AM14" s="603"/>
      <c r="AN14" s="603"/>
      <c r="AO14" s="603"/>
      <c r="AP14" s="603"/>
      <c r="AQ14" s="603"/>
      <c r="AR14" s="603"/>
      <c r="AS14" s="603"/>
      <c r="AT14" s="603"/>
      <c r="AU14" s="604"/>
      <c r="AW14" s="129"/>
      <c r="AX14" s="129" t="str">
        <f t="shared" si="22"/>
        <v/>
      </c>
      <c r="AY14" s="129"/>
      <c r="AZ14" s="129"/>
      <c r="BA14" s="57">
        <v>0</v>
      </c>
    </row>
    <row r="15" s="57" customFormat="1" ht="0.75" hidden="1" customHeight="1">
      <c r="A15" s="133"/>
      <c r="B15" s="133"/>
      <c r="C15" s="133"/>
      <c r="D15" s="133"/>
      <c r="E15" s="500"/>
      <c r="F15" s="500"/>
      <c r="G15" s="489"/>
      <c r="H15" s="133"/>
      <c r="I15" s="133"/>
      <c r="J15" s="133"/>
      <c r="K15" s="133"/>
      <c r="L15" s="212"/>
      <c r="M15" s="473"/>
      <c r="N15" s="473"/>
      <c r="P15" s="167"/>
      <c r="Q15" s="533"/>
      <c r="R15" s="167"/>
      <c r="S15" s="538"/>
      <c r="T15" s="541" t="s">
        <v>211</v>
      </c>
      <c r="U15" s="540"/>
      <c r="V15" s="540"/>
      <c r="W15" s="540"/>
      <c r="X15" s="540"/>
      <c r="Y15" s="540"/>
      <c r="Z15" s="540"/>
      <c r="AA15" s="540"/>
      <c r="AB15" s="540"/>
      <c r="AC15" s="540"/>
      <c r="AD15" s="540"/>
      <c r="AE15" s="540"/>
      <c r="AF15" s="540"/>
      <c r="AG15" s="540"/>
      <c r="AH15" s="540"/>
      <c r="AI15" s="540"/>
      <c r="AJ15" s="540"/>
      <c r="AK15" s="540"/>
      <c r="AL15" s="540"/>
      <c r="AM15" s="540"/>
      <c r="AN15" s="540"/>
      <c r="AO15" s="540"/>
      <c r="AP15" s="540"/>
      <c r="AQ15" s="540"/>
      <c r="AR15" s="540"/>
      <c r="AS15" s="540"/>
      <c r="AT15" s="540"/>
      <c r="AU15" s="540"/>
      <c r="AW15" s="129"/>
      <c r="AX15" s="129" t="str">
        <f t="shared" si="22"/>
        <v xml:space="preserve">Добавить источник для дифференциации</v>
      </c>
      <c r="AY15" s="129"/>
      <c r="AZ15" s="129"/>
      <c r="BA15" s="57">
        <v>0</v>
      </c>
    </row>
    <row r="16" s="57" customFormat="1" ht="0.75" hidden="1" customHeight="1">
      <c r="A16" s="133"/>
      <c r="B16" s="133"/>
      <c r="C16" s="133"/>
      <c r="D16" s="133"/>
      <c r="E16" s="500"/>
      <c r="F16" s="489"/>
      <c r="G16" s="133"/>
      <c r="H16" s="133"/>
      <c r="I16" s="133"/>
      <c r="J16" s="133"/>
      <c r="K16" s="133"/>
      <c r="L16" s="212"/>
      <c r="M16" s="537"/>
      <c r="N16" s="537"/>
      <c r="P16" s="167"/>
      <c r="Q16" s="533"/>
      <c r="R16" s="167"/>
      <c r="S16" s="538"/>
      <c r="T16" s="541" t="s">
        <v>212</v>
      </c>
      <c r="U16" s="540"/>
      <c r="V16" s="540"/>
      <c r="W16" s="540"/>
      <c r="X16" s="540"/>
      <c r="Y16" s="540"/>
      <c r="Z16" s="540"/>
      <c r="AA16" s="540"/>
      <c r="AB16" s="540"/>
      <c r="AC16" s="540"/>
      <c r="AD16" s="540"/>
      <c r="AE16" s="540"/>
      <c r="AF16" s="540"/>
      <c r="AG16" s="540"/>
      <c r="AH16" s="540"/>
      <c r="AI16" s="540"/>
      <c r="AJ16" s="540"/>
      <c r="AK16" s="540"/>
      <c r="AL16" s="540"/>
      <c r="AM16" s="540"/>
      <c r="AN16" s="540"/>
      <c r="AO16" s="540"/>
      <c r="AP16" s="540"/>
      <c r="AQ16" s="540"/>
      <c r="AR16" s="540"/>
      <c r="AS16" s="540"/>
      <c r="AT16" s="540"/>
      <c r="AU16" s="540"/>
      <c r="AW16" s="129"/>
      <c r="AX16" s="129" t="str">
        <f t="shared" si="22"/>
        <v xml:space="preserve">Добавить централизованную систему для дифференциации</v>
      </c>
      <c r="AY16" s="129"/>
      <c r="AZ16" s="129"/>
      <c r="BA16" s="57">
        <v>0</v>
      </c>
    </row>
    <row r="17" s="57" customFormat="1" ht="0.75" hidden="1" customHeight="1">
      <c r="A17" s="133"/>
      <c r="B17" s="133"/>
      <c r="C17" s="133"/>
      <c r="D17" s="133"/>
      <c r="E17" s="489"/>
      <c r="F17" s="133"/>
      <c r="G17" s="133"/>
      <c r="H17" s="133"/>
      <c r="I17" s="133"/>
      <c r="J17" s="133"/>
      <c r="K17" s="133"/>
      <c r="L17" s="212"/>
      <c r="M17" s="537"/>
      <c r="N17" s="537"/>
      <c r="O17" s="57"/>
      <c r="P17" s="167"/>
      <c r="Q17" s="533"/>
      <c r="R17" s="167"/>
      <c r="S17" s="538"/>
      <c r="T17" s="541" t="s">
        <v>213</v>
      </c>
      <c r="U17" s="540"/>
      <c r="V17" s="540"/>
      <c r="W17" s="540"/>
      <c r="X17" s="540"/>
      <c r="Y17" s="540"/>
      <c r="Z17" s="540"/>
      <c r="AA17" s="540"/>
      <c r="AB17" s="540"/>
      <c r="AC17" s="540"/>
      <c r="AD17" s="540"/>
      <c r="AE17" s="540"/>
      <c r="AF17" s="540"/>
      <c r="AG17" s="540"/>
      <c r="AH17" s="540"/>
      <c r="AI17" s="540"/>
      <c r="AJ17" s="540"/>
      <c r="AK17" s="540"/>
      <c r="AL17" s="540"/>
      <c r="AM17" s="540"/>
      <c r="AN17" s="540"/>
      <c r="AO17" s="540"/>
      <c r="AP17" s="540"/>
      <c r="AQ17" s="540"/>
      <c r="AR17" s="540"/>
      <c r="AS17" s="540"/>
      <c r="AT17" s="540"/>
      <c r="AU17" s="540"/>
      <c r="AW17" s="129"/>
      <c r="AX17" s="129" t="str">
        <f t="shared" si="22"/>
        <v xml:space="preserve">Добавить территорию для дифференциации</v>
      </c>
      <c r="AY17" s="129"/>
      <c r="AZ17" s="129"/>
      <c r="BA17" s="57">
        <v>0</v>
      </c>
    </row>
    <row r="18" ht="14.25" hidden="1" customHeight="1">
      <c r="AA18" s="50"/>
      <c r="AS18" s="50"/>
      <c r="BA18" s="50">
        <v>0</v>
      </c>
    </row>
    <row r="19" ht="14.25" hidden="1" customHeight="1">
      <c r="AB19" s="540" t="s">
        <v>19</v>
      </c>
      <c r="AC19" s="656"/>
      <c r="AD19" s="540">
        <v>1</v>
      </c>
      <c r="AE19" s="657"/>
      <c r="AF19" s="540" t="s">
        <v>19</v>
      </c>
      <c r="AG19" s="656"/>
      <c r="AH19" s="540">
        <v>1</v>
      </c>
      <c r="AI19" s="657"/>
      <c r="AJ19" s="540" t="s">
        <v>19</v>
      </c>
      <c r="AK19" s="658"/>
      <c r="AL19" s="540">
        <v>1</v>
      </c>
      <c r="AM19" s="659"/>
      <c r="AN19" s="660"/>
      <c r="AO19" s="661"/>
      <c r="AP19" s="662"/>
      <c r="AQ19" s="663" t="s">
        <v>67</v>
      </c>
      <c r="AR19" s="662"/>
      <c r="AS19" s="663" t="s">
        <v>67</v>
      </c>
      <c r="BA19" s="50">
        <v>0</v>
      </c>
    </row>
    <row r="20" ht="14.25" hidden="1" customHeight="1">
      <c r="AV20" s="131"/>
      <c r="AW20" s="131"/>
      <c r="AX20" s="131"/>
      <c r="AY20" s="131"/>
      <c r="AZ20" s="131"/>
      <c r="BA20" s="50">
        <v>0</v>
      </c>
    </row>
    <row r="21" ht="14.25" hidden="1" customHeight="1">
      <c r="O21" s="546" t="s">
        <v>419</v>
      </c>
      <c r="X21" s="590"/>
      <c r="Z21" s="590"/>
      <c r="AA21" s="50"/>
      <c r="AP21" s="590"/>
      <c r="AR21" s="590"/>
      <c r="AS21" s="50"/>
      <c r="AV21" s="131"/>
      <c r="AW21" s="131"/>
      <c r="AX21" s="131"/>
      <c r="AY21" s="131"/>
      <c r="AZ21" s="131"/>
      <c r="BA21" s="50">
        <v>0</v>
      </c>
    </row>
    <row r="22" ht="14.25" hidden="1" customHeight="1">
      <c r="AA22" s="50"/>
      <c r="AS22" s="50"/>
      <c r="AV22" s="131"/>
      <c r="AW22" s="131"/>
      <c r="AX22" s="131"/>
      <c r="AY22" s="131"/>
      <c r="AZ22" s="131"/>
      <c r="BA22" s="50">
        <v>0</v>
      </c>
    </row>
    <row r="23" s="664" customFormat="1" ht="14.25" hidden="1" customHeight="1">
      <c r="M23" s="665"/>
      <c r="N23" s="665"/>
      <c r="O23" s="664" t="s">
        <v>420</v>
      </c>
      <c r="P23" s="665"/>
      <c r="Q23" s="666"/>
      <c r="R23" s="666"/>
      <c r="Y23" s="664" t="s">
        <v>422</v>
      </c>
      <c r="AA23" s="664" t="s">
        <v>423</v>
      </c>
      <c r="AB23" s="664" t="s">
        <v>470</v>
      </c>
      <c r="AE23" s="664" t="s">
        <v>471</v>
      </c>
      <c r="AF23" s="664" t="s">
        <v>470</v>
      </c>
      <c r="AI23" s="664" t="s">
        <v>472</v>
      </c>
      <c r="AJ23" s="664" t="s">
        <v>470</v>
      </c>
      <c r="AM23" s="664" t="s">
        <v>473</v>
      </c>
      <c r="AQ23" s="664" t="s">
        <v>422</v>
      </c>
      <c r="AS23" s="664" t="s">
        <v>423</v>
      </c>
      <c r="AV23" s="667"/>
      <c r="AW23" s="667"/>
      <c r="AX23" s="667"/>
      <c r="AY23" s="667"/>
      <c r="AZ23" s="667"/>
      <c r="BA23" s="664">
        <v>0</v>
      </c>
    </row>
    <row r="24" ht="14.25" hidden="1" customHeight="1">
      <c r="O24" s="490"/>
      <c r="AV24" s="131"/>
      <c r="AW24" s="131"/>
      <c r="AX24" s="131"/>
      <c r="AY24" s="131"/>
      <c r="AZ24" s="131"/>
      <c r="BA24" s="50">
        <v>0</v>
      </c>
    </row>
    <row r="25" ht="14.25" hidden="1" customHeight="1">
      <c r="O25" s="490"/>
      <c r="AV25" s="131"/>
      <c r="AW25" s="131"/>
      <c r="AX25" s="131"/>
      <c r="AY25" s="131"/>
      <c r="AZ25" s="131"/>
      <c r="BA25" s="50">
        <v>0</v>
      </c>
    </row>
    <row r="26" ht="14.65" customHeight="1">
      <c r="Q26" s="668"/>
      <c r="R26" s="548"/>
      <c r="S26" s="549"/>
      <c r="T26" s="91"/>
      <c r="U26" s="91"/>
      <c r="V26" s="50"/>
      <c r="W26" s="50"/>
      <c r="X26" s="50"/>
      <c r="Y26" s="50"/>
      <c r="Z26" s="50"/>
      <c r="AA26" s="50"/>
      <c r="AB26" s="50"/>
      <c r="AC26" s="50"/>
      <c r="AD26" s="50"/>
      <c r="AE26" s="50"/>
      <c r="AF26" s="50"/>
      <c r="AG26" s="50"/>
      <c r="AH26" s="50"/>
      <c r="AI26" s="50"/>
      <c r="AJ26" s="50"/>
      <c r="AK26" s="50"/>
      <c r="AL26" s="50"/>
      <c r="AM26" s="50"/>
      <c r="AN26" s="50"/>
      <c r="AO26" s="50"/>
      <c r="AP26" s="50"/>
      <c r="AQ26" s="50"/>
      <c r="AR26" s="50"/>
      <c r="AS26" s="50"/>
      <c r="BA26" s="50">
        <v>14</v>
      </c>
    </row>
    <row r="27" ht="27.300000000000001" customHeight="1">
      <c r="Q27" s="668"/>
      <c r="R27" s="548"/>
      <c r="S27" s="461" t="str">
        <f>IF(TEMPLATE_GROUP="P",PT_P_FORM_HEAT_7_NAME_FORM,PT_R_FORM_HEAT_24_NAME_FORM)</f>
        <v xml:space="preserve">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461"/>
      <c r="U27" s="461"/>
      <c r="V27" s="461"/>
      <c r="W27" s="461"/>
      <c r="X27" s="461"/>
      <c r="Y27" s="461"/>
      <c r="Z27" s="461"/>
      <c r="AA27" s="461"/>
      <c r="AB27" s="461"/>
      <c r="AC27" s="461"/>
      <c r="AD27" s="461"/>
      <c r="AE27" s="461"/>
      <c r="AF27" s="461"/>
      <c r="AG27" s="461"/>
      <c r="AH27" s="461"/>
      <c r="AI27" s="461"/>
      <c r="AJ27" s="461"/>
      <c r="AK27" s="461"/>
      <c r="AL27" s="461"/>
      <c r="AM27" s="461"/>
      <c r="AN27" s="461"/>
      <c r="AO27" s="461"/>
      <c r="AP27" s="461"/>
      <c r="AQ27" s="461"/>
      <c r="AR27" s="461"/>
      <c r="AS27" s="240"/>
      <c r="BA27" s="50">
        <v>26</v>
      </c>
    </row>
    <row r="28" ht="14.65" customHeight="1">
      <c r="Q28" s="668"/>
      <c r="R28" s="548"/>
      <c r="S28" s="316" t="str">
        <f>IF(org=0,"Не определено",org)</f>
        <v xml:space="preserve">АО "ДГК"</v>
      </c>
      <c r="T28" s="316"/>
      <c r="U28" s="316"/>
      <c r="V28" s="316"/>
      <c r="W28" s="316"/>
      <c r="X28" s="316"/>
      <c r="Y28" s="316"/>
      <c r="Z28" s="316"/>
      <c r="AA28" s="316"/>
      <c r="AB28" s="316"/>
      <c r="AC28" s="316"/>
      <c r="AD28" s="316"/>
      <c r="AE28" s="316"/>
      <c r="AF28" s="316"/>
      <c r="AG28" s="316"/>
      <c r="AH28" s="316"/>
      <c r="AI28" s="316"/>
      <c r="AJ28" s="316"/>
      <c r="AK28" s="316"/>
      <c r="AL28" s="316"/>
      <c r="AM28" s="316"/>
      <c r="AN28" s="316"/>
      <c r="AO28" s="316"/>
      <c r="AP28" s="316"/>
      <c r="AQ28" s="316"/>
      <c r="AR28" s="316"/>
      <c r="AS28" s="240"/>
      <c r="BA28" s="50">
        <v>14</v>
      </c>
    </row>
    <row r="29" ht="14.25" hidden="1" customHeight="1">
      <c r="Q29" s="668"/>
      <c r="R29" s="548"/>
      <c r="S29" s="549"/>
      <c r="T29" s="91"/>
      <c r="U29" s="91"/>
      <c r="V29" s="550"/>
      <c r="W29" s="550"/>
      <c r="X29" s="550"/>
      <c r="Y29" s="550"/>
      <c r="Z29" s="550"/>
      <c r="AA29" s="550"/>
      <c r="AB29" s="550"/>
      <c r="AC29" s="550"/>
      <c r="AD29" s="550"/>
      <c r="AE29" s="550"/>
      <c r="AF29" s="550"/>
      <c r="AG29" s="550"/>
      <c r="AH29" s="550"/>
      <c r="AI29" s="550"/>
      <c r="AJ29" s="550"/>
      <c r="AK29" s="550"/>
      <c r="AL29" s="550"/>
      <c r="AM29" s="550"/>
      <c r="AN29" s="550"/>
      <c r="AO29" s="550"/>
      <c r="AP29" s="550"/>
      <c r="AQ29" s="550"/>
      <c r="AR29" s="550"/>
      <c r="AS29" s="550"/>
      <c r="AT29" s="50"/>
      <c r="BA29" s="50">
        <v>0</v>
      </c>
    </row>
    <row r="30" s="184" customFormat="1" ht="25.5" hidden="1" customHeight="1">
      <c r="A30" s="151"/>
      <c r="B30" s="151"/>
      <c r="C30" s="151"/>
      <c r="D30" s="151"/>
      <c r="E30" s="151"/>
      <c r="F30" s="151"/>
      <c r="G30" s="151"/>
      <c r="H30" s="151"/>
      <c r="I30" s="151"/>
      <c r="J30" s="151"/>
      <c r="K30" s="151"/>
      <c r="L30" s="490"/>
      <c r="M30" s="151"/>
      <c r="N30" s="151"/>
      <c r="O30" s="151"/>
      <c r="P30" s="151"/>
      <c r="Q30" s="151"/>
      <c r="S30" s="551" t="s">
        <v>42</v>
      </c>
      <c r="T30" s="551"/>
      <c r="U30" s="552"/>
      <c r="V30" s="553" t="str">
        <f>IF(TITLE_NAME_OR_PR_CHANGE="",IF(TITLE_NAME_OR_PR="","",TITLE_NAME_OR_PR),TITLE_NAME_OR_PR_CHANGE)</f>
        <v/>
      </c>
      <c r="W30" s="553"/>
      <c r="X30" s="553"/>
      <c r="Y30" s="553"/>
      <c r="Z30" s="553"/>
      <c r="AA30" s="50"/>
      <c r="AB30" s="553" t="str">
        <f>IF(TITLE_NAME_OR_PR_CHANGE="",IF(TITLE_NAME_OR_PR="","",TITLE_NAME_OR_PR),TITLE_NAME_OR_PR_CHANGE)</f>
        <v/>
      </c>
      <c r="AC30" s="553"/>
      <c r="AD30" s="553"/>
      <c r="AE30" s="553"/>
      <c r="AF30" s="553"/>
      <c r="AG30" s="553"/>
      <c r="AH30" s="553"/>
      <c r="AI30" s="553"/>
      <c r="AJ30" s="553"/>
      <c r="AK30" s="553"/>
      <c r="AL30" s="553"/>
      <c r="AM30" s="553"/>
      <c r="AN30" s="553"/>
      <c r="AO30" s="553"/>
      <c r="AP30" s="553"/>
      <c r="AQ30" s="553"/>
      <c r="AR30" s="553"/>
      <c r="AS30" s="50"/>
      <c r="AT30" s="50"/>
      <c r="AU30" s="554"/>
      <c r="AV30" s="129"/>
      <c r="AW30" s="129"/>
      <c r="AX30" s="129"/>
      <c r="AY30" s="129"/>
      <c r="AZ30" s="129"/>
      <c r="BA30" s="184">
        <v>0</v>
      </c>
    </row>
    <row r="31" s="184" customFormat="1" ht="18.75" hidden="1" customHeight="1">
      <c r="A31" s="151"/>
      <c r="B31" s="151"/>
      <c r="C31" s="151"/>
      <c r="D31" s="151"/>
      <c r="E31" s="151"/>
      <c r="F31" s="151"/>
      <c r="G31" s="151"/>
      <c r="H31" s="151"/>
      <c r="I31" s="151"/>
      <c r="J31" s="151"/>
      <c r="K31" s="151"/>
      <c r="L31" s="490"/>
      <c r="M31" s="151"/>
      <c r="N31" s="151"/>
      <c r="O31" s="151"/>
      <c r="P31" s="151"/>
      <c r="Q31" s="151"/>
      <c r="S31" s="551" t="s">
        <v>425</v>
      </c>
      <c r="T31" s="551"/>
      <c r="U31" s="552"/>
      <c r="V31" s="555">
        <f>IF(TITLE_DATE_PR_CHANGE="",IF(TITLE_DATE_PR="","",TITLE_DATE_PR),TITLE_DATE_PR_CHANGE)</f>
        <v>46212.428518518522</v>
      </c>
      <c r="W31" s="555"/>
      <c r="X31" s="555"/>
      <c r="Y31" s="555"/>
      <c r="Z31" s="555"/>
      <c r="AA31" s="50"/>
      <c r="AB31" s="555">
        <f>IF(TITLE_DATE_PR_CHANGE="",IF(TITLE_DATE_PR="","",TITLE_DATE_PR),TITLE_DATE_PR_CHANGE)</f>
        <v>46212.428518518522</v>
      </c>
      <c r="AC31" s="555"/>
      <c r="AD31" s="555"/>
      <c r="AE31" s="555"/>
      <c r="AF31" s="555"/>
      <c r="AG31" s="555"/>
      <c r="AH31" s="555"/>
      <c r="AI31" s="555"/>
      <c r="AJ31" s="555"/>
      <c r="AK31" s="555"/>
      <c r="AL31" s="555"/>
      <c r="AM31" s="555"/>
      <c r="AN31" s="555"/>
      <c r="AO31" s="555"/>
      <c r="AP31" s="555"/>
      <c r="AQ31" s="555"/>
      <c r="AR31" s="555"/>
      <c r="AS31" s="50"/>
      <c r="AT31" s="50"/>
      <c r="AU31" s="554"/>
      <c r="AV31" s="129"/>
      <c r="AW31" s="129"/>
      <c r="AX31" s="129"/>
      <c r="AY31" s="129"/>
      <c r="AZ31" s="129"/>
      <c r="BA31" s="184">
        <v>0</v>
      </c>
    </row>
    <row r="32" s="184" customFormat="1" ht="18.75" hidden="1" customHeight="1">
      <c r="A32" s="151"/>
      <c r="B32" s="151"/>
      <c r="C32" s="151"/>
      <c r="D32" s="151"/>
      <c r="E32" s="151"/>
      <c r="F32" s="151"/>
      <c r="G32" s="151"/>
      <c r="H32" s="151"/>
      <c r="I32" s="151"/>
      <c r="J32" s="151"/>
      <c r="K32" s="151"/>
      <c r="L32" s="490"/>
      <c r="M32" s="151"/>
      <c r="N32" s="151"/>
      <c r="O32" s="151"/>
      <c r="P32" s="151"/>
      <c r="Q32" s="151"/>
      <c r="S32" s="551" t="s">
        <v>426</v>
      </c>
      <c r="T32" s="551"/>
      <c r="U32" s="552"/>
      <c r="V32" s="553" t="str">
        <f>IF(TITLE_NUMBER_PR_CHANGE="",IF(TITLE_NUMBER_PR="","",TITLE_NUMBER_PR),TITLE_NUMBER_PR_CHANGE)</f>
        <v>Исх-260/1397</v>
      </c>
      <c r="W32" s="553"/>
      <c r="X32" s="553"/>
      <c r="Y32" s="553"/>
      <c r="Z32" s="553"/>
      <c r="AA32" s="50"/>
      <c r="AB32" s="553" t="str">
        <f>IF(TITLE_NUMBER_PR_CHANGE="",IF(TITLE_NUMBER_PR="","",TITLE_NUMBER_PR),TITLE_NUMBER_PR_CHANGE)</f>
        <v>Исх-260/1397</v>
      </c>
      <c r="AC32" s="553"/>
      <c r="AD32" s="553"/>
      <c r="AE32" s="553"/>
      <c r="AF32" s="553"/>
      <c r="AG32" s="553"/>
      <c r="AH32" s="553"/>
      <c r="AI32" s="553"/>
      <c r="AJ32" s="553"/>
      <c r="AK32" s="553"/>
      <c r="AL32" s="553"/>
      <c r="AM32" s="553"/>
      <c r="AN32" s="553"/>
      <c r="AO32" s="553"/>
      <c r="AP32" s="553"/>
      <c r="AQ32" s="553"/>
      <c r="AR32" s="553"/>
      <c r="AS32" s="50"/>
      <c r="AT32" s="50"/>
      <c r="AU32" s="554"/>
      <c r="AV32" s="129"/>
      <c r="AW32" s="129"/>
      <c r="AX32" s="129"/>
      <c r="AY32" s="129"/>
      <c r="AZ32" s="129"/>
      <c r="BA32" s="184">
        <v>0</v>
      </c>
    </row>
    <row r="33" s="184" customFormat="1" ht="18.75" hidden="1" customHeight="1">
      <c r="A33" s="151"/>
      <c r="B33" s="151"/>
      <c r="C33" s="151"/>
      <c r="D33" s="151"/>
      <c r="E33" s="151"/>
      <c r="F33" s="151"/>
      <c r="G33" s="151"/>
      <c r="H33" s="151"/>
      <c r="I33" s="151"/>
      <c r="J33" s="151"/>
      <c r="K33" s="151"/>
      <c r="L33" s="490"/>
      <c r="M33" s="151"/>
      <c r="N33" s="151"/>
      <c r="O33" s="151"/>
      <c r="P33" s="151"/>
      <c r="Q33" s="151"/>
      <c r="S33" s="551" t="s">
        <v>43</v>
      </c>
      <c r="T33" s="551"/>
      <c r="U33" s="552"/>
      <c r="V33" s="553" t="str">
        <f>IF(TITLE_IST_PUB_CHANGE="",IF(TITLE_IST_PUB="","",TITLE_IST_PUB),TITLE_IST_PUB_CHANGE)</f>
        <v/>
      </c>
      <c r="W33" s="553"/>
      <c r="X33" s="553"/>
      <c r="Y33" s="553"/>
      <c r="Z33" s="553"/>
      <c r="AA33" s="50"/>
      <c r="AB33" s="553" t="str">
        <f>IF(TITLE_IST_PUB_CHANGE="",IF(TITLE_IST_PUB="","",TITLE_IST_PUB),TITLE_IST_PUB_CHANGE)</f>
        <v/>
      </c>
      <c r="AC33" s="553"/>
      <c r="AD33" s="553"/>
      <c r="AE33" s="553"/>
      <c r="AF33" s="553"/>
      <c r="AG33" s="553"/>
      <c r="AH33" s="553"/>
      <c r="AI33" s="553"/>
      <c r="AJ33" s="553"/>
      <c r="AK33" s="553"/>
      <c r="AL33" s="553"/>
      <c r="AM33" s="553"/>
      <c r="AN33" s="553"/>
      <c r="AO33" s="553"/>
      <c r="AP33" s="553"/>
      <c r="AQ33" s="553"/>
      <c r="AR33" s="553"/>
      <c r="AS33" s="50"/>
      <c r="AT33" s="50"/>
      <c r="AU33" s="554"/>
      <c r="AV33" s="129"/>
      <c r="AW33" s="129"/>
      <c r="AX33" s="129"/>
      <c r="AY33" s="129"/>
      <c r="AZ33" s="129"/>
      <c r="BA33" s="184">
        <v>0</v>
      </c>
    </row>
    <row r="34" ht="14.25" customHeight="1">
      <c r="Q34" s="668"/>
      <c r="R34" s="548"/>
      <c r="S34" s="549"/>
      <c r="T34" s="91"/>
      <c r="U34" s="91"/>
      <c r="V34" s="550"/>
      <c r="W34" s="550"/>
      <c r="X34" s="550"/>
      <c r="Y34" s="550"/>
      <c r="Z34" s="550"/>
      <c r="AA34" s="550"/>
      <c r="AB34" s="550"/>
      <c r="AC34" s="550"/>
      <c r="AD34" s="550"/>
      <c r="AE34" s="550"/>
      <c r="AF34" s="550"/>
      <c r="AG34" s="550"/>
      <c r="AH34" s="550"/>
      <c r="AI34" s="550"/>
      <c r="AJ34" s="550"/>
      <c r="AK34" s="550"/>
      <c r="AL34" s="550"/>
      <c r="AM34" s="550"/>
      <c r="AN34" s="550"/>
      <c r="AO34" s="550"/>
      <c r="AP34" s="550"/>
      <c r="AQ34" s="550"/>
      <c r="AR34" s="550"/>
      <c r="AS34" s="550"/>
      <c r="AT34" s="50"/>
      <c r="BA34" s="50">
        <v>0</v>
      </c>
    </row>
    <row r="35" s="184" customFormat="1" ht="18.75" customHeight="1">
      <c r="A35" s="151"/>
      <c r="B35" s="151"/>
      <c r="C35" s="151"/>
      <c r="D35" s="151"/>
      <c r="E35" s="151"/>
      <c r="F35" s="151"/>
      <c r="G35" s="151"/>
      <c r="H35" s="151"/>
      <c r="I35" s="151"/>
      <c r="J35" s="151"/>
      <c r="K35" s="151"/>
      <c r="L35" s="490"/>
      <c r="M35" s="151"/>
      <c r="N35" s="151"/>
      <c r="O35" s="151"/>
      <c r="P35" s="151"/>
      <c r="Q35" s="151"/>
      <c r="S35" s="551" t="s">
        <v>425</v>
      </c>
      <c r="T35" s="551"/>
      <c r="U35" s="552"/>
      <c r="V35" s="555">
        <f>IF(TITLE_DATE_PR_CHANGE="",IF(TITLE_DATE_PR="","",TITLE_DATE_PR),TITLE_DATE_PR_CHANGE)</f>
        <v>46212.428518518522</v>
      </c>
      <c r="W35" s="555"/>
      <c r="X35" s="555"/>
      <c r="Y35" s="555"/>
      <c r="Z35" s="555"/>
      <c r="AA35" s="50"/>
      <c r="AB35" s="555">
        <f>IF(TITLE_DATE_PR_CHANGE="",IF(TITLE_DATE_PR="","",TITLE_DATE_PR),TITLE_DATE_PR_CHANGE)</f>
        <v>46212.428518518522</v>
      </c>
      <c r="AC35" s="555"/>
      <c r="AD35" s="555"/>
      <c r="AE35" s="555"/>
      <c r="AF35" s="555"/>
      <c r="AG35" s="555"/>
      <c r="AH35" s="555"/>
      <c r="AI35" s="555"/>
      <c r="AJ35" s="555"/>
      <c r="AK35" s="555"/>
      <c r="AL35" s="555"/>
      <c r="AM35" s="555"/>
      <c r="AN35" s="555"/>
      <c r="AO35" s="555"/>
      <c r="AP35" s="555"/>
      <c r="AQ35" s="555"/>
      <c r="AR35" s="555"/>
      <c r="AS35" s="50"/>
      <c r="AT35" s="50"/>
      <c r="AU35" s="554"/>
      <c r="AV35" s="129"/>
      <c r="AW35" s="129"/>
      <c r="AX35" s="129"/>
      <c r="AY35" s="129"/>
      <c r="AZ35" s="129"/>
      <c r="BA35" s="184">
        <v>0</v>
      </c>
    </row>
    <row r="36" s="184" customFormat="1" ht="18" customHeight="1">
      <c r="A36" s="151"/>
      <c r="B36" s="151"/>
      <c r="C36" s="151"/>
      <c r="D36" s="151"/>
      <c r="E36" s="151"/>
      <c r="F36" s="151"/>
      <c r="G36" s="151"/>
      <c r="H36" s="151"/>
      <c r="I36" s="151"/>
      <c r="J36" s="151"/>
      <c r="K36" s="151"/>
      <c r="L36" s="490"/>
      <c r="M36" s="151"/>
      <c r="N36" s="151"/>
      <c r="O36" s="151"/>
      <c r="P36" s="151"/>
      <c r="Q36" s="151"/>
      <c r="S36" s="551" t="s">
        <v>426</v>
      </c>
      <c r="T36" s="551"/>
      <c r="U36" s="552"/>
      <c r="V36" s="553" t="str">
        <f>IF(TITLE_NUMBER_PR_CHANGE="",IF(TITLE_NUMBER_PR="","",TITLE_NUMBER_PR),TITLE_NUMBER_PR_CHANGE)</f>
        <v>Исх-260/1397</v>
      </c>
      <c r="W36" s="553"/>
      <c r="X36" s="553"/>
      <c r="Y36" s="553"/>
      <c r="Z36" s="553"/>
      <c r="AA36" s="50"/>
      <c r="AB36" s="553" t="str">
        <f>IF(TITLE_NUMBER_PR_CHANGE="",IF(TITLE_NUMBER_PR="","",TITLE_NUMBER_PR),TITLE_NUMBER_PR_CHANGE)</f>
        <v>Исх-260/1397</v>
      </c>
      <c r="AC36" s="553"/>
      <c r="AD36" s="553"/>
      <c r="AE36" s="553"/>
      <c r="AF36" s="553"/>
      <c r="AG36" s="553"/>
      <c r="AH36" s="553"/>
      <c r="AI36" s="553"/>
      <c r="AJ36" s="553"/>
      <c r="AK36" s="553"/>
      <c r="AL36" s="553"/>
      <c r="AM36" s="553"/>
      <c r="AN36" s="553"/>
      <c r="AO36" s="553"/>
      <c r="AP36" s="553"/>
      <c r="AQ36" s="553"/>
      <c r="AR36" s="553"/>
      <c r="AS36" s="50"/>
      <c r="AT36" s="50"/>
      <c r="AU36" s="554"/>
      <c r="AV36" s="129"/>
      <c r="AW36" s="129"/>
      <c r="AX36" s="129"/>
      <c r="AY36" s="129"/>
      <c r="AZ36" s="129"/>
      <c r="BA36" s="184">
        <v>0</v>
      </c>
    </row>
    <row r="37" s="184" customFormat="1" ht="1.05" customHeight="1">
      <c r="A37" s="151"/>
      <c r="B37" s="151"/>
      <c r="C37" s="151"/>
      <c r="D37" s="151"/>
      <c r="E37" s="151"/>
      <c r="F37" s="151"/>
      <c r="G37" s="151"/>
      <c r="H37" s="151"/>
      <c r="I37" s="151"/>
      <c r="J37" s="151"/>
      <c r="K37" s="151"/>
      <c r="L37" s="490"/>
      <c r="M37" s="151"/>
      <c r="N37" s="151"/>
      <c r="O37" s="151"/>
      <c r="P37" s="151"/>
      <c r="Q37" s="151"/>
      <c r="S37" s="50"/>
      <c r="T37" s="50"/>
      <c r="U37" s="140"/>
      <c r="V37" s="50"/>
      <c r="W37" s="50"/>
      <c r="X37" s="50"/>
      <c r="Y37" s="50"/>
      <c r="Z37" s="50"/>
      <c r="AA37" s="57" t="s">
        <v>429</v>
      </c>
      <c r="AB37" s="50"/>
      <c r="AC37" s="50"/>
      <c r="AD37" s="50"/>
      <c r="AE37" s="50"/>
      <c r="AF37" s="50"/>
      <c r="AG37" s="50"/>
      <c r="AH37" s="50"/>
      <c r="AI37" s="50"/>
      <c r="AJ37" s="50"/>
      <c r="AK37" s="50"/>
      <c r="AL37" s="50"/>
      <c r="AM37" s="50"/>
      <c r="AN37" s="50"/>
      <c r="AO37" s="50"/>
      <c r="AP37" s="50"/>
      <c r="AQ37" s="50"/>
      <c r="AR37" s="50"/>
      <c r="AS37" s="57" t="s">
        <v>429</v>
      </c>
      <c r="AV37" s="129"/>
      <c r="AW37" s="129"/>
      <c r="AX37" s="129"/>
      <c r="AY37" s="129"/>
      <c r="AZ37" s="129"/>
      <c r="BA37" s="184">
        <v>1</v>
      </c>
    </row>
    <row r="38" ht="14.65" customHeight="1">
      <c r="Q38" s="668"/>
      <c r="R38" s="548"/>
      <c r="S38" s="549"/>
      <c r="T38" s="91"/>
      <c r="U38" s="556"/>
      <c r="V38" s="557"/>
      <c r="W38" s="557"/>
      <c r="X38" s="557"/>
      <c r="Y38" s="557"/>
      <c r="Z38" s="557"/>
      <c r="AA38" s="557"/>
      <c r="AB38" s="557"/>
      <c r="AC38" s="557"/>
      <c r="AD38" s="557"/>
      <c r="AE38" s="557"/>
      <c r="AF38" s="557"/>
      <c r="AG38" s="557"/>
      <c r="AH38" s="557"/>
      <c r="AI38" s="557"/>
      <c r="AJ38" s="557"/>
      <c r="AK38" s="557"/>
      <c r="AL38" s="557"/>
      <c r="AM38" s="557"/>
      <c r="AN38" s="557"/>
      <c r="AO38" s="557"/>
      <c r="AP38" s="557"/>
      <c r="AQ38" s="557"/>
      <c r="AR38" s="557"/>
      <c r="AS38" s="557"/>
      <c r="BA38" s="50">
        <v>14</v>
      </c>
    </row>
    <row r="39" ht="14.65" customHeight="1">
      <c r="Q39" s="668"/>
      <c r="R39" s="548"/>
      <c r="S39" s="157" t="s">
        <v>305</v>
      </c>
      <c r="T39" s="157"/>
      <c r="U39" s="157"/>
      <c r="V39" s="157"/>
      <c r="W39" s="157"/>
      <c r="X39" s="157"/>
      <c r="Y39" s="157"/>
      <c r="Z39" s="157"/>
      <c r="AA39" s="157"/>
      <c r="AB39" s="320"/>
      <c r="AC39" s="320"/>
      <c r="AD39" s="320"/>
      <c r="AE39" s="320"/>
      <c r="AF39" s="157"/>
      <c r="AG39" s="157"/>
      <c r="AH39" s="157"/>
      <c r="AI39" s="157"/>
      <c r="AJ39" s="157"/>
      <c r="AK39" s="157"/>
      <c r="AL39" s="157"/>
      <c r="AM39" s="157"/>
      <c r="AN39" s="157"/>
      <c r="AO39" s="157"/>
      <c r="AP39" s="157"/>
      <c r="AQ39" s="157"/>
      <c r="AR39" s="157"/>
      <c r="AS39" s="157"/>
      <c r="AT39" s="157"/>
      <c r="AU39" s="157" t="s">
        <v>306</v>
      </c>
      <c r="BA39" s="50">
        <v>14</v>
      </c>
    </row>
    <row r="40" ht="14.65" customHeight="1">
      <c r="Q40" s="668"/>
      <c r="R40" s="548"/>
      <c r="S40" s="493" t="s">
        <v>89</v>
      </c>
      <c r="T40" s="358" t="s">
        <v>474</v>
      </c>
      <c r="U40" s="558"/>
      <c r="V40" s="560"/>
      <c r="W40" s="560"/>
      <c r="X40" s="560"/>
      <c r="Y40" s="560"/>
      <c r="Z40" s="561"/>
      <c r="AA40" s="669" t="s">
        <v>432</v>
      </c>
      <c r="AB40" s="670" t="s">
        <v>475</v>
      </c>
      <c r="AC40" s="593"/>
      <c r="AD40" s="593"/>
      <c r="AE40" s="671"/>
      <c r="AF40" s="593" t="s">
        <v>476</v>
      </c>
      <c r="AG40" s="593"/>
      <c r="AH40" s="593"/>
      <c r="AI40" s="671"/>
      <c r="AJ40" s="670" t="s">
        <v>477</v>
      </c>
      <c r="AK40" s="593"/>
      <c r="AL40" s="593"/>
      <c r="AM40" s="671"/>
      <c r="AN40" s="670" t="s">
        <v>431</v>
      </c>
      <c r="AO40" s="593"/>
      <c r="AP40" s="560"/>
      <c r="AQ40" s="560"/>
      <c r="AR40" s="561"/>
      <c r="AS40" s="562" t="s">
        <v>432</v>
      </c>
      <c r="AT40" s="563" t="s">
        <v>434</v>
      </c>
      <c r="AU40" s="157"/>
      <c r="BA40" s="50">
        <v>14</v>
      </c>
    </row>
    <row r="41" ht="35.649999999999999" customHeight="1">
      <c r="Q41" s="668"/>
      <c r="R41" s="548"/>
      <c r="S41" s="493"/>
      <c r="T41" s="358"/>
      <c r="U41" s="564"/>
      <c r="V41" s="157" t="s">
        <v>478</v>
      </c>
      <c r="W41" s="157"/>
      <c r="X41" s="317" t="s">
        <v>438</v>
      </c>
      <c r="Y41" s="635"/>
      <c r="Z41" s="318"/>
      <c r="AA41" s="672"/>
      <c r="AB41" s="673"/>
      <c r="AC41" s="674"/>
      <c r="AD41" s="674"/>
      <c r="AE41" s="675"/>
      <c r="AF41" s="674"/>
      <c r="AG41" s="674"/>
      <c r="AH41" s="674"/>
      <c r="AI41" s="675"/>
      <c r="AJ41" s="673"/>
      <c r="AK41" s="674"/>
      <c r="AL41" s="674"/>
      <c r="AM41" s="674"/>
      <c r="AN41" s="157" t="s">
        <v>478</v>
      </c>
      <c r="AO41" s="157"/>
      <c r="AP41" s="635" t="s">
        <v>438</v>
      </c>
      <c r="AQ41" s="635"/>
      <c r="AR41" s="318"/>
      <c r="AS41" s="566"/>
      <c r="AT41" s="567"/>
      <c r="AU41" s="157"/>
      <c r="BA41" s="50">
        <v>34</v>
      </c>
    </row>
    <row r="42" ht="14.65" customHeight="1">
      <c r="Q42" s="668"/>
      <c r="R42" s="548"/>
      <c r="S42" s="493"/>
      <c r="T42" s="358"/>
      <c r="U42" s="564"/>
      <c r="V42" s="676" t="str">
        <f>IF($AN$42&lt;&gt;"",$AN$42,"")</f>
        <v/>
      </c>
      <c r="W42" s="676"/>
      <c r="X42" s="323"/>
      <c r="Y42" s="636"/>
      <c r="Z42" s="324"/>
      <c r="AA42" s="672"/>
      <c r="AB42" s="673"/>
      <c r="AC42" s="674"/>
      <c r="AD42" s="674"/>
      <c r="AE42" s="675"/>
      <c r="AF42" s="674"/>
      <c r="AG42" s="674"/>
      <c r="AH42" s="674"/>
      <c r="AI42" s="675"/>
      <c r="AJ42" s="673"/>
      <c r="AK42" s="674"/>
      <c r="AL42" s="674"/>
      <c r="AM42" s="674"/>
      <c r="AN42" s="677"/>
      <c r="AO42" s="677"/>
      <c r="AP42" s="636"/>
      <c r="AQ42" s="636"/>
      <c r="AR42" s="324"/>
      <c r="AS42" s="566"/>
      <c r="AT42" s="567"/>
      <c r="AU42" s="157"/>
      <c r="BA42" s="50">
        <v>14</v>
      </c>
    </row>
    <row r="43" ht="14.65" customHeight="1">
      <c r="A43" s="151"/>
      <c r="B43" s="151" t="s">
        <v>135</v>
      </c>
      <c r="C43" s="151" t="s">
        <v>136</v>
      </c>
      <c r="D43" s="151" t="s">
        <v>137</v>
      </c>
      <c r="E43" s="490" t="s">
        <v>439</v>
      </c>
      <c r="F43" s="490" t="s">
        <v>440</v>
      </c>
      <c r="G43" s="490" t="s">
        <v>441</v>
      </c>
      <c r="H43" s="490" t="s">
        <v>442</v>
      </c>
      <c r="I43" s="490" t="s">
        <v>443</v>
      </c>
      <c r="J43" s="490" t="s">
        <v>444</v>
      </c>
      <c r="K43" s="490" t="s">
        <v>445</v>
      </c>
      <c r="L43" s="490" t="s">
        <v>420</v>
      </c>
      <c r="Q43" s="668"/>
      <c r="R43" s="548"/>
      <c r="S43" s="493"/>
      <c r="T43" s="358"/>
      <c r="U43" s="568"/>
      <c r="V43" s="358" t="s">
        <v>479</v>
      </c>
      <c r="W43" s="358" t="s">
        <v>480</v>
      </c>
      <c r="X43" s="246" t="s">
        <v>448</v>
      </c>
      <c r="Y43" s="424" t="s">
        <v>449</v>
      </c>
      <c r="Z43" s="426"/>
      <c r="AA43" s="678"/>
      <c r="AB43" s="679"/>
      <c r="AC43" s="680"/>
      <c r="AD43" s="680"/>
      <c r="AE43" s="681"/>
      <c r="AF43" s="680"/>
      <c r="AG43" s="680"/>
      <c r="AH43" s="680"/>
      <c r="AI43" s="681"/>
      <c r="AJ43" s="679"/>
      <c r="AK43" s="680"/>
      <c r="AL43" s="680"/>
      <c r="AM43" s="681"/>
      <c r="AN43" s="570" t="s">
        <v>479</v>
      </c>
      <c r="AO43" s="570" t="s">
        <v>480</v>
      </c>
      <c r="AP43" s="246" t="s">
        <v>448</v>
      </c>
      <c r="AQ43" s="424" t="s">
        <v>449</v>
      </c>
      <c r="AR43" s="426"/>
      <c r="AS43" s="570"/>
      <c r="AT43" s="571"/>
      <c r="AU43" s="157"/>
      <c r="BA43" s="50">
        <v>14</v>
      </c>
    </row>
    <row r="44" s="131" customFormat="1" ht="11.25" hidden="1" customHeight="1">
      <c r="A44" s="151"/>
      <c r="B44" s="151"/>
      <c r="C44" s="151"/>
      <c r="D44" s="151"/>
      <c r="E44" s="151"/>
      <c r="F44" s="151"/>
      <c r="G44" s="151"/>
      <c r="H44" s="151"/>
      <c r="I44" s="151"/>
      <c r="J44" s="151"/>
      <c r="K44" s="151"/>
      <c r="L44" s="490"/>
      <c r="M44" s="61"/>
      <c r="N44" s="61"/>
      <c r="O44" s="61"/>
      <c r="P44" s="605"/>
      <c r="Q44" s="574"/>
      <c r="R44" s="574">
        <v>1</v>
      </c>
      <c r="S44" s="575" t="s">
        <v>109</v>
      </c>
      <c r="T44" s="576" t="s">
        <v>110</v>
      </c>
      <c r="U44" s="577" t="str">
        <f ca="1">OFFSET(U44,0,-1)</f>
        <v>2</v>
      </c>
      <c r="V44" s="578">
        <f ca="1">OFFSET(V44,0,-1)+1</f>
        <v>3</v>
      </c>
      <c r="W44" s="578">
        <f ca="1">OFFSET(W44,0,-1)+1</f>
        <v>4</v>
      </c>
      <c r="X44" s="578">
        <f ca="1">OFFSET(X44,0,-1)+1</f>
        <v>5</v>
      </c>
      <c r="Y44" s="578">
        <f ca="1">OFFSET(Y44,0,-1)+1</f>
        <v>6</v>
      </c>
      <c r="Z44" s="578"/>
      <c r="AA44" s="578">
        <f ca="1">OFFSET(AA44,0,-2)+1</f>
        <v>7</v>
      </c>
      <c r="AB44" s="435">
        <f ca="1">OFFSET(AB44,0,-1)+1</f>
        <v>8</v>
      </c>
      <c r="AC44" s="435"/>
      <c r="AD44" s="435"/>
      <c r="AE44" s="435"/>
      <c r="AF44" s="578"/>
      <c r="AG44" s="578"/>
      <c r="AH44" s="578"/>
      <c r="AI44" s="578"/>
      <c r="AJ44" s="578"/>
      <c r="AK44" s="578"/>
      <c r="AL44" s="578"/>
      <c r="AM44" s="578"/>
      <c r="AN44" s="578">
        <f ca="1">OFFSET(AN44,0,-1)+1</f>
        <v>1</v>
      </c>
      <c r="AO44" s="578">
        <f ca="1">OFFSET(AO44,0,-1)+1</f>
        <v>2</v>
      </c>
      <c r="AP44" s="578">
        <f ca="1">OFFSET(AP44,0,-1)+1</f>
        <v>3</v>
      </c>
      <c r="AQ44" s="578">
        <f ca="1">OFFSET(AQ44,0,-1)+1</f>
        <v>4</v>
      </c>
      <c r="AR44" s="578"/>
      <c r="AS44" s="578">
        <f ca="1">OFFSET(AS44,0,-2)+1</f>
        <v>5</v>
      </c>
      <c r="AT44" s="577">
        <f ca="1">OFFSET(AT44,0,-1)</f>
        <v>5</v>
      </c>
      <c r="AU44" s="578">
        <f ca="1">OFFSET(AU44,0,-1)+1</f>
        <v>6</v>
      </c>
      <c r="AV44" s="57"/>
      <c r="AW44" s="57"/>
      <c r="AX44" s="57"/>
      <c r="AY44" s="57"/>
      <c r="AZ44" s="57"/>
      <c r="BA44" s="131">
        <v>0</v>
      </c>
    </row>
    <row r="45" ht="107.25" customHeight="1">
      <c r="A45" s="488" t="s">
        <v>198</v>
      </c>
      <c r="B45" s="488"/>
      <c r="C45" s="488"/>
      <c r="D45" s="488"/>
      <c r="E45" s="489">
        <v>1</v>
      </c>
      <c r="F45" s="488"/>
      <c r="G45" s="488"/>
      <c r="H45" s="488"/>
      <c r="I45" s="488"/>
      <c r="J45" s="488"/>
      <c r="K45" s="488"/>
      <c r="L45" s="490"/>
      <c r="M45" s="491"/>
      <c r="N45" s="491"/>
      <c r="O45" s="491"/>
      <c r="P45" s="61"/>
      <c r="Q45" s="64"/>
      <c r="R45" s="492"/>
      <c r="S45" s="493">
        <f>INDEX(PT_DIFFERENTIATION_NUM_NTAR,MATCH(A45,PT_DIFFERENTIATION_NTAR_ID,0))</f>
        <v>0</v>
      </c>
      <c r="T45" s="494" t="s">
        <v>123</v>
      </c>
      <c r="U45" s="495"/>
      <c r="V45" s="497"/>
      <c r="W45" s="497"/>
      <c r="X45" s="497"/>
      <c r="Y45" s="497"/>
      <c r="Z45" s="497"/>
      <c r="AA45" s="498"/>
      <c r="AB45" s="496" t="str">
        <f>INDEX(PT_DIFFERENTIATION_NTAR,MATCH(A45,PT_DIFFERENTIATION_NTAR_ID,0))</f>
        <v/>
      </c>
      <c r="AC45" s="497"/>
      <c r="AD45" s="497"/>
      <c r="AE45" s="497"/>
      <c r="AF45" s="497"/>
      <c r="AG45" s="497"/>
      <c r="AH45" s="497"/>
      <c r="AI45" s="497"/>
      <c r="AJ45" s="497"/>
      <c r="AK45" s="497"/>
      <c r="AL45" s="497"/>
      <c r="AM45" s="497"/>
      <c r="AN45" s="497"/>
      <c r="AO45" s="497"/>
      <c r="AP45" s="497"/>
      <c r="AQ45" s="497"/>
      <c r="AR45" s="497"/>
      <c r="AS45" s="497"/>
      <c r="AT45" s="498"/>
      <c r="AU45" s="49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 xml:space="preserve">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129"/>
      <c r="AX45" s="129" t="str">
        <f t="shared" si="22"/>
        <v xml:space="preserve">Наименование тарифа</v>
      </c>
      <c r="AY45" s="129"/>
      <c r="AZ45" s="129"/>
      <c r="BA45" s="50">
        <v>102</v>
      </c>
    </row>
    <row r="46" ht="22" customHeight="1">
      <c r="A46" s="488" t="s">
        <v>198</v>
      </c>
      <c r="B46" s="488" t="s">
        <v>199</v>
      </c>
      <c r="C46" s="488"/>
      <c r="D46" s="488"/>
      <c r="E46" s="500"/>
      <c r="F46" s="489">
        <v>1</v>
      </c>
      <c r="G46" s="488"/>
      <c r="H46" s="488"/>
      <c r="I46" s="488"/>
      <c r="J46" s="488"/>
      <c r="K46" s="488"/>
      <c r="L46" s="490"/>
      <c r="M46" s="491"/>
      <c r="N46" s="491"/>
      <c r="O46" s="491"/>
      <c r="P46" s="113"/>
      <c r="Q46" s="638"/>
      <c r="R46" s="502"/>
      <c r="S46" s="493" t="str">
        <f>INDEX(PT_DIFFERENTIATION_NUM_TER,MATCH(B46,PT_DIFFERENTIATION_TER_ID,0))</f>
        <v>.</v>
      </c>
      <c r="T46" s="503" t="s">
        <v>402</v>
      </c>
      <c r="U46" s="495"/>
      <c r="V46" s="497"/>
      <c r="W46" s="497"/>
      <c r="X46" s="497"/>
      <c r="Y46" s="497"/>
      <c r="Z46" s="497"/>
      <c r="AA46" s="498"/>
      <c r="AB46" s="496" t="str">
        <f>INDEX(PT_DIFFERENTIATION_TER,MATCH(B46,PT_DIFFERENTIATION_TER_ID,0))</f>
        <v/>
      </c>
      <c r="AC46" s="497"/>
      <c r="AD46" s="497"/>
      <c r="AE46" s="497"/>
      <c r="AF46" s="497"/>
      <c r="AG46" s="497"/>
      <c r="AH46" s="497"/>
      <c r="AI46" s="497"/>
      <c r="AJ46" s="497"/>
      <c r="AK46" s="497"/>
      <c r="AL46" s="497"/>
      <c r="AM46" s="497"/>
      <c r="AN46" s="497"/>
      <c r="AO46" s="497"/>
      <c r="AP46" s="497"/>
      <c r="AQ46" s="497"/>
      <c r="AR46" s="497"/>
      <c r="AS46" s="497"/>
      <c r="AT46" s="498"/>
      <c r="AU46" s="499" t="s">
        <v>403</v>
      </c>
      <c r="AW46" s="129"/>
      <c r="AX46" s="129" t="str">
        <f t="shared" si="22"/>
        <v xml:space="preserve">Территория действия тарифа</v>
      </c>
      <c r="AY46" s="129"/>
      <c r="AZ46" s="129"/>
      <c r="BA46" s="50">
        <v>21</v>
      </c>
    </row>
    <row r="47" ht="24" customHeight="1">
      <c r="A47" s="488" t="s">
        <v>198</v>
      </c>
      <c r="B47" s="488" t="s">
        <v>199</v>
      </c>
      <c r="C47" s="488" t="s">
        <v>200</v>
      </c>
      <c r="D47" s="488"/>
      <c r="E47" s="500"/>
      <c r="F47" s="500"/>
      <c r="G47" s="489">
        <v>1</v>
      </c>
      <c r="H47" s="488"/>
      <c r="I47" s="488"/>
      <c r="J47" s="488"/>
      <c r="K47" s="488"/>
      <c r="L47" s="490"/>
      <c r="M47" s="491"/>
      <c r="N47" s="491"/>
      <c r="O47" s="491"/>
      <c r="P47" s="135"/>
      <c r="Q47" s="638"/>
      <c r="R47" s="502"/>
      <c r="S47" s="493" t="str">
        <f>INDEX(PT_DIFFERENTIATION_NUM_CS,MATCH(C47,PT_DIFFERENTIATION_CS_ID,0))</f>
        <v>..</v>
      </c>
      <c r="T47" s="505" t="s">
        <v>404</v>
      </c>
      <c r="U47" s="495"/>
      <c r="V47" s="497"/>
      <c r="W47" s="497"/>
      <c r="X47" s="497"/>
      <c r="Y47" s="497"/>
      <c r="Z47" s="497"/>
      <c r="AA47" s="498"/>
      <c r="AB47" s="496" t="str">
        <f>INDEX(PT_DIFFERENTIATION_CS,MATCH(C47,PT_DIFFERENTIATION_CS_ID,0))</f>
        <v/>
      </c>
      <c r="AC47" s="497"/>
      <c r="AD47" s="497"/>
      <c r="AE47" s="497"/>
      <c r="AF47" s="497"/>
      <c r="AG47" s="497"/>
      <c r="AH47" s="497"/>
      <c r="AI47" s="497"/>
      <c r="AJ47" s="497"/>
      <c r="AK47" s="497"/>
      <c r="AL47" s="497"/>
      <c r="AM47" s="497"/>
      <c r="AN47" s="497"/>
      <c r="AO47" s="497"/>
      <c r="AP47" s="497"/>
      <c r="AQ47" s="497"/>
      <c r="AR47" s="497"/>
      <c r="AS47" s="497"/>
      <c r="AT47" s="498"/>
      <c r="AU47" s="499" t="s">
        <v>405</v>
      </c>
      <c r="AW47" s="129"/>
      <c r="AX47" s="129" t="str">
        <f t="shared" si="22"/>
        <v xml:space="preserve">Наименование системы теплоснабжения </v>
      </c>
      <c r="AY47" s="129"/>
      <c r="AZ47" s="129"/>
      <c r="BA47" s="50">
        <v>23</v>
      </c>
    </row>
    <row r="48" ht="21" customHeight="1">
      <c r="A48" s="488" t="s">
        <v>198</v>
      </c>
      <c r="B48" s="488" t="s">
        <v>199</v>
      </c>
      <c r="C48" s="488" t="s">
        <v>200</v>
      </c>
      <c r="D48" s="488" t="s">
        <v>201</v>
      </c>
      <c r="E48" s="500"/>
      <c r="F48" s="500"/>
      <c r="G48" s="500"/>
      <c r="H48" s="489">
        <v>1</v>
      </c>
      <c r="I48" s="488"/>
      <c r="J48" s="488"/>
      <c r="K48" s="488"/>
      <c r="L48" s="490"/>
      <c r="M48" s="491"/>
      <c r="N48" s="491"/>
      <c r="O48" s="491"/>
      <c r="P48" s="135"/>
      <c r="Q48" s="638"/>
      <c r="R48" s="502"/>
      <c r="S48" s="493" t="str">
        <f>INDEX(PT_DIFFERENTIATION_NUM_IST_TE,MATCH(D48,PT_DIFFERENTIATION_IST_TE_ID,0))</f>
        <v>...</v>
      </c>
      <c r="T48" s="506" t="s">
        <v>406</v>
      </c>
      <c r="U48" s="495"/>
      <c r="V48" s="497"/>
      <c r="W48" s="497"/>
      <c r="X48" s="497"/>
      <c r="Y48" s="497"/>
      <c r="Z48" s="497"/>
      <c r="AA48" s="498"/>
      <c r="AB48" s="496" t="str">
        <f>INDEX(PT_DIFFERENTIATION_IST_TE,MATCH(D48,PT_DIFFERENTIATION_IST_TE_ID,0))</f>
        <v/>
      </c>
      <c r="AC48" s="497"/>
      <c r="AD48" s="497"/>
      <c r="AE48" s="497"/>
      <c r="AF48" s="497"/>
      <c r="AG48" s="497"/>
      <c r="AH48" s="497"/>
      <c r="AI48" s="497"/>
      <c r="AJ48" s="497"/>
      <c r="AK48" s="497"/>
      <c r="AL48" s="497"/>
      <c r="AM48" s="497"/>
      <c r="AN48" s="497"/>
      <c r="AO48" s="497"/>
      <c r="AP48" s="497"/>
      <c r="AQ48" s="497"/>
      <c r="AR48" s="497"/>
      <c r="AS48" s="497"/>
      <c r="AT48" s="498"/>
      <c r="AU48" s="499" t="s">
        <v>407</v>
      </c>
      <c r="AW48" s="129"/>
      <c r="AX48" s="129" t="str">
        <f t="shared" si="22"/>
        <v xml:space="preserve">Источник тепловой энергии  </v>
      </c>
      <c r="AY48" s="129"/>
      <c r="AZ48" s="129"/>
      <c r="BA48" s="50">
        <v>20</v>
      </c>
    </row>
    <row r="49" s="57" customFormat="1" ht="1.05" customHeight="1">
      <c r="A49" s="133" t="s">
        <v>198</v>
      </c>
      <c r="B49" s="133" t="s">
        <v>199</v>
      </c>
      <c r="C49" s="133" t="s">
        <v>200</v>
      </c>
      <c r="D49" s="133" t="s">
        <v>201</v>
      </c>
      <c r="E49" s="500"/>
      <c r="F49" s="500"/>
      <c r="G49" s="500"/>
      <c r="H49" s="500"/>
      <c r="I49" s="507" t="str">
        <f>S48&amp;".1"</f>
        <v>....1</v>
      </c>
      <c r="J49" s="133"/>
      <c r="K49" s="133"/>
      <c r="L49" s="212" t="s">
        <v>408</v>
      </c>
      <c r="M49" s="605"/>
      <c r="N49" s="605"/>
      <c r="O49" s="605"/>
      <c r="P49" s="132">
        <v>1</v>
      </c>
      <c r="Q49" s="132"/>
      <c r="R49" s="508"/>
      <c r="S49" s="362"/>
      <c r="T49" s="595"/>
      <c r="U49" s="596"/>
      <c r="V49" s="598"/>
      <c r="W49" s="598"/>
      <c r="X49" s="598"/>
      <c r="Y49" s="598"/>
      <c r="Z49" s="598"/>
      <c r="AA49" s="599"/>
      <c r="AB49" s="597"/>
      <c r="AC49" s="598"/>
      <c r="AD49" s="598"/>
      <c r="AE49" s="598"/>
      <c r="AF49" s="598"/>
      <c r="AG49" s="598"/>
      <c r="AH49" s="598"/>
      <c r="AI49" s="598"/>
      <c r="AJ49" s="598"/>
      <c r="AK49" s="598"/>
      <c r="AL49" s="598"/>
      <c r="AM49" s="598"/>
      <c r="AN49" s="598"/>
      <c r="AO49" s="598"/>
      <c r="AP49" s="598"/>
      <c r="AQ49" s="598"/>
      <c r="AR49" s="598"/>
      <c r="AS49" s="598"/>
      <c r="AT49" s="599"/>
      <c r="AU49" s="600"/>
      <c r="AW49" s="129"/>
      <c r="AX49" s="129" t="str">
        <f t="shared" si="22"/>
        <v/>
      </c>
      <c r="AY49" s="129"/>
      <c r="AZ49" s="129"/>
      <c r="BA49" s="57">
        <v>1</v>
      </c>
    </row>
    <row r="50" s="57" customFormat="1" ht="1.05" customHeight="1">
      <c r="A50" s="133" t="s">
        <v>198</v>
      </c>
      <c r="B50" s="133" t="s">
        <v>199</v>
      </c>
      <c r="C50" s="133" t="s">
        <v>200</v>
      </c>
      <c r="D50" s="133" t="s">
        <v>201</v>
      </c>
      <c r="E50" s="500"/>
      <c r="F50" s="500"/>
      <c r="G50" s="500"/>
      <c r="H50" s="500"/>
      <c r="I50" s="512"/>
      <c r="J50" s="507" t="str">
        <f>S48&amp;".1"</f>
        <v>....1</v>
      </c>
      <c r="K50" s="133"/>
      <c r="L50" s="212"/>
      <c r="M50" s="605"/>
      <c r="N50" s="605"/>
      <c r="O50" s="605"/>
      <c r="P50" s="132"/>
      <c r="Q50" s="132">
        <v>1</v>
      </c>
      <c r="R50" s="513"/>
      <c r="S50" s="362"/>
      <c r="T50" s="639"/>
      <c r="U50" s="596"/>
      <c r="V50" s="598"/>
      <c r="W50" s="598"/>
      <c r="X50" s="598"/>
      <c r="Y50" s="598"/>
      <c r="Z50" s="598"/>
      <c r="AA50" s="599"/>
      <c r="AB50" s="597"/>
      <c r="AC50" s="598"/>
      <c r="AD50" s="598"/>
      <c r="AE50" s="598"/>
      <c r="AF50" s="598"/>
      <c r="AG50" s="598"/>
      <c r="AH50" s="598"/>
      <c r="AI50" s="598"/>
      <c r="AJ50" s="598"/>
      <c r="AK50" s="598"/>
      <c r="AL50" s="598"/>
      <c r="AM50" s="598"/>
      <c r="AN50" s="598"/>
      <c r="AO50" s="598"/>
      <c r="AP50" s="598"/>
      <c r="AQ50" s="598"/>
      <c r="AR50" s="598"/>
      <c r="AS50" s="598"/>
      <c r="AT50" s="599"/>
      <c r="AU50" s="600"/>
      <c r="AW50" s="129"/>
      <c r="AX50" s="129" t="str">
        <f t="shared" si="22"/>
        <v/>
      </c>
      <c r="AY50" s="129"/>
      <c r="AZ50" s="129"/>
      <c r="BA50" s="57">
        <v>1</v>
      </c>
    </row>
    <row r="51" ht="22" customHeight="1">
      <c r="A51" s="488" t="s">
        <v>198</v>
      </c>
      <c r="B51" s="488" t="s">
        <v>199</v>
      </c>
      <c r="C51" s="488" t="s">
        <v>200</v>
      </c>
      <c r="D51" s="488" t="s">
        <v>201</v>
      </c>
      <c r="E51" s="500"/>
      <c r="F51" s="500"/>
      <c r="G51" s="500"/>
      <c r="H51" s="500"/>
      <c r="I51" s="512"/>
      <c r="J51" s="512"/>
      <c r="K51" s="507" t="str">
        <f>S48&amp;".1"</f>
        <v>....1</v>
      </c>
      <c r="L51" s="490"/>
      <c r="P51" s="132"/>
      <c r="Q51" s="132"/>
      <c r="R51" s="513">
        <v>1</v>
      </c>
      <c r="S51" s="607" t="str">
        <f>$K51</f>
        <v>....1</v>
      </c>
      <c r="T51" s="641"/>
      <c r="U51" s="495"/>
      <c r="V51" s="516"/>
      <c r="W51" s="518"/>
      <c r="X51" s="519"/>
      <c r="Y51" s="224" t="s">
        <v>67</v>
      </c>
      <c r="Z51" s="519"/>
      <c r="AA51" s="224" t="s">
        <v>67</v>
      </c>
      <c r="AB51" s="224" t="s">
        <v>19</v>
      </c>
      <c r="AC51" s="642"/>
      <c r="AD51" s="356">
        <v>1</v>
      </c>
      <c r="AE51" s="100" t="s">
        <v>28</v>
      </c>
      <c r="AF51" s="224" t="s">
        <v>19</v>
      </c>
      <c r="AG51" s="642"/>
      <c r="AH51" s="356">
        <v>1</v>
      </c>
      <c r="AI51" s="100" t="s">
        <v>28</v>
      </c>
      <c r="AJ51" s="224" t="s">
        <v>19</v>
      </c>
      <c r="AK51" s="643"/>
      <c r="AL51" s="356">
        <v>1</v>
      </c>
      <c r="AM51" s="682"/>
      <c r="AN51" s="516"/>
      <c r="AO51" s="518"/>
      <c r="AP51" s="519"/>
      <c r="AQ51" s="224" t="s">
        <v>67</v>
      </c>
      <c r="AR51" s="519"/>
      <c r="AS51" s="224" t="s">
        <v>67</v>
      </c>
      <c r="AT51" s="580"/>
      <c r="AU51" s="520" t="s">
        <v>481</v>
      </c>
      <c r="AV51" s="57" t="e">
        <f>STRCHECKDATE(V54:AT54)</f>
        <v>#NAME?</v>
      </c>
      <c r="AW51" s="129"/>
      <c r="AX51" s="129" t="str">
        <f t="shared" si="22"/>
        <v/>
      </c>
      <c r="AY51" s="129"/>
      <c r="AZ51" s="129"/>
      <c r="BA51" s="50">
        <v>21</v>
      </c>
    </row>
    <row r="52" ht="11.5" customHeight="1">
      <c r="A52" s="488" t="s">
        <v>198</v>
      </c>
      <c r="B52" s="488"/>
      <c r="C52" s="488"/>
      <c r="D52" s="488"/>
      <c r="E52" s="500"/>
      <c r="F52" s="500"/>
      <c r="G52" s="500"/>
      <c r="H52" s="500"/>
      <c r="I52" s="512"/>
      <c r="J52" s="512"/>
      <c r="K52" s="507"/>
      <c r="L52" s="490"/>
      <c r="P52" s="132"/>
      <c r="Q52" s="132"/>
      <c r="R52" s="513"/>
      <c r="S52" s="644"/>
      <c r="T52" s="645"/>
      <c r="U52" s="495"/>
      <c r="V52" s="631"/>
      <c r="W52" s="648"/>
      <c r="X52" s="631"/>
      <c r="Y52" s="631"/>
      <c r="Z52" s="631"/>
      <c r="AA52" s="631"/>
      <c r="AB52" s="224"/>
      <c r="AC52" s="642"/>
      <c r="AD52" s="356"/>
      <c r="AE52" s="100"/>
      <c r="AF52" s="224"/>
      <c r="AG52" s="642"/>
      <c r="AH52" s="356"/>
      <c r="AI52" s="100"/>
      <c r="AJ52" s="224"/>
      <c r="AK52" s="647"/>
      <c r="AL52" s="177"/>
      <c r="AM52" s="172" t="s">
        <v>466</v>
      </c>
      <c r="AN52" s="631"/>
      <c r="AO52" s="648"/>
      <c r="AP52" s="631"/>
      <c r="AQ52" s="631"/>
      <c r="AR52" s="631"/>
      <c r="AS52" s="631"/>
      <c r="AT52" s="649"/>
      <c r="AU52" s="523"/>
      <c r="AW52" s="129"/>
      <c r="AX52" s="129"/>
      <c r="AY52" s="129"/>
      <c r="AZ52" s="129"/>
      <c r="BA52" s="50">
        <v>11</v>
      </c>
    </row>
    <row r="53" ht="11.5" customHeight="1">
      <c r="A53" s="488" t="s">
        <v>198</v>
      </c>
      <c r="B53" s="488"/>
      <c r="C53" s="488"/>
      <c r="D53" s="488"/>
      <c r="E53" s="500"/>
      <c r="F53" s="500"/>
      <c r="G53" s="500"/>
      <c r="H53" s="500"/>
      <c r="I53" s="512"/>
      <c r="J53" s="512"/>
      <c r="K53" s="507"/>
      <c r="L53" s="490"/>
      <c r="P53" s="132"/>
      <c r="Q53" s="132"/>
      <c r="R53" s="513"/>
      <c r="S53" s="644"/>
      <c r="T53" s="645"/>
      <c r="U53" s="495"/>
      <c r="V53" s="631"/>
      <c r="W53" s="648"/>
      <c r="X53" s="631"/>
      <c r="Y53" s="631"/>
      <c r="Z53" s="631"/>
      <c r="AA53" s="631"/>
      <c r="AB53" s="224"/>
      <c r="AC53" s="642"/>
      <c r="AD53" s="356"/>
      <c r="AE53" s="100"/>
      <c r="AF53" s="224"/>
      <c r="AG53" s="650"/>
      <c r="AH53" s="172"/>
      <c r="AI53" s="172" t="s">
        <v>467</v>
      </c>
      <c r="AJ53" s="631"/>
      <c r="AK53" s="631"/>
      <c r="AL53" s="631"/>
      <c r="AM53" s="631"/>
      <c r="AN53" s="631"/>
      <c r="AO53" s="648"/>
      <c r="AP53" s="631"/>
      <c r="AQ53" s="631"/>
      <c r="AR53" s="631"/>
      <c r="AS53" s="631"/>
      <c r="AT53" s="649"/>
      <c r="AU53" s="523"/>
      <c r="AW53" s="129"/>
      <c r="AX53" s="129"/>
      <c r="AY53" s="129"/>
      <c r="AZ53" s="129"/>
      <c r="BA53" s="50">
        <v>11</v>
      </c>
    </row>
    <row r="54" ht="11.5" customHeight="1">
      <c r="A54" s="488" t="s">
        <v>198</v>
      </c>
      <c r="B54" s="488" t="s">
        <v>199</v>
      </c>
      <c r="C54" s="488" t="s">
        <v>200</v>
      </c>
      <c r="D54" s="488" t="s">
        <v>201</v>
      </c>
      <c r="E54" s="500"/>
      <c r="F54" s="500"/>
      <c r="G54" s="500"/>
      <c r="H54" s="500"/>
      <c r="I54" s="512"/>
      <c r="J54" s="512"/>
      <c r="K54" s="507"/>
      <c r="L54" s="490"/>
      <c r="P54" s="132"/>
      <c r="Q54" s="132"/>
      <c r="R54" s="513"/>
      <c r="S54" s="617"/>
      <c r="T54" s="651"/>
      <c r="U54" s="495"/>
      <c r="V54" s="631"/>
      <c r="W54" s="632" t="str">
        <f>X51&amp;"-"&amp;Z51</f>
        <v>-</v>
      </c>
      <c r="X54" s="631"/>
      <c r="Y54" s="631"/>
      <c r="Z54" s="631"/>
      <c r="AA54" s="631"/>
      <c r="AB54" s="224"/>
      <c r="AC54" s="653"/>
      <c r="AD54" s="654"/>
      <c r="AE54" s="172" t="s">
        <v>468</v>
      </c>
      <c r="AF54" s="631"/>
      <c r="AG54" s="631"/>
      <c r="AH54" s="631"/>
      <c r="AI54" s="631"/>
      <c r="AJ54" s="631"/>
      <c r="AK54" s="631"/>
      <c r="AL54" s="631"/>
      <c r="AM54" s="631"/>
      <c r="AN54" s="631"/>
      <c r="AO54" s="632" t="str">
        <f>AP51&amp;"-"&amp;AR51</f>
        <v>-</v>
      </c>
      <c r="AP54" s="631"/>
      <c r="AQ54" s="631"/>
      <c r="AR54" s="631"/>
      <c r="AS54" s="631"/>
      <c r="AT54" s="582"/>
      <c r="AU54" s="523"/>
      <c r="AW54" s="129"/>
      <c r="AX54" s="129" t="str">
        <f t="shared" si="22"/>
        <v/>
      </c>
      <c r="AY54" s="129"/>
      <c r="AZ54" s="129"/>
      <c r="BA54" s="50">
        <v>11</v>
      </c>
    </row>
    <row r="55" ht="11.5" customHeight="1">
      <c r="A55" s="488" t="s">
        <v>198</v>
      </c>
      <c r="B55" s="488" t="s">
        <v>199</v>
      </c>
      <c r="C55" s="488" t="s">
        <v>200</v>
      </c>
      <c r="D55" s="488" t="s">
        <v>201</v>
      </c>
      <c r="E55" s="500"/>
      <c r="F55" s="500"/>
      <c r="G55" s="500"/>
      <c r="H55" s="500"/>
      <c r="I55" s="512"/>
      <c r="J55" s="507"/>
      <c r="K55" s="488"/>
      <c r="L55" s="490"/>
      <c r="P55" s="132"/>
      <c r="Q55" s="132"/>
      <c r="R55" s="508"/>
      <c r="S55" s="524"/>
      <c r="T55" s="528" t="s">
        <v>469</v>
      </c>
      <c r="U55" s="214"/>
      <c r="V55" s="214"/>
      <c r="W55" s="214"/>
      <c r="X55" s="214"/>
      <c r="Y55" s="214"/>
      <c r="Z55" s="214"/>
      <c r="AA55" s="526"/>
      <c r="AB55" s="683"/>
      <c r="AC55" s="214"/>
      <c r="AD55" s="214"/>
      <c r="AE55" s="214"/>
      <c r="AF55" s="214"/>
      <c r="AG55" s="214"/>
      <c r="AH55" s="214"/>
      <c r="AI55" s="214"/>
      <c r="AJ55" s="214"/>
      <c r="AK55" s="214"/>
      <c r="AL55" s="214"/>
      <c r="AM55" s="214"/>
      <c r="AN55" s="214"/>
      <c r="AO55" s="214"/>
      <c r="AP55" s="214"/>
      <c r="AQ55" s="214"/>
      <c r="AR55" s="214"/>
      <c r="AS55" s="214"/>
      <c r="AT55" s="526"/>
      <c r="AU55" s="527"/>
      <c r="AW55" s="129"/>
      <c r="AX55" s="129" t="str">
        <f t="shared" si="22"/>
        <v xml:space="preserve">Добавить строку</v>
      </c>
      <c r="AY55" s="129"/>
      <c r="AZ55" s="129"/>
      <c r="BA55" s="50">
        <v>11</v>
      </c>
    </row>
    <row r="56" s="57" customFormat="1" ht="1.05" customHeight="1">
      <c r="A56" s="133" t="s">
        <v>198</v>
      </c>
      <c r="B56" s="133" t="s">
        <v>199</v>
      </c>
      <c r="C56" s="133" t="s">
        <v>200</v>
      </c>
      <c r="D56" s="133" t="s">
        <v>201</v>
      </c>
      <c r="E56" s="500"/>
      <c r="F56" s="500"/>
      <c r="G56" s="500"/>
      <c r="H56" s="500"/>
      <c r="I56" s="507"/>
      <c r="J56" s="133"/>
      <c r="K56" s="133"/>
      <c r="L56" s="212"/>
      <c r="M56" s="605"/>
      <c r="N56" s="605"/>
      <c r="O56" s="605"/>
      <c r="P56" s="132"/>
      <c r="Q56" s="132"/>
      <c r="R56" s="508"/>
      <c r="S56" s="601"/>
      <c r="T56" s="602" t="s">
        <v>417</v>
      </c>
      <c r="U56" s="603"/>
      <c r="V56" s="603"/>
      <c r="W56" s="603"/>
      <c r="X56" s="603"/>
      <c r="Y56" s="603"/>
      <c r="Z56" s="603"/>
      <c r="AA56" s="603"/>
      <c r="AB56" s="603"/>
      <c r="AC56" s="603"/>
      <c r="AD56" s="603"/>
      <c r="AE56" s="603"/>
      <c r="AF56" s="603"/>
      <c r="AG56" s="603"/>
      <c r="AH56" s="603"/>
      <c r="AI56" s="603"/>
      <c r="AJ56" s="603"/>
      <c r="AK56" s="603"/>
      <c r="AL56" s="603"/>
      <c r="AM56" s="603"/>
      <c r="AN56" s="603"/>
      <c r="AO56" s="603"/>
      <c r="AP56" s="603"/>
      <c r="AQ56" s="603"/>
      <c r="AR56" s="603"/>
      <c r="AS56" s="603"/>
      <c r="AT56" s="603"/>
      <c r="AU56" s="604"/>
      <c r="AW56" s="129"/>
      <c r="AX56" s="129" t="str">
        <f t="shared" si="22"/>
        <v xml:space="preserve">Добавить группу потребителей</v>
      </c>
      <c r="AY56" s="129"/>
      <c r="AZ56" s="129"/>
      <c r="BA56" s="57">
        <v>1</v>
      </c>
    </row>
    <row r="57" s="131" customFormat="1" ht="1.05" customHeight="1">
      <c r="A57" s="133" t="s">
        <v>198</v>
      </c>
      <c r="B57" s="133" t="s">
        <v>199</v>
      </c>
      <c r="C57" s="133" t="s">
        <v>200</v>
      </c>
      <c r="D57" s="133" t="s">
        <v>201</v>
      </c>
      <c r="E57" s="500"/>
      <c r="F57" s="500"/>
      <c r="G57" s="500"/>
      <c r="H57" s="489"/>
      <c r="I57" s="133"/>
      <c r="J57" s="133"/>
      <c r="K57" s="133"/>
      <c r="L57" s="212"/>
      <c r="M57" s="473"/>
      <c r="N57" s="473"/>
      <c r="O57" s="57"/>
      <c r="P57" s="167"/>
      <c r="Q57" s="533"/>
      <c r="R57" s="684"/>
      <c r="S57" s="601"/>
      <c r="T57" s="602"/>
      <c r="U57" s="603"/>
      <c r="V57" s="603"/>
      <c r="W57" s="603"/>
      <c r="X57" s="603"/>
      <c r="Y57" s="603"/>
      <c r="Z57" s="603"/>
      <c r="AA57" s="603"/>
      <c r="AB57" s="603"/>
      <c r="AC57" s="603"/>
      <c r="AD57" s="603"/>
      <c r="AE57" s="603"/>
      <c r="AF57" s="603"/>
      <c r="AG57" s="603"/>
      <c r="AH57" s="603"/>
      <c r="AI57" s="603"/>
      <c r="AJ57" s="603"/>
      <c r="AK57" s="603"/>
      <c r="AL57" s="603"/>
      <c r="AM57" s="603"/>
      <c r="AN57" s="603"/>
      <c r="AO57" s="603"/>
      <c r="AP57" s="603"/>
      <c r="AQ57" s="603"/>
      <c r="AR57" s="603"/>
      <c r="AS57" s="603"/>
      <c r="AT57" s="603"/>
      <c r="AU57" s="604"/>
      <c r="AV57" s="57"/>
      <c r="AW57" s="129"/>
      <c r="AX57" s="129" t="str">
        <f t="shared" si="22"/>
        <v/>
      </c>
      <c r="AY57" s="129"/>
      <c r="AZ57" s="129"/>
      <c r="BA57" s="131">
        <v>1</v>
      </c>
    </row>
    <row r="58" s="57" customFormat="1" ht="1.05" customHeight="1">
      <c r="A58" s="133" t="s">
        <v>198</v>
      </c>
      <c r="B58" s="133" t="s">
        <v>199</v>
      </c>
      <c r="C58" s="133" t="s">
        <v>200</v>
      </c>
      <c r="D58" s="133"/>
      <c r="E58" s="500"/>
      <c r="F58" s="500"/>
      <c r="G58" s="489"/>
      <c r="H58" s="133"/>
      <c r="I58" s="133"/>
      <c r="J58" s="133"/>
      <c r="K58" s="133"/>
      <c r="L58" s="212"/>
      <c r="M58" s="473"/>
      <c r="N58" s="473"/>
      <c r="P58" s="167"/>
      <c r="Q58" s="533"/>
      <c r="R58" s="167"/>
      <c r="S58" s="538"/>
      <c r="T58" s="541" t="s">
        <v>211</v>
      </c>
      <c r="U58" s="540"/>
      <c r="V58" s="540"/>
      <c r="W58" s="540"/>
      <c r="X58" s="540"/>
      <c r="Y58" s="540"/>
      <c r="Z58" s="540"/>
      <c r="AA58" s="540"/>
      <c r="AB58" s="540"/>
      <c r="AC58" s="540"/>
      <c r="AD58" s="540"/>
      <c r="AE58" s="540"/>
      <c r="AF58" s="540"/>
      <c r="AG58" s="540"/>
      <c r="AH58" s="540"/>
      <c r="AI58" s="540"/>
      <c r="AJ58" s="540"/>
      <c r="AK58" s="540"/>
      <c r="AL58" s="540"/>
      <c r="AM58" s="540"/>
      <c r="AN58" s="540"/>
      <c r="AO58" s="540"/>
      <c r="AP58" s="540"/>
      <c r="AQ58" s="540"/>
      <c r="AR58" s="540"/>
      <c r="AS58" s="540"/>
      <c r="AT58" s="540"/>
      <c r="AU58" s="540"/>
      <c r="AW58" s="129"/>
      <c r="AX58" s="129" t="str">
        <f t="shared" si="22"/>
        <v xml:space="preserve">Добавить источник для дифференциации</v>
      </c>
      <c r="AY58" s="129"/>
      <c r="AZ58" s="129"/>
      <c r="BA58" s="57">
        <v>1</v>
      </c>
    </row>
    <row r="59" s="57" customFormat="1" ht="1.05" customHeight="1">
      <c r="A59" s="133" t="s">
        <v>198</v>
      </c>
      <c r="B59" s="133" t="s">
        <v>199</v>
      </c>
      <c r="C59" s="133"/>
      <c r="D59" s="133"/>
      <c r="E59" s="500"/>
      <c r="F59" s="489"/>
      <c r="G59" s="133"/>
      <c r="H59" s="133"/>
      <c r="I59" s="133"/>
      <c r="J59" s="133"/>
      <c r="K59" s="133"/>
      <c r="L59" s="212"/>
      <c r="M59" s="537"/>
      <c r="N59" s="537"/>
      <c r="P59" s="167"/>
      <c r="Q59" s="533"/>
      <c r="R59" s="167"/>
      <c r="S59" s="538"/>
      <c r="T59" s="541" t="s">
        <v>212</v>
      </c>
      <c r="U59" s="540"/>
      <c r="V59" s="540"/>
      <c r="W59" s="540"/>
      <c r="X59" s="540"/>
      <c r="Y59" s="540"/>
      <c r="Z59" s="540"/>
      <c r="AA59" s="540"/>
      <c r="AB59" s="540"/>
      <c r="AC59" s="540"/>
      <c r="AD59" s="540"/>
      <c r="AE59" s="540"/>
      <c r="AF59" s="540"/>
      <c r="AG59" s="540"/>
      <c r="AH59" s="540"/>
      <c r="AI59" s="540"/>
      <c r="AJ59" s="540"/>
      <c r="AK59" s="540"/>
      <c r="AL59" s="540"/>
      <c r="AM59" s="540"/>
      <c r="AN59" s="540"/>
      <c r="AO59" s="540"/>
      <c r="AP59" s="540"/>
      <c r="AQ59" s="540"/>
      <c r="AR59" s="540"/>
      <c r="AS59" s="540"/>
      <c r="AT59" s="540"/>
      <c r="AU59" s="540"/>
      <c r="AW59" s="129"/>
      <c r="AX59" s="129" t="str">
        <f t="shared" si="22"/>
        <v xml:space="preserve">Добавить централизованную систему для дифференциации</v>
      </c>
      <c r="AY59" s="129"/>
      <c r="AZ59" s="129"/>
      <c r="BA59" s="57">
        <v>1</v>
      </c>
    </row>
    <row r="60" s="57" customFormat="1" ht="1.05" customHeight="1">
      <c r="A60" s="133" t="s">
        <v>198</v>
      </c>
      <c r="B60" s="133"/>
      <c r="C60" s="133"/>
      <c r="D60" s="133"/>
      <c r="E60" s="500"/>
      <c r="F60" s="133"/>
      <c r="G60" s="133"/>
      <c r="H60" s="133"/>
      <c r="I60" s="133"/>
      <c r="J60" s="133"/>
      <c r="K60" s="133"/>
      <c r="L60" s="212"/>
      <c r="M60" s="537"/>
      <c r="N60" s="537"/>
      <c r="O60" s="57"/>
      <c r="P60" s="167"/>
      <c r="Q60" s="533"/>
      <c r="R60" s="167"/>
      <c r="S60" s="538"/>
      <c r="T60" s="541" t="s">
        <v>213</v>
      </c>
      <c r="U60" s="540"/>
      <c r="V60" s="540"/>
      <c r="W60" s="540"/>
      <c r="X60" s="540"/>
      <c r="Y60" s="540"/>
      <c r="Z60" s="540"/>
      <c r="AA60" s="540"/>
      <c r="AB60" s="540"/>
      <c r="AC60" s="540"/>
      <c r="AD60" s="540"/>
      <c r="AE60" s="540"/>
      <c r="AF60" s="540"/>
      <c r="AG60" s="540"/>
      <c r="AH60" s="540"/>
      <c r="AI60" s="540"/>
      <c r="AJ60" s="540"/>
      <c r="AK60" s="540"/>
      <c r="AL60" s="540"/>
      <c r="AM60" s="540"/>
      <c r="AN60" s="540"/>
      <c r="AO60" s="540"/>
      <c r="AP60" s="540"/>
      <c r="AQ60" s="540"/>
      <c r="AR60" s="540"/>
      <c r="AS60" s="540"/>
      <c r="AT60" s="540"/>
      <c r="AU60" s="540"/>
      <c r="AW60" s="129"/>
      <c r="AX60" s="129" t="str">
        <f t="shared" si="22"/>
        <v xml:space="preserve">Добавить территорию для дифференциации</v>
      </c>
      <c r="AY60" s="129"/>
      <c r="AZ60" s="129"/>
      <c r="BA60" s="57">
        <v>1</v>
      </c>
    </row>
    <row r="61" s="57" customFormat="1" ht="1.05" customHeight="1">
      <c r="A61" s="133" t="s">
        <v>198</v>
      </c>
      <c r="B61" s="133"/>
      <c r="C61" s="133"/>
      <c r="D61" s="133"/>
      <c r="E61" s="489"/>
      <c r="F61" s="133"/>
      <c r="G61" s="133"/>
      <c r="H61" s="133"/>
      <c r="I61" s="133"/>
      <c r="J61" s="133"/>
      <c r="K61" s="133"/>
      <c r="L61" s="212"/>
      <c r="M61" s="537"/>
      <c r="N61" s="537"/>
      <c r="O61" s="57"/>
      <c r="P61" s="167"/>
      <c r="Q61" s="533"/>
      <c r="R61" s="167"/>
      <c r="S61" s="538"/>
      <c r="T61" s="541" t="s">
        <v>213</v>
      </c>
      <c r="U61" s="540"/>
      <c r="V61" s="540"/>
      <c r="W61" s="540"/>
      <c r="X61" s="540"/>
      <c r="Y61" s="540"/>
      <c r="Z61" s="540"/>
      <c r="AA61" s="540"/>
      <c r="AB61" s="540"/>
      <c r="AC61" s="540"/>
      <c r="AD61" s="540"/>
      <c r="AE61" s="540"/>
      <c r="AF61" s="540"/>
      <c r="AG61" s="540"/>
      <c r="AH61" s="540"/>
      <c r="AI61" s="540"/>
      <c r="AJ61" s="540"/>
      <c r="AK61" s="540"/>
      <c r="AL61" s="540"/>
      <c r="AM61" s="540"/>
      <c r="AN61" s="540"/>
      <c r="AO61" s="540"/>
      <c r="AP61" s="540"/>
      <c r="AQ61" s="540"/>
      <c r="AR61" s="540"/>
      <c r="AS61" s="540"/>
      <c r="AT61" s="540"/>
      <c r="AU61" s="540"/>
      <c r="AW61" s="129"/>
      <c r="AX61" s="129" t="str">
        <f t="shared" si="22"/>
        <v xml:space="preserve">Добавить территорию для дифференциации</v>
      </c>
      <c r="AY61" s="129"/>
      <c r="AZ61" s="129"/>
      <c r="BA61" s="57">
        <v>1</v>
      </c>
    </row>
    <row r="62" s="57" customFormat="1" ht="1.05" customHeight="1">
      <c r="A62" s="133"/>
      <c r="B62" s="133"/>
      <c r="C62" s="133"/>
      <c r="D62" s="133"/>
      <c r="E62" s="133"/>
      <c r="F62" s="133"/>
      <c r="G62" s="133"/>
      <c r="H62" s="133"/>
      <c r="I62" s="133"/>
      <c r="J62" s="133"/>
      <c r="K62" s="133"/>
      <c r="L62" s="212"/>
      <c r="M62" s="537"/>
      <c r="N62" s="537"/>
      <c r="P62" s="167"/>
      <c r="Q62" s="533"/>
      <c r="R62" s="167"/>
      <c r="S62" s="538"/>
      <c r="T62" s="541" t="s">
        <v>214</v>
      </c>
      <c r="U62" s="540"/>
      <c r="V62" s="540"/>
      <c r="W62" s="540"/>
      <c r="X62" s="540"/>
      <c r="Y62" s="540"/>
      <c r="Z62" s="540"/>
      <c r="AA62" s="540"/>
      <c r="AB62" s="540"/>
      <c r="AC62" s="540"/>
      <c r="AD62" s="540"/>
      <c r="AE62" s="540"/>
      <c r="AF62" s="540"/>
      <c r="AG62" s="540"/>
      <c r="AH62" s="540"/>
      <c r="AI62" s="540"/>
      <c r="AJ62" s="540"/>
      <c r="AK62" s="540"/>
      <c r="AL62" s="540"/>
      <c r="AM62" s="540"/>
      <c r="AN62" s="540"/>
      <c r="AO62" s="540"/>
      <c r="AP62" s="540"/>
      <c r="AQ62" s="540"/>
      <c r="AR62" s="540"/>
      <c r="AS62" s="540"/>
      <c r="AT62" s="540"/>
      <c r="AU62" s="540"/>
      <c r="AW62" s="129"/>
      <c r="AX62" s="129" t="str">
        <f t="shared" si="22"/>
        <v xml:space="preserve">Добавить наименование тарифа</v>
      </c>
      <c r="AY62" s="129"/>
      <c r="AZ62" s="129"/>
      <c r="BA62" s="57">
        <v>1</v>
      </c>
    </row>
    <row r="63" ht="11.5" customHeight="1">
      <c r="M63" s="53"/>
      <c r="N63" s="53"/>
      <c r="O63" s="53"/>
      <c r="P63" s="53"/>
      <c r="Q63" s="53"/>
      <c r="R63" s="50"/>
      <c r="S63" s="50"/>
      <c r="AV63" s="50"/>
      <c r="AW63" s="50"/>
      <c r="AX63" s="50"/>
      <c r="AY63" s="50"/>
      <c r="AZ63" s="50"/>
      <c r="BA63" s="50">
        <v>11</v>
      </c>
    </row>
    <row r="64" ht="19.949999999999999" customHeight="1">
      <c r="O64" s="53"/>
      <c r="S64" s="485"/>
      <c r="T64" s="583"/>
      <c r="U64" s="583"/>
      <c r="V64" s="583"/>
      <c r="W64" s="583"/>
      <c r="X64" s="583"/>
      <c r="Y64" s="583"/>
      <c r="Z64" s="583"/>
      <c r="AA64" s="583"/>
      <c r="AB64" s="583"/>
      <c r="AC64" s="583"/>
      <c r="AD64" s="583"/>
      <c r="AE64" s="583"/>
      <c r="AF64" s="583"/>
      <c r="AG64" s="583"/>
      <c r="AH64" s="583"/>
      <c r="AI64" s="583"/>
      <c r="AJ64" s="583"/>
      <c r="AK64" s="583"/>
      <c r="AL64" s="583"/>
      <c r="AM64" s="583"/>
      <c r="AN64" s="583"/>
      <c r="AO64" s="583"/>
      <c r="AP64" s="583"/>
      <c r="AQ64" s="583"/>
      <c r="AR64" s="583"/>
      <c r="AS64" s="583"/>
      <c r="AT64" s="583"/>
      <c r="AU64" s="583"/>
      <c r="BA64" s="50">
        <v>19</v>
      </c>
    </row>
    <row r="65" ht="21" customHeight="1">
      <c r="O65" s="53"/>
      <c r="T65" s="583"/>
      <c r="U65" s="583"/>
      <c r="V65" s="583"/>
      <c r="W65" s="583"/>
      <c r="X65" s="583"/>
      <c r="Y65" s="583"/>
      <c r="Z65" s="583"/>
      <c r="AA65" s="583"/>
      <c r="AB65" s="583"/>
      <c r="AC65" s="583"/>
      <c r="AD65" s="583"/>
      <c r="AE65" s="583"/>
      <c r="AF65" s="583"/>
      <c r="AG65" s="583"/>
      <c r="AH65" s="583"/>
      <c r="AI65" s="583"/>
      <c r="AJ65" s="583"/>
      <c r="AK65" s="583"/>
      <c r="AL65" s="583"/>
      <c r="AM65" s="583"/>
      <c r="AN65" s="583"/>
      <c r="AO65" s="583"/>
      <c r="AP65" s="583"/>
      <c r="AQ65" s="583"/>
      <c r="AR65" s="583"/>
      <c r="AS65" s="583"/>
      <c r="AT65" s="583"/>
      <c r="AU65" s="583"/>
      <c r="BA65" s="50">
        <v>20</v>
      </c>
    </row>
    <row r="66" ht="14.65" customHeight="1">
      <c r="O66" s="53"/>
      <c r="T66" s="583"/>
      <c r="U66" s="583"/>
      <c r="V66" s="583"/>
      <c r="W66" s="583"/>
      <c r="X66" s="583"/>
      <c r="Y66" s="583"/>
      <c r="Z66" s="583"/>
      <c r="AA66" s="583"/>
      <c r="AB66" s="583"/>
      <c r="AC66" s="583"/>
      <c r="AD66" s="583"/>
      <c r="AE66" s="583"/>
      <c r="AF66" s="583"/>
      <c r="AG66" s="583"/>
      <c r="AH66" s="583"/>
      <c r="AI66" s="583"/>
      <c r="AJ66" s="583"/>
      <c r="AK66" s="583"/>
      <c r="AL66" s="583"/>
      <c r="AM66" s="583"/>
      <c r="AN66" s="583"/>
      <c r="AO66" s="583"/>
      <c r="AP66" s="583"/>
      <c r="AQ66" s="583"/>
      <c r="AR66" s="583"/>
      <c r="AS66" s="583"/>
      <c r="AT66" s="583"/>
      <c r="AU66" s="583"/>
      <c r="BA66" s="50">
        <v>14</v>
      </c>
    </row>
    <row r="67" ht="19.949999999999999" customHeight="1">
      <c r="O67" s="53"/>
      <c r="T67" s="583"/>
      <c r="U67" s="583"/>
      <c r="V67" s="583"/>
      <c r="W67" s="583"/>
      <c r="X67" s="583"/>
      <c r="Y67" s="583"/>
      <c r="Z67" s="583"/>
      <c r="AA67" s="583"/>
      <c r="AB67" s="583"/>
      <c r="AC67" s="583"/>
      <c r="AD67" s="583"/>
      <c r="AE67" s="583"/>
      <c r="AF67" s="583"/>
      <c r="AG67" s="583"/>
      <c r="AH67" s="583"/>
      <c r="AI67" s="583"/>
      <c r="AJ67" s="583"/>
      <c r="AK67" s="583"/>
      <c r="AL67" s="583"/>
      <c r="AM67" s="583"/>
      <c r="AN67" s="583"/>
      <c r="AO67" s="583"/>
      <c r="AP67" s="583"/>
      <c r="AQ67" s="583"/>
      <c r="AR67" s="583"/>
      <c r="AS67" s="583"/>
      <c r="AT67" s="583"/>
      <c r="AU67" s="583"/>
      <c r="BA67" s="50">
        <v>19</v>
      </c>
    </row>
    <row r="68" ht="16.800000000000001" customHeight="1">
      <c r="O68" s="53"/>
      <c r="T68" s="583"/>
      <c r="U68" s="583"/>
      <c r="V68" s="583"/>
      <c r="W68" s="583"/>
      <c r="X68" s="583"/>
      <c r="Y68" s="583"/>
      <c r="Z68" s="583"/>
      <c r="AA68" s="583"/>
      <c r="AB68" s="583"/>
      <c r="AC68" s="583"/>
      <c r="AD68" s="583"/>
      <c r="AE68" s="583"/>
      <c r="AF68" s="583"/>
      <c r="AG68" s="583"/>
      <c r="AH68" s="583"/>
      <c r="AI68" s="583"/>
      <c r="AJ68" s="583"/>
      <c r="AK68" s="583"/>
      <c r="AL68" s="583"/>
      <c r="AM68" s="583"/>
      <c r="AN68" s="583"/>
      <c r="AO68" s="583"/>
      <c r="AP68" s="583"/>
      <c r="AQ68" s="583"/>
      <c r="AR68" s="583"/>
      <c r="AS68" s="583"/>
      <c r="AT68" s="583"/>
      <c r="AU68" s="583"/>
      <c r="BA68" s="50">
        <v>16</v>
      </c>
    </row>
    <row r="69" ht="14.65" customHeight="1">
      <c r="O69" s="53"/>
      <c r="BA69" s="50">
        <v>14</v>
      </c>
    </row>
    <row r="70" ht="22.5" hidden="1" customHeight="1">
      <c r="A70" s="53" t="s">
        <v>83</v>
      </c>
      <c r="B70" s="53">
        <v>0</v>
      </c>
      <c r="C70" s="53">
        <v>0</v>
      </c>
      <c r="D70" s="53">
        <v>0</v>
      </c>
      <c r="E70" s="53">
        <v>0</v>
      </c>
      <c r="F70" s="53">
        <v>0</v>
      </c>
      <c r="G70" s="53">
        <v>0</v>
      </c>
      <c r="H70" s="53">
        <v>0</v>
      </c>
      <c r="I70" s="53">
        <v>0</v>
      </c>
      <c r="J70" s="53">
        <v>0</v>
      </c>
      <c r="K70" s="53">
        <v>0</v>
      </c>
      <c r="L70" s="113">
        <v>0</v>
      </c>
      <c r="M70" s="61">
        <v>0</v>
      </c>
      <c r="N70" s="61">
        <v>0</v>
      </c>
      <c r="O70" s="61">
        <v>0</v>
      </c>
      <c r="P70" s="61">
        <v>3</v>
      </c>
      <c r="Q70" s="547">
        <v>3</v>
      </c>
      <c r="R70" s="487">
        <v>3</v>
      </c>
      <c r="S70" s="86">
        <v>12</v>
      </c>
      <c r="T70" s="50">
        <v>31</v>
      </c>
      <c r="U70" s="50">
        <v>0</v>
      </c>
      <c r="V70" s="50">
        <v>0</v>
      </c>
      <c r="W70" s="50">
        <v>0</v>
      </c>
      <c r="X70" s="50">
        <v>0</v>
      </c>
      <c r="Y70" s="50">
        <v>0</v>
      </c>
      <c r="Z70" s="50">
        <v>0</v>
      </c>
      <c r="AA70" s="50">
        <v>0</v>
      </c>
      <c r="AB70" s="50">
        <v>5</v>
      </c>
      <c r="AC70" s="50">
        <v>3</v>
      </c>
      <c r="AD70" s="50">
        <v>3</v>
      </c>
      <c r="AE70" s="50">
        <v>24</v>
      </c>
      <c r="AF70" s="50">
        <v>3</v>
      </c>
      <c r="AG70" s="50">
        <v>3</v>
      </c>
      <c r="AH70" s="50">
        <v>3</v>
      </c>
      <c r="AI70" s="50">
        <v>24</v>
      </c>
      <c r="AJ70" s="50">
        <v>3</v>
      </c>
      <c r="AK70" s="50">
        <v>3</v>
      </c>
      <c r="AL70" s="50">
        <v>3</v>
      </c>
      <c r="AM70" s="50">
        <v>18</v>
      </c>
      <c r="AN70" s="50">
        <v>21</v>
      </c>
      <c r="AO70" s="50">
        <v>21</v>
      </c>
      <c r="AP70" s="50">
        <v>11</v>
      </c>
      <c r="AQ70" s="50">
        <v>3</v>
      </c>
      <c r="AR70" s="50">
        <v>11</v>
      </c>
      <c r="AS70" s="50">
        <v>8</v>
      </c>
      <c r="AT70" s="50">
        <v>4</v>
      </c>
      <c r="AU70" s="50">
        <v>115</v>
      </c>
      <c r="AV70" s="57">
        <v>10</v>
      </c>
      <c r="AW70" s="57">
        <v>10</v>
      </c>
      <c r="AX70" s="57">
        <v>10</v>
      </c>
      <c r="AY70" s="57">
        <v>10</v>
      </c>
      <c r="AZ70" s="57">
        <v>10</v>
      </c>
      <c r="BA70" s="50">
        <v>23</v>
      </c>
    </row>
  </sheetData>
  <sheetProtection autoFilter="0" deleteColumns="1" deleteRows="1" formatCells="1" formatColumns="0" formatRows="0" insertColumns="1" insertHyperlinks="1" insertRows="1" objects="0" pivotTables="1" scenarios="0" selectLockedCells="0" selectUnlockedCells="0" sheet="1" sort="1"/>
  <mergeCells count="119">
    <mergeCell ref="E2:E17"/>
    <mergeCell ref="V2:AA2"/>
    <mergeCell ref="AB2:AT2"/>
    <mergeCell ref="F3:F16"/>
    <mergeCell ref="V3:AA3"/>
    <mergeCell ref="AB3:AT3"/>
    <mergeCell ref="G4:G15"/>
    <mergeCell ref="V4:AA4"/>
    <mergeCell ref="AB4:AT4"/>
    <mergeCell ref="H5:H14"/>
    <mergeCell ref="V5:AA5"/>
    <mergeCell ref="AB5:AT5"/>
    <mergeCell ref="I6:I13"/>
    <mergeCell ref="P6:P13"/>
    <mergeCell ref="V6:AA6"/>
    <mergeCell ref="AB6:AT6"/>
    <mergeCell ref="J7:J12"/>
    <mergeCell ref="Q7:Q12"/>
    <mergeCell ref="V7:AA7"/>
    <mergeCell ref="AB7:AT7"/>
    <mergeCell ref="K8:K11"/>
    <mergeCell ref="R8:R11"/>
    <mergeCell ref="S8:S11"/>
    <mergeCell ref="T8:T11"/>
    <mergeCell ref="X8:X11"/>
    <mergeCell ref="Y8:Y11"/>
    <mergeCell ref="Z8:Z11"/>
    <mergeCell ref="AA8:AA11"/>
    <mergeCell ref="AB8:AB11"/>
    <mergeCell ref="AC8:AC10"/>
    <mergeCell ref="AD8:AD10"/>
    <mergeCell ref="AE8:AE10"/>
    <mergeCell ref="AF8:AF10"/>
    <mergeCell ref="AG8:AG9"/>
    <mergeCell ref="AH8:AH9"/>
    <mergeCell ref="AI8:AI9"/>
    <mergeCell ref="AJ8:AJ9"/>
    <mergeCell ref="AU8:AU12"/>
    <mergeCell ref="S27:AR27"/>
    <mergeCell ref="S28:AR28"/>
    <mergeCell ref="S30:T30"/>
    <mergeCell ref="V30:Z30"/>
    <mergeCell ref="AB30:AR30"/>
    <mergeCell ref="S31:T31"/>
    <mergeCell ref="V31:Z31"/>
    <mergeCell ref="AB31:AR31"/>
    <mergeCell ref="S32:T32"/>
    <mergeCell ref="V32:Z32"/>
    <mergeCell ref="AB32:AR32"/>
    <mergeCell ref="S33:T33"/>
    <mergeCell ref="V33:Z33"/>
    <mergeCell ref="AB33:AR33"/>
    <mergeCell ref="S35:T35"/>
    <mergeCell ref="V35:Z35"/>
    <mergeCell ref="AB35:AR35"/>
    <mergeCell ref="S36:T36"/>
    <mergeCell ref="V36:Z36"/>
    <mergeCell ref="AB36:AR36"/>
    <mergeCell ref="V38:AA38"/>
    <mergeCell ref="AB38:AS38"/>
    <mergeCell ref="S39:AT39"/>
    <mergeCell ref="AU39:AU43"/>
    <mergeCell ref="S40:S43"/>
    <mergeCell ref="T40:T43"/>
    <mergeCell ref="V40:Z40"/>
    <mergeCell ref="AA40:AA43"/>
    <mergeCell ref="AB40:AE43"/>
    <mergeCell ref="AF40:AI43"/>
    <mergeCell ref="AJ40:AM43"/>
    <mergeCell ref="AN40:AR40"/>
    <mergeCell ref="AS40:AS43"/>
    <mergeCell ref="AT40:AT43"/>
    <mergeCell ref="V41:W41"/>
    <mergeCell ref="X41:Z42"/>
    <mergeCell ref="AN41:AO41"/>
    <mergeCell ref="AP41:AR42"/>
    <mergeCell ref="V42:W42"/>
    <mergeCell ref="AN42:AO42"/>
    <mergeCell ref="Y43:Z43"/>
    <mergeCell ref="AQ43:AR43"/>
    <mergeCell ref="Y44:Z44"/>
    <mergeCell ref="AQ44:AR44"/>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T51:T54"/>
    <mergeCell ref="AB51:AB54"/>
    <mergeCell ref="AC51:AC53"/>
    <mergeCell ref="AD51:AD53"/>
    <mergeCell ref="AE51:AE53"/>
    <mergeCell ref="AF51:AF53"/>
    <mergeCell ref="AG51:AG52"/>
    <mergeCell ref="AH51:AH52"/>
    <mergeCell ref="AI51:AI52"/>
    <mergeCell ref="AJ51:AJ52"/>
    <mergeCell ref="AU51:AU55"/>
    <mergeCell ref="T64:AU64"/>
    <mergeCell ref="T65:AU65"/>
    <mergeCell ref="T67:AU67"/>
    <mergeCell ref="T68:AU68"/>
  </mergeCells>
  <dataValidations count="5" disablePrompts="0">
    <dataValidation sqref="V42:W42" type="none" allowBlank="1" error="Выберите значение из списка" errorStyle="stop" errorTitle="Ошибка" imeMode="noControl" operator="between" showDropDown="0" showErrorMessage="0" showInputMessage="0"/>
    <dataValidation sqref="S131128:AU131134 S196664:AU196670 S262200:AU262206 S327736:AU327742 S393272:AU393278 S458808:AU458814 S524344:AU524350 S589880:AU589886 S655416:AU655422 S720952:AU720958 S786488:AU786494 S852024:AU852030 S917560:AU917566 S983096:AU983102 S65592:AU65598" type="none" allowBlank="1" errorStyle="stop" imeMode="noControl" operator="between" showDropDown="0" showErrorMessage="0" showInputMessage="0"/>
    <dataValidation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W65591 W131127 W196663 W262199 W327735 W393271 W458807 W524343 W589879 W655415 W720951 W786487 W852023 W917559 W983095 AO54 W11 AO65591 AO131127 AO196663 AO262199 AO327735 AO393271 AO458807 AO524343 AO589879 AO655415 AO720951 AO786487 AO852023 AO917559 AO983095 AO11 W54" type="none" allowBlank="1" errorStyle="stop" imeMode="noControl" operator="between" promptTitle="checkPeriodRange" showDropDown="0" showErrorMessage="0" showInputMessage="0"/>
    <dataValidation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5" disablePrompts="0">
        <x14:dataValidation xr:uid="{003E007B-00B9-4591-8A79-008E009C00DA}" type="list" allowBlank="1" error="Выберите значение из списка" errorStyle="stop" errorTitle="Ошибка" imeMode="noControl" operator="between" prompt="Выберите значение из списка" showDropDown="0" showErrorMessage="1" showInputMessage="1">
          <x14:formula1>
            <xm:f>UNIT_CONNECT_LIST</xm:f>
          </x14:formula1>
          <xm:sqref>AN42:AO42</xm:sqref>
        </x14:dataValidation>
        <x14:dataValidation xr:uid="{005B0006-00BF-4633-B339-007F004B0087}"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V917557:AT917557 V983093:AT983093 V65589:AT65589 V131125:AT131125 V196661:AT196661 V262197:AT262197 V327733:AT327733 V393269:AT393269 V458805:AT458805 V524341:AT524341 V589877:AT589877 V655413:AT655413 V720949:AT720949 V786485:AT786485 V852021:AT852021</xm:sqref>
        </x14:dataValidation>
        <x14:dataValidation xr:uid="{00780055-00C9-4F42-A7A7-00D3000C00B5}" type="list" allowBlank="1" error="Выберите значение из списка" errorStyle="stop" errorTitle="Ошибка" imeMode="noControl" operator="between" showDropDown="0" showErrorMessage="1" showInputMessage="1">
          <x14:formula1>
            <xm:f>kind_of_heat_transfer</xm:f>
          </x14:formula1>
          <xm:sqref>T65590 T131126 T196662 T262198 T327734 T393270 T458806 T524342 T589878 T655414 T720950 T786486 T852022 T917558 T983094</xm:sqref>
        </x14:dataValidation>
        <x14:dataValidation xr:uid="{009200AD-0023-47B8-A44A-00E100B600EB}" type="list" allowBlank="1" error="Выберите значение из списка" errorStyle="stop" errorTitle="Ошибка" imeMode="noControl" operator="between" showDropDown="0" showErrorMessage="1" showInputMessage="1">
          <x14:formula1>
            <xm:f>kind_of_scheme_in</xm:f>
          </x14:formula1>
          <xm:sqref>AB983092:AM983092 AB65588:AM65588 AB131124:AM131124 AB196660:AM196660 AB262196:AM262196 AB327732:AM327732 AB393268:AM393268 AB458804:AM458804 AB524340:AM524340 AB589876:AM589876 AB655412:AM655412 AB720948:AM720948 AB786484:AM786484 AB852020:AM852020 AB917556:AM917556</xm:sqref>
        </x14:dataValidation>
        <x14:dataValidation xr:uid="{007C008F-00A7-42F5-9298-002C003B00C0}" type="textLength" allowBlank="1" error="Допускается ввод не более 900 символов!" errorStyle="stop" errorTitle="Ошибка" imeMode="noControl" operator="lessThanOrEqual" showDropDown="0" showErrorMessage="1" showInputMessage="1">
          <x14:formula1>
            <xm:f>900</xm:f>
          </x14:formula1>
          <xm:sqref>AU65584:AU65591 AU131120:AU131127 AU196656:AU196663 AU262192:AU262199 AU327728:AU327735 AU393264:AU393271 AU458800:AU458807 AU524336:AU524343 AU589872:AU589879 AU655408:AU655415 AU720944:AU720951 AU786480:AU786487 AU852016:AU852023 AU917552:AU917559 AU983088:AU983095 T8:T11 T51:T54</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zoomScale="90" workbookViewId="0">
      <pane xSplit="28" ySplit="40" topLeftCell="AC41" activePane="bottomRight" state="frozen"/>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4.140625"/>
    <col customWidth="1" hidden="1" min="10" max="10" style="53" width="9.8515625"/>
    <col customWidth="1" hidden="1" min="11" max="11" style="53" width="14.7109375"/>
    <col customWidth="1" hidden="1" min="12" max="12" style="113" width="19.140625"/>
    <col customWidth="1" hidden="1" min="13" max="14" style="61" width="12.28125"/>
    <col customWidth="1" hidden="1" min="15" max="15" style="61" width="23.421875"/>
    <col customWidth="1" min="16" max="16" style="60" width="3.00390625"/>
    <col customWidth="1" min="17" max="18" style="487" width="3.00390625"/>
    <col customWidth="1" min="19" max="19" style="86" width="12.00390625"/>
    <col customWidth="1" min="20" max="20" style="50" width="35.00390625"/>
    <col customWidth="1" min="21" max="21" style="50" width="0.140625"/>
    <col customWidth="1" hidden="1" min="22" max="24" style="50" width="24.7109375"/>
    <col customWidth="1" hidden="1" min="25" max="25" style="50" width="11.7109375"/>
    <col customWidth="1" hidden="1" min="26" max="26" style="50" width="3.7109375"/>
    <col customWidth="1" hidden="1" min="27" max="27" style="50" width="11.7109375"/>
    <col customWidth="1" hidden="1" min="28" max="28" style="50" width="8.57421875"/>
    <col customWidth="1" min="29" max="29" style="50" width="24.7109375"/>
    <col customWidth="1" min="30" max="31" style="50" width="24.00390625"/>
    <col customWidth="1" min="32" max="32" style="50" width="11.00390625"/>
    <col customWidth="1" min="33" max="33" style="50" width="3.7109375"/>
    <col customWidth="1" min="34" max="34" style="50" width="11.00390625"/>
    <col customWidth="1" hidden="1" min="35" max="35" style="50" width="8.57421875"/>
    <col customWidth="1" min="36" max="36" style="50" width="4.00390625"/>
    <col customWidth="1" min="37" max="37" style="50" width="115.00390625"/>
    <col customWidth="1" min="38" max="42" style="57" width="10.00390625"/>
    <col hidden="1" min="43" max="43" style="50" width="10.57421875"/>
  </cols>
  <sheetData>
    <row r="1" ht="22.5" hidden="1" customHeight="1">
      <c r="X1" s="50"/>
      <c r="Y1" s="50"/>
      <c r="AE1" s="50"/>
      <c r="AF1" s="50"/>
      <c r="AQ1" s="50" t="s">
        <v>14</v>
      </c>
    </row>
    <row r="2" ht="23.25" hidden="1" customHeight="1">
      <c r="A2" s="488"/>
      <c r="B2" s="488"/>
      <c r="C2" s="488"/>
      <c r="D2" s="488"/>
      <c r="E2" s="489">
        <v>1</v>
      </c>
      <c r="F2" s="488"/>
      <c r="G2" s="488"/>
      <c r="H2" s="488"/>
      <c r="I2" s="488"/>
      <c r="J2" s="488"/>
      <c r="K2" s="488"/>
      <c r="L2" s="490"/>
      <c r="M2" s="491"/>
      <c r="N2" s="491"/>
      <c r="O2" s="491"/>
      <c r="P2" s="60"/>
      <c r="Q2" s="143"/>
      <c r="R2" s="492"/>
      <c r="S2" s="493" t="e">
        <f>INDEX(PT_DIFFERENTIATION_NUM_NTAR,MATCH(A2,PT_DIFFERENTIATION_NTAR_ID,0))</f>
        <v>#VALUE!</v>
      </c>
      <c r="T2" s="494" t="s">
        <v>123</v>
      </c>
      <c r="U2" s="495"/>
      <c r="V2" s="496"/>
      <c r="W2" s="497"/>
      <c r="X2" s="497"/>
      <c r="Y2" s="497"/>
      <c r="Z2" s="497"/>
      <c r="AA2" s="497"/>
      <c r="AB2" s="498"/>
      <c r="AC2" s="496" t="e">
        <f>INDEX(PT_DIFFERENTIATION_NTAR,MATCH(A2,PT_DIFFERENTIATION_NTAR_ID,0))</f>
        <v>#VALUE!</v>
      </c>
      <c r="AD2" s="497"/>
      <c r="AE2" s="497"/>
      <c r="AF2" s="497"/>
      <c r="AG2" s="497"/>
      <c r="AH2" s="497"/>
      <c r="AI2" s="497"/>
      <c r="AJ2" s="498"/>
      <c r="AK2" s="4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129"/>
      <c r="AN2" s="129" t="str">
        <f t="shared" ref="AN2:AN9" si="23">IF(T2="","",T2)</f>
        <v xml:space="preserve">Наименование тарифа</v>
      </c>
      <c r="AO2" s="129"/>
      <c r="AP2" s="129"/>
      <c r="AQ2" s="50">
        <v>0</v>
      </c>
    </row>
    <row r="3" ht="23.25" hidden="1" customHeight="1">
      <c r="A3" s="488"/>
      <c r="B3" s="488"/>
      <c r="C3" s="488"/>
      <c r="D3" s="488"/>
      <c r="E3" s="500"/>
      <c r="F3" s="489">
        <v>1</v>
      </c>
      <c r="G3" s="488"/>
      <c r="H3" s="488"/>
      <c r="I3" s="488"/>
      <c r="J3" s="488"/>
      <c r="K3" s="488"/>
      <c r="L3" s="490"/>
      <c r="M3" s="491"/>
      <c r="N3" s="491"/>
      <c r="O3" s="491"/>
      <c r="P3" s="51"/>
      <c r="Q3" s="501"/>
      <c r="R3" s="502"/>
      <c r="S3" s="493" t="e">
        <f>INDEX(PT_DIFFERENTIATION_NUM_TER,MATCH(B3,PT_DIFFERENTIATION_TER_ID,0))</f>
        <v>#VALUE!</v>
      </c>
      <c r="T3" s="503" t="s">
        <v>402</v>
      </c>
      <c r="U3" s="495"/>
      <c r="V3" s="496"/>
      <c r="W3" s="497"/>
      <c r="X3" s="497"/>
      <c r="Y3" s="497"/>
      <c r="Z3" s="497"/>
      <c r="AA3" s="497"/>
      <c r="AB3" s="498"/>
      <c r="AC3" s="496" t="e">
        <f>INDEX(PT_DIFFERENTIATION_TER,MATCH(B3,PT_DIFFERENTIATION_TER_ID,0))</f>
        <v>#VALUE!</v>
      </c>
      <c r="AD3" s="497"/>
      <c r="AE3" s="497"/>
      <c r="AF3" s="497"/>
      <c r="AG3" s="497"/>
      <c r="AH3" s="497"/>
      <c r="AI3" s="497"/>
      <c r="AJ3" s="498"/>
      <c r="AK3" s="499" t="s">
        <v>403</v>
      </c>
      <c r="AM3" s="129"/>
      <c r="AN3" s="129" t="str">
        <f t="shared" si="23"/>
        <v xml:space="preserve">Территория действия тарифа</v>
      </c>
      <c r="AO3" s="129"/>
      <c r="AP3" s="129"/>
      <c r="AQ3" s="50">
        <v>0</v>
      </c>
    </row>
    <row r="4" ht="23.25" hidden="1" customHeight="1">
      <c r="A4" s="488"/>
      <c r="B4" s="488"/>
      <c r="C4" s="488"/>
      <c r="D4" s="488"/>
      <c r="E4" s="500"/>
      <c r="F4" s="500"/>
      <c r="G4" s="489">
        <v>1</v>
      </c>
      <c r="H4" s="488"/>
      <c r="I4" s="488"/>
      <c r="J4" s="488"/>
      <c r="K4" s="488"/>
      <c r="L4" s="490"/>
      <c r="M4" s="491"/>
      <c r="N4" s="491"/>
      <c r="O4" s="491"/>
      <c r="P4" s="504"/>
      <c r="Q4" s="501"/>
      <c r="R4" s="502"/>
      <c r="S4" s="493" t="e">
        <f>INDEX(PT_DIFFERENTIATION_NUM_CS,MATCH(C4,PT_DIFFERENTIATION_CS_ID,0))</f>
        <v>#VALUE!</v>
      </c>
      <c r="T4" s="505" t="s">
        <v>482</v>
      </c>
      <c r="U4" s="495"/>
      <c r="V4" s="496"/>
      <c r="W4" s="497"/>
      <c r="X4" s="497"/>
      <c r="Y4" s="497"/>
      <c r="Z4" s="497"/>
      <c r="AA4" s="497"/>
      <c r="AB4" s="498"/>
      <c r="AC4" s="496" t="e">
        <f>INDEX(PT_DIFFERENTIATION_CS,MATCH(C4,PT_DIFFERENTIATION_CS_ID,0))</f>
        <v>#VALUE!</v>
      </c>
      <c r="AD4" s="497"/>
      <c r="AE4" s="497"/>
      <c r="AF4" s="497"/>
      <c r="AG4" s="497"/>
      <c r="AH4" s="497"/>
      <c r="AI4" s="497"/>
      <c r="AJ4" s="498"/>
      <c r="AK4" s="499" t="s">
        <v>483</v>
      </c>
      <c r="AM4" s="129"/>
      <c r="AN4" s="129" t="str">
        <f t="shared" si="23"/>
        <v xml:space="preserve">Наименование централизованной системы холодного водоснабжения</v>
      </c>
      <c r="AO4" s="129"/>
      <c r="AP4" s="129"/>
      <c r="AQ4" s="50">
        <v>0</v>
      </c>
    </row>
    <row r="5" ht="23.25" hidden="1" customHeight="1">
      <c r="A5" s="488"/>
      <c r="B5" s="488"/>
      <c r="C5" s="488"/>
      <c r="D5" s="488"/>
      <c r="E5" s="500"/>
      <c r="F5" s="500"/>
      <c r="G5" s="500"/>
      <c r="H5" s="500"/>
      <c r="I5" s="507" t="e">
        <f>S4&amp;".1"</f>
        <v>#VALUE!</v>
      </c>
      <c r="J5" s="488"/>
      <c r="K5" s="488"/>
      <c r="L5" s="490"/>
      <c r="P5" s="132">
        <v>1</v>
      </c>
      <c r="Q5" s="132"/>
      <c r="R5" s="508"/>
      <c r="S5" s="493" t="e">
        <f>$I5</f>
        <v>#VALUE!</v>
      </c>
      <c r="T5" s="509" t="s">
        <v>484</v>
      </c>
      <c r="U5" s="495"/>
      <c r="V5" s="685"/>
      <c r="W5" s="686"/>
      <c r="X5" s="686"/>
      <c r="Y5" s="686"/>
      <c r="Z5" s="686"/>
      <c r="AA5" s="686"/>
      <c r="AB5" s="687"/>
      <c r="AC5" s="688"/>
      <c r="AD5" s="689"/>
      <c r="AE5" s="689"/>
      <c r="AF5" s="689"/>
      <c r="AG5" s="689"/>
      <c r="AH5" s="689"/>
      <c r="AI5" s="689"/>
      <c r="AJ5" s="690"/>
      <c r="AK5" s="499" t="s">
        <v>485</v>
      </c>
      <c r="AM5" s="129"/>
      <c r="AN5" s="129" t="str">
        <f t="shared" si="23"/>
        <v xml:space="preserve">Наименование признака дифференциации</v>
      </c>
      <c r="AO5" s="129"/>
      <c r="AP5" s="129"/>
      <c r="AQ5" s="50">
        <v>0</v>
      </c>
    </row>
    <row r="6" ht="23.25" hidden="1" customHeight="1">
      <c r="A6" s="488"/>
      <c r="B6" s="488"/>
      <c r="C6" s="488"/>
      <c r="D6" s="488"/>
      <c r="E6" s="500"/>
      <c r="F6" s="500"/>
      <c r="G6" s="500"/>
      <c r="H6" s="500"/>
      <c r="I6" s="512"/>
      <c r="J6" s="507" t="e">
        <f>I5&amp;".1"</f>
        <v>#VALUE!</v>
      </c>
      <c r="K6" s="488"/>
      <c r="L6" s="490" t="s">
        <v>411</v>
      </c>
      <c r="P6" s="132"/>
      <c r="Q6" s="132">
        <v>1</v>
      </c>
      <c r="R6" s="513"/>
      <c r="S6" s="493" t="e">
        <f>$J6</f>
        <v>#VALUE!</v>
      </c>
      <c r="T6" s="514" t="s">
        <v>412</v>
      </c>
      <c r="U6" s="495"/>
      <c r="V6" s="440"/>
      <c r="W6" s="510"/>
      <c r="X6" s="510"/>
      <c r="Y6" s="510"/>
      <c r="Z6" s="510"/>
      <c r="AA6" s="510"/>
      <c r="AB6" s="511"/>
      <c r="AC6" s="440"/>
      <c r="AD6" s="510"/>
      <c r="AE6" s="510"/>
      <c r="AF6" s="510"/>
      <c r="AG6" s="510"/>
      <c r="AH6" s="510"/>
      <c r="AI6" s="510"/>
      <c r="AJ6" s="511"/>
      <c r="AK6" s="626" t="s">
        <v>486</v>
      </c>
      <c r="AM6" s="129"/>
      <c r="AN6" s="129" t="str">
        <f t="shared" si="23"/>
        <v xml:space="preserve">Группа потребителей</v>
      </c>
      <c r="AO6" s="129"/>
      <c r="AP6" s="129"/>
      <c r="AQ6" s="50">
        <v>0</v>
      </c>
    </row>
    <row r="7" ht="23.25" hidden="1" customHeight="1">
      <c r="A7" s="488"/>
      <c r="B7" s="488"/>
      <c r="C7" s="488"/>
      <c r="D7" s="488"/>
      <c r="E7" s="500"/>
      <c r="F7" s="500"/>
      <c r="G7" s="500"/>
      <c r="H7" s="500"/>
      <c r="I7" s="512"/>
      <c r="J7" s="512"/>
      <c r="K7" s="507" t="e">
        <f>J6&amp;".1"</f>
        <v>#VALUE!</v>
      </c>
      <c r="L7" s="490"/>
      <c r="P7" s="132"/>
      <c r="Q7" s="132"/>
      <c r="R7" s="513">
        <v>1</v>
      </c>
      <c r="S7" s="493" t="e">
        <f>$K7</f>
        <v>#VALUE!</v>
      </c>
      <c r="T7" s="691"/>
      <c r="U7" s="495"/>
      <c r="V7" s="516"/>
      <c r="W7" s="516"/>
      <c r="X7" s="518"/>
      <c r="Y7" s="519"/>
      <c r="Z7" s="224" t="s">
        <v>67</v>
      </c>
      <c r="AA7" s="519"/>
      <c r="AB7" s="224" t="s">
        <v>67</v>
      </c>
      <c r="AC7" s="516"/>
      <c r="AD7" s="516"/>
      <c r="AE7" s="518"/>
      <c r="AF7" s="519"/>
      <c r="AG7" s="224" t="s">
        <v>67</v>
      </c>
      <c r="AH7" s="579"/>
      <c r="AI7" s="224" t="s">
        <v>67</v>
      </c>
      <c r="AJ7" s="692"/>
      <c r="AK7" s="69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 t="e">
        <f>STRCHECKDATE(V8:AJ8)</f>
        <v>#NAME?</v>
      </c>
      <c r="AM7" s="129"/>
      <c r="AN7" s="129" t="str">
        <f t="shared" si="23"/>
        <v/>
      </c>
      <c r="AO7" s="129"/>
      <c r="AP7" s="129"/>
      <c r="AQ7" s="50">
        <v>0</v>
      </c>
    </row>
    <row r="8" ht="14.25" hidden="1" customHeight="1">
      <c r="A8" s="488"/>
      <c r="B8" s="488"/>
      <c r="C8" s="488"/>
      <c r="D8" s="488"/>
      <c r="E8" s="500"/>
      <c r="F8" s="500"/>
      <c r="G8" s="500"/>
      <c r="H8" s="500"/>
      <c r="I8" s="512"/>
      <c r="J8" s="512"/>
      <c r="K8" s="507"/>
      <c r="L8" s="490"/>
      <c r="P8" s="132"/>
      <c r="Q8" s="132"/>
      <c r="R8" s="513"/>
      <c r="S8" s="467"/>
      <c r="T8" s="495"/>
      <c r="U8" s="495"/>
      <c r="V8" s="517"/>
      <c r="W8" s="517"/>
      <c r="X8" s="521" t="str">
        <f>Y7&amp;"-"&amp;AA7</f>
        <v>-</v>
      </c>
      <c r="Y8" s="522"/>
      <c r="Z8" s="224"/>
      <c r="AA8" s="522"/>
      <c r="AB8" s="224"/>
      <c r="AC8" s="517"/>
      <c r="AD8" s="517"/>
      <c r="AE8" s="521" t="str">
        <f>AF7&amp;"-"&amp;AH7</f>
        <v>-</v>
      </c>
      <c r="AF8" s="522"/>
      <c r="AG8" s="224"/>
      <c r="AH8" s="581"/>
      <c r="AI8" s="224"/>
      <c r="AJ8" s="694"/>
      <c r="AK8" s="693"/>
      <c r="AM8" s="129"/>
      <c r="AN8" s="129" t="str">
        <f t="shared" si="23"/>
        <v/>
      </c>
      <c r="AO8" s="129"/>
      <c r="AP8" s="129"/>
      <c r="AQ8" s="50">
        <v>0</v>
      </c>
    </row>
    <row r="9" ht="21" hidden="1" customHeight="1">
      <c r="A9" s="488"/>
      <c r="B9" s="488"/>
      <c r="C9" s="488"/>
      <c r="D9" s="488"/>
      <c r="E9" s="500"/>
      <c r="F9" s="500"/>
      <c r="G9" s="500"/>
      <c r="H9" s="500"/>
      <c r="I9" s="512"/>
      <c r="J9" s="507"/>
      <c r="K9" s="488"/>
      <c r="L9" s="490"/>
      <c r="P9" s="132"/>
      <c r="Q9" s="132"/>
      <c r="R9" s="508"/>
      <c r="S9" s="524"/>
      <c r="T9" s="528" t="s">
        <v>487</v>
      </c>
      <c r="U9" s="214"/>
      <c r="V9" s="214"/>
      <c r="W9" s="214"/>
      <c r="X9" s="214"/>
      <c r="Y9" s="214"/>
      <c r="Z9" s="214"/>
      <c r="AA9" s="214"/>
      <c r="AB9" s="214"/>
      <c r="AC9" s="214"/>
      <c r="AD9" s="214"/>
      <c r="AE9" s="214"/>
      <c r="AF9" s="214"/>
      <c r="AG9" s="214"/>
      <c r="AH9" s="214"/>
      <c r="AI9" s="214"/>
      <c r="AJ9" s="214"/>
      <c r="AK9" s="499" t="s">
        <v>488</v>
      </c>
      <c r="AM9" s="129"/>
      <c r="AN9" s="129" t="str">
        <f t="shared" si="23"/>
        <v xml:space="preserve">Добавить значение признака дифференциации</v>
      </c>
      <c r="AO9" s="129"/>
      <c r="AP9" s="129"/>
      <c r="AQ9" s="50">
        <v>0</v>
      </c>
    </row>
    <row r="10" ht="21" hidden="1" customHeight="1">
      <c r="A10" s="488"/>
      <c r="B10" s="488"/>
      <c r="C10" s="488"/>
      <c r="D10" s="488"/>
      <c r="E10" s="500"/>
      <c r="F10" s="500"/>
      <c r="G10" s="500"/>
      <c r="H10" s="500"/>
      <c r="I10" s="507"/>
      <c r="J10" s="488"/>
      <c r="K10" s="488"/>
      <c r="L10" s="490"/>
      <c r="P10" s="132"/>
      <c r="Q10" s="132"/>
      <c r="R10" s="508"/>
      <c r="S10" s="524"/>
      <c r="T10" s="532" t="s">
        <v>417</v>
      </c>
      <c r="U10" s="214"/>
      <c r="V10" s="214"/>
      <c r="W10" s="214"/>
      <c r="X10" s="214"/>
      <c r="Y10" s="214"/>
      <c r="Z10" s="214"/>
      <c r="AA10" s="214"/>
      <c r="AB10" s="529"/>
      <c r="AC10" s="214"/>
      <c r="AD10" s="214"/>
      <c r="AE10" s="214"/>
      <c r="AF10" s="214"/>
      <c r="AG10" s="214"/>
      <c r="AH10" s="214"/>
      <c r="AI10" s="529"/>
      <c r="AJ10" s="214"/>
      <c r="AK10" s="695"/>
      <c r="AM10" s="129"/>
      <c r="AN10" s="129" t="str">
        <f t="shared" ref="AN10:AN53" si="24">IF(T10="","",T10)</f>
        <v xml:space="preserve">Добавить группу потребителей</v>
      </c>
      <c r="AO10" s="129"/>
      <c r="AP10" s="129"/>
      <c r="AQ10" s="50">
        <v>0</v>
      </c>
    </row>
    <row r="11" ht="14.25" hidden="1" customHeight="1">
      <c r="A11" s="488"/>
      <c r="B11" s="488"/>
      <c r="C11" s="488"/>
      <c r="D11" s="488"/>
      <c r="E11" s="500"/>
      <c r="F11" s="500"/>
      <c r="G11" s="500"/>
      <c r="H11" s="489"/>
      <c r="I11" s="488"/>
      <c r="J11" s="488"/>
      <c r="K11" s="488"/>
      <c r="L11" s="490"/>
      <c r="M11" s="491"/>
      <c r="N11" s="491"/>
      <c r="O11" s="53"/>
      <c r="P11" s="143"/>
      <c r="Q11" s="531"/>
      <c r="R11" s="492"/>
      <c r="S11" s="524"/>
      <c r="T11" s="696" t="s">
        <v>489</v>
      </c>
      <c r="U11" s="214"/>
      <c r="V11" s="214"/>
      <c r="W11" s="214"/>
      <c r="X11" s="214"/>
      <c r="Y11" s="214"/>
      <c r="Z11" s="214"/>
      <c r="AA11" s="214"/>
      <c r="AB11" s="529"/>
      <c r="AC11" s="214"/>
      <c r="AD11" s="214"/>
      <c r="AE11" s="214"/>
      <c r="AF11" s="214"/>
      <c r="AG11" s="214"/>
      <c r="AH11" s="214"/>
      <c r="AI11" s="529"/>
      <c r="AJ11" s="214"/>
      <c r="AK11" s="530"/>
      <c r="AM11" s="129"/>
      <c r="AN11" s="129" t="str">
        <f t="shared" si="24"/>
        <v xml:space="preserve">Добавить наименование признака дифференциации</v>
      </c>
      <c r="AO11" s="129"/>
      <c r="AP11" s="129"/>
      <c r="AQ11" s="50">
        <v>0</v>
      </c>
    </row>
    <row r="12" s="57" customFormat="1" ht="14.25" hidden="1" customHeight="1">
      <c r="A12" s="133"/>
      <c r="B12" s="133"/>
      <c r="C12" s="133"/>
      <c r="D12" s="133"/>
      <c r="E12" s="500"/>
      <c r="F12" s="489"/>
      <c r="G12" s="133"/>
      <c r="H12" s="133"/>
      <c r="I12" s="133"/>
      <c r="J12" s="133"/>
      <c r="K12" s="133"/>
      <c r="L12" s="212"/>
      <c r="M12" s="537"/>
      <c r="N12" s="537"/>
      <c r="P12" s="167"/>
      <c r="Q12" s="533"/>
      <c r="R12" s="167"/>
      <c r="S12" s="538"/>
      <c r="T12" s="541" t="s">
        <v>212</v>
      </c>
      <c r="U12" s="540"/>
      <c r="V12" s="540"/>
      <c r="W12" s="540"/>
      <c r="X12" s="540"/>
      <c r="Y12" s="540"/>
      <c r="Z12" s="540"/>
      <c r="AA12" s="540"/>
      <c r="AB12" s="540"/>
      <c r="AC12" s="540"/>
      <c r="AD12" s="540"/>
      <c r="AE12" s="540"/>
      <c r="AF12" s="540"/>
      <c r="AG12" s="540"/>
      <c r="AH12" s="540"/>
      <c r="AI12" s="540"/>
      <c r="AJ12" s="540"/>
      <c r="AK12" s="540"/>
      <c r="AM12" s="129"/>
      <c r="AN12" s="129" t="str">
        <f t="shared" si="24"/>
        <v xml:space="preserve">Добавить централизованную систему для дифференциации</v>
      </c>
      <c r="AO12" s="129"/>
      <c r="AP12" s="129"/>
      <c r="AQ12" s="57">
        <v>0</v>
      </c>
    </row>
    <row r="13" s="57" customFormat="1" ht="14.25" hidden="1" customHeight="1">
      <c r="A13" s="133"/>
      <c r="B13" s="133"/>
      <c r="C13" s="133"/>
      <c r="D13" s="133"/>
      <c r="E13" s="489"/>
      <c r="F13" s="133"/>
      <c r="G13" s="133"/>
      <c r="H13" s="133"/>
      <c r="I13" s="133"/>
      <c r="J13" s="133"/>
      <c r="K13" s="133"/>
      <c r="L13" s="212"/>
      <c r="M13" s="537"/>
      <c r="N13" s="537"/>
      <c r="O13" s="57"/>
      <c r="P13" s="167"/>
      <c r="Q13" s="533"/>
      <c r="R13" s="167"/>
      <c r="S13" s="538"/>
      <c r="T13" s="541" t="s">
        <v>213</v>
      </c>
      <c r="U13" s="540"/>
      <c r="V13" s="540"/>
      <c r="W13" s="540"/>
      <c r="X13" s="540"/>
      <c r="Y13" s="540"/>
      <c r="Z13" s="540"/>
      <c r="AA13" s="540"/>
      <c r="AB13" s="540"/>
      <c r="AC13" s="540"/>
      <c r="AD13" s="540"/>
      <c r="AE13" s="540"/>
      <c r="AF13" s="540"/>
      <c r="AG13" s="540"/>
      <c r="AH13" s="540"/>
      <c r="AI13" s="540"/>
      <c r="AJ13" s="540"/>
      <c r="AK13" s="540"/>
      <c r="AM13" s="129"/>
      <c r="AN13" s="129" t="str">
        <f t="shared" si="24"/>
        <v xml:space="preserve">Добавить территорию для дифференциации</v>
      </c>
      <c r="AO13" s="129"/>
      <c r="AP13" s="129"/>
      <c r="AQ13" s="57">
        <v>0</v>
      </c>
    </row>
    <row r="14" ht="14.25" hidden="1" customHeight="1">
      <c r="AB14" s="50"/>
      <c r="AI14" s="50"/>
      <c r="AQ14" s="50">
        <v>0</v>
      </c>
    </row>
    <row r="15" ht="14.25" hidden="1" customHeight="1">
      <c r="AC15" s="542"/>
      <c r="AD15" s="542"/>
      <c r="AE15" s="543"/>
      <c r="AF15" s="544"/>
      <c r="AG15" s="545" t="s">
        <v>67</v>
      </c>
      <c r="AH15" s="544"/>
      <c r="AI15" s="545" t="s">
        <v>67</v>
      </c>
      <c r="AQ15" s="50">
        <v>0</v>
      </c>
    </row>
    <row r="16" ht="14.25" hidden="1" customHeight="1">
      <c r="AC16" s="542"/>
      <c r="AD16" s="542"/>
      <c r="AE16" s="521" t="str">
        <f>AF15&amp;"-"&amp;AH15</f>
        <v>-</v>
      </c>
      <c r="AF16" s="545"/>
      <c r="AG16" s="545"/>
      <c r="AH16" s="545"/>
      <c r="AI16" s="545"/>
      <c r="AQ16" s="50">
        <v>0</v>
      </c>
    </row>
    <row r="17" ht="14.25" hidden="1" customHeight="1">
      <c r="AI17" s="50"/>
      <c r="AQ17" s="50">
        <v>0</v>
      </c>
    </row>
    <row r="18" s="53" customFormat="1" ht="22.5" hidden="1" customHeight="1">
      <c r="L18" s="113"/>
      <c r="M18" s="61"/>
      <c r="N18" s="61"/>
      <c r="O18" s="546" t="s">
        <v>419</v>
      </c>
      <c r="P18" s="61"/>
      <c r="Q18" s="547"/>
      <c r="R18" s="547"/>
      <c r="S18" s="491"/>
      <c r="Y18" s="546"/>
      <c r="AA18" s="546"/>
      <c r="AB18" s="53"/>
      <c r="AF18" s="546"/>
      <c r="AH18" s="546"/>
      <c r="AI18" s="53"/>
      <c r="AL18" s="57"/>
      <c r="AM18" s="57"/>
      <c r="AN18" s="57"/>
      <c r="AO18" s="57"/>
      <c r="AP18" s="57"/>
      <c r="AQ18" s="53">
        <v>0</v>
      </c>
    </row>
    <row r="19" s="53" customFormat="1" ht="14.25" hidden="1" customHeight="1">
      <c r="L19" s="113"/>
      <c r="M19" s="61"/>
      <c r="N19" s="61"/>
      <c r="O19" s="61"/>
      <c r="P19" s="61"/>
      <c r="Q19" s="547"/>
      <c r="R19" s="547"/>
      <c r="S19" s="491"/>
      <c r="AB19" s="53"/>
      <c r="AI19" s="53"/>
      <c r="AL19" s="57"/>
      <c r="AM19" s="57"/>
      <c r="AN19" s="57"/>
      <c r="AO19" s="57"/>
      <c r="AP19" s="57"/>
      <c r="AQ19" s="53">
        <v>0</v>
      </c>
    </row>
    <row r="20" s="53" customFormat="1" ht="12" hidden="1" customHeight="1">
      <c r="L20" s="113"/>
      <c r="M20" s="61"/>
      <c r="N20" s="61"/>
      <c r="O20" s="490" t="s">
        <v>420</v>
      </c>
      <c r="P20" s="61"/>
      <c r="Q20" s="697"/>
      <c r="R20" s="697"/>
      <c r="S20" s="491"/>
      <c r="T20" s="53" t="s">
        <v>421</v>
      </c>
      <c r="Z20" s="151" t="s">
        <v>422</v>
      </c>
      <c r="AB20" s="151" t="s">
        <v>423</v>
      </c>
      <c r="AC20" s="53" t="s">
        <v>421</v>
      </c>
      <c r="AG20" s="151" t="s">
        <v>424</v>
      </c>
      <c r="AI20" s="151" t="s">
        <v>423</v>
      </c>
      <c r="AQ20" s="53">
        <v>0</v>
      </c>
    </row>
    <row r="21" ht="14.25" hidden="1" customHeight="1">
      <c r="O21" s="490"/>
      <c r="AQ21" s="50">
        <v>0</v>
      </c>
    </row>
    <row r="22" ht="14.25" hidden="1" customHeight="1">
      <c r="O22" s="490"/>
      <c r="AQ22" s="50">
        <v>0</v>
      </c>
    </row>
    <row r="23" ht="14.65" customHeight="1">
      <c r="Q23" s="548"/>
      <c r="R23" s="548"/>
      <c r="S23" s="549"/>
      <c r="T23" s="91"/>
      <c r="U23" s="91"/>
      <c r="V23" s="50"/>
      <c r="W23" s="50"/>
      <c r="X23" s="50"/>
      <c r="Y23" s="50"/>
      <c r="Z23" s="50"/>
      <c r="AA23" s="50"/>
      <c r="AB23" s="50"/>
      <c r="AC23" s="50"/>
      <c r="AD23" s="50"/>
      <c r="AE23" s="50"/>
      <c r="AF23" s="50"/>
      <c r="AG23" s="50"/>
      <c r="AH23" s="50"/>
      <c r="AI23" s="50"/>
      <c r="AQ23" s="50">
        <v>14</v>
      </c>
    </row>
    <row r="24" ht="14.65" customHeight="1">
      <c r="Q24" s="548"/>
      <c r="R24" s="548"/>
      <c r="S24" s="461" t="str">
        <f>IF(TEMPLATE_GROUP="P",PT_P_FORM_COLDVSNA_4_NAME_FORM,PT_R_FORM_COLDVSNA_16_NAME_FORM)</f>
        <v xml:space="preserve">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461"/>
      <c r="U24" s="461"/>
      <c r="V24" s="461"/>
      <c r="W24" s="461"/>
      <c r="X24" s="461"/>
      <c r="Y24" s="461"/>
      <c r="Z24" s="461"/>
      <c r="AA24" s="461"/>
      <c r="AB24" s="461"/>
      <c r="AC24" s="461"/>
      <c r="AD24" s="461"/>
      <c r="AE24" s="461"/>
      <c r="AF24" s="461"/>
      <c r="AG24" s="461"/>
      <c r="AH24" s="461"/>
      <c r="AI24" s="240"/>
      <c r="AQ24" s="50">
        <v>14</v>
      </c>
    </row>
    <row r="25" ht="14.65" customHeight="1">
      <c r="Q25" s="548"/>
      <c r="R25" s="548"/>
      <c r="S25" s="316" t="str">
        <f>IF(org=0,"Не определено",org)</f>
        <v xml:space="preserve">АО "ДГК"</v>
      </c>
      <c r="T25" s="316"/>
      <c r="U25" s="316"/>
      <c r="V25" s="316"/>
      <c r="W25" s="316"/>
      <c r="X25" s="316"/>
      <c r="Y25" s="316"/>
      <c r="Z25" s="316"/>
      <c r="AA25" s="316"/>
      <c r="AB25" s="316"/>
      <c r="AC25" s="316"/>
      <c r="AD25" s="316"/>
      <c r="AE25" s="316"/>
      <c r="AF25" s="316"/>
      <c r="AG25" s="316"/>
      <c r="AH25" s="316"/>
      <c r="AI25" s="240"/>
      <c r="AQ25" s="50">
        <v>14</v>
      </c>
    </row>
    <row r="26" ht="14.25" hidden="1" customHeight="1">
      <c r="Q26" s="548"/>
      <c r="R26" s="548"/>
      <c r="S26" s="549"/>
      <c r="T26" s="91"/>
      <c r="U26" s="91"/>
      <c r="V26" s="550"/>
      <c r="W26" s="550"/>
      <c r="X26" s="550"/>
      <c r="Y26" s="550"/>
      <c r="Z26" s="550"/>
      <c r="AA26" s="550"/>
      <c r="AB26" s="550"/>
      <c r="AC26" s="550"/>
      <c r="AD26" s="550"/>
      <c r="AE26" s="550"/>
      <c r="AF26" s="550"/>
      <c r="AG26" s="550"/>
      <c r="AH26" s="550"/>
      <c r="AI26" s="550"/>
      <c r="AJ26" s="50"/>
      <c r="AQ26" s="50">
        <v>0</v>
      </c>
    </row>
    <row r="27" s="184" customFormat="1" ht="25.5" hidden="1" customHeight="1">
      <c r="A27" s="151"/>
      <c r="B27" s="151"/>
      <c r="C27" s="151"/>
      <c r="D27" s="151"/>
      <c r="E27" s="151"/>
      <c r="F27" s="151"/>
      <c r="G27" s="151"/>
      <c r="H27" s="151"/>
      <c r="I27" s="151"/>
      <c r="J27" s="151"/>
      <c r="K27" s="151"/>
      <c r="L27" s="490"/>
      <c r="M27" s="151"/>
      <c r="N27" s="151"/>
      <c r="O27" s="151"/>
      <c r="S27" s="551" t="s">
        <v>42</v>
      </c>
      <c r="T27" s="551"/>
      <c r="U27" s="552"/>
      <c r="V27" s="553" t="str">
        <f>IF(TITLE_NAME_OR_PR_CHANGE="",IF(TITLE_NAME_OR_PR="","",TITLE_NAME_OR_PR),TITLE_NAME_OR_PR_CHANGE)</f>
        <v/>
      </c>
      <c r="W27" s="553"/>
      <c r="X27" s="553"/>
      <c r="Y27" s="553"/>
      <c r="Z27" s="553"/>
      <c r="AA27" s="553"/>
      <c r="AB27" s="50"/>
      <c r="AC27" s="553" t="str">
        <f>IF(TITLE_NAME_OR_PR_CHANGE="",IF(TITLE_NAME_OR_PR="","",TITLE_NAME_OR_PR),TITLE_NAME_OR_PR_CHANGE)</f>
        <v/>
      </c>
      <c r="AD27" s="553"/>
      <c r="AE27" s="553"/>
      <c r="AF27" s="553"/>
      <c r="AG27" s="553"/>
      <c r="AH27" s="553"/>
      <c r="AI27" s="50"/>
      <c r="AJ27" s="50"/>
      <c r="AK27" s="554"/>
      <c r="AL27" s="129"/>
      <c r="AM27" s="129"/>
      <c r="AN27" s="129"/>
      <c r="AO27" s="129"/>
      <c r="AP27" s="129"/>
      <c r="AQ27" s="184">
        <v>0</v>
      </c>
    </row>
    <row r="28" s="184" customFormat="1" ht="18.75" hidden="1" customHeight="1">
      <c r="A28" s="151"/>
      <c r="B28" s="151"/>
      <c r="C28" s="151"/>
      <c r="D28" s="151"/>
      <c r="E28" s="151"/>
      <c r="F28" s="151"/>
      <c r="G28" s="151"/>
      <c r="H28" s="151"/>
      <c r="I28" s="151"/>
      <c r="J28" s="151"/>
      <c r="K28" s="151"/>
      <c r="L28" s="490"/>
      <c r="M28" s="151"/>
      <c r="N28" s="151"/>
      <c r="O28" s="151"/>
      <c r="S28" s="551" t="s">
        <v>425</v>
      </c>
      <c r="T28" s="551"/>
      <c r="U28" s="552"/>
      <c r="V28" s="555">
        <f>IF(TITLE_DATE_PR_CHANGE="",IF(TITLE_DATE_PR="","",TITLE_DATE_PR),TITLE_DATE_PR_CHANGE)</f>
        <v>46212.428518518522</v>
      </c>
      <c r="W28" s="555"/>
      <c r="X28" s="555"/>
      <c r="Y28" s="555"/>
      <c r="Z28" s="555"/>
      <c r="AA28" s="555"/>
      <c r="AB28" s="50"/>
      <c r="AC28" s="555">
        <f>IF(TITLE_DATE_PR_CHANGE="",IF(TITLE_DATE_PR="","",TITLE_DATE_PR),TITLE_DATE_PR_CHANGE)</f>
        <v>46212.428518518522</v>
      </c>
      <c r="AD28" s="555"/>
      <c r="AE28" s="555"/>
      <c r="AF28" s="555"/>
      <c r="AG28" s="555"/>
      <c r="AH28" s="555"/>
      <c r="AI28" s="50"/>
      <c r="AJ28" s="50"/>
      <c r="AK28" s="554"/>
      <c r="AL28" s="129"/>
      <c r="AM28" s="129"/>
      <c r="AN28" s="129"/>
      <c r="AO28" s="129"/>
      <c r="AP28" s="129"/>
      <c r="AQ28" s="184">
        <v>0</v>
      </c>
    </row>
    <row r="29" s="184" customFormat="1" ht="18.75" hidden="1" customHeight="1">
      <c r="A29" s="151"/>
      <c r="B29" s="151"/>
      <c r="C29" s="151"/>
      <c r="D29" s="151"/>
      <c r="E29" s="151"/>
      <c r="F29" s="151"/>
      <c r="G29" s="151"/>
      <c r="H29" s="151"/>
      <c r="I29" s="151"/>
      <c r="J29" s="151"/>
      <c r="K29" s="151"/>
      <c r="L29" s="490"/>
      <c r="M29" s="151"/>
      <c r="N29" s="151"/>
      <c r="O29" s="151"/>
      <c r="S29" s="551" t="s">
        <v>426</v>
      </c>
      <c r="T29" s="551"/>
      <c r="U29" s="552"/>
      <c r="V29" s="553" t="str">
        <f>IF(TITLE_NUMBER_PR_CHANGE="",IF(TITLE_NUMBER_PR="","",TITLE_NUMBER_PR),TITLE_NUMBER_PR_CHANGE)</f>
        <v>Исх-260/1397</v>
      </c>
      <c r="W29" s="553"/>
      <c r="X29" s="553"/>
      <c r="Y29" s="553"/>
      <c r="Z29" s="553"/>
      <c r="AA29" s="553"/>
      <c r="AB29" s="50"/>
      <c r="AC29" s="553" t="str">
        <f>IF(TITLE_NUMBER_PR_CHANGE="",IF(TITLE_NUMBER_PR="","",TITLE_NUMBER_PR),TITLE_NUMBER_PR_CHANGE)</f>
        <v>Исх-260/1397</v>
      </c>
      <c r="AD29" s="553"/>
      <c r="AE29" s="553"/>
      <c r="AF29" s="553"/>
      <c r="AG29" s="553"/>
      <c r="AH29" s="553"/>
      <c r="AI29" s="50"/>
      <c r="AJ29" s="50"/>
      <c r="AK29" s="554"/>
      <c r="AL29" s="129"/>
      <c r="AM29" s="129"/>
      <c r="AN29" s="129"/>
      <c r="AO29" s="129"/>
      <c r="AP29" s="129"/>
      <c r="AQ29" s="184">
        <v>0</v>
      </c>
    </row>
    <row r="30" s="184" customFormat="1" ht="18.75" hidden="1" customHeight="1">
      <c r="A30" s="151"/>
      <c r="B30" s="151"/>
      <c r="C30" s="151"/>
      <c r="D30" s="151"/>
      <c r="E30" s="151"/>
      <c r="F30" s="151"/>
      <c r="G30" s="151"/>
      <c r="H30" s="151"/>
      <c r="I30" s="151"/>
      <c r="J30" s="151"/>
      <c r="K30" s="151"/>
      <c r="L30" s="490"/>
      <c r="M30" s="151"/>
      <c r="N30" s="151"/>
      <c r="O30" s="151"/>
      <c r="S30" s="551" t="s">
        <v>43</v>
      </c>
      <c r="T30" s="551"/>
      <c r="U30" s="552"/>
      <c r="V30" s="553" t="str">
        <f>IF(TITLE_IST_PUB_CHANGE="",IF(TITLE_IST_PUB="","",TITLE_IST_PUB),TITLE_IST_PUB_CHANGE)</f>
        <v/>
      </c>
      <c r="W30" s="553"/>
      <c r="X30" s="553"/>
      <c r="Y30" s="553"/>
      <c r="Z30" s="553"/>
      <c r="AA30" s="553"/>
      <c r="AB30" s="50"/>
      <c r="AC30" s="553" t="str">
        <f>IF(TITLE_IST_PUB_CHANGE="",IF(TITLE_IST_PUB="","",TITLE_IST_PUB),TITLE_IST_PUB_CHANGE)</f>
        <v/>
      </c>
      <c r="AD30" s="553"/>
      <c r="AE30" s="553"/>
      <c r="AF30" s="553"/>
      <c r="AG30" s="553"/>
      <c r="AH30" s="553"/>
      <c r="AI30" s="50"/>
      <c r="AJ30" s="50"/>
      <c r="AK30" s="554"/>
      <c r="AL30" s="129"/>
      <c r="AM30" s="129"/>
      <c r="AN30" s="129"/>
      <c r="AO30" s="129"/>
      <c r="AP30" s="129"/>
      <c r="AQ30" s="184">
        <v>0</v>
      </c>
    </row>
    <row r="31" ht="14.25" customHeight="1">
      <c r="Q31" s="548"/>
      <c r="R31" s="548"/>
      <c r="S31" s="549"/>
      <c r="T31" s="91"/>
      <c r="U31" s="91"/>
      <c r="V31" s="550"/>
      <c r="W31" s="550"/>
      <c r="X31" s="550"/>
      <c r="Y31" s="550"/>
      <c r="Z31" s="550"/>
      <c r="AA31" s="550"/>
      <c r="AB31" s="550"/>
      <c r="AC31" s="550"/>
      <c r="AD31" s="550"/>
      <c r="AE31" s="550"/>
      <c r="AF31" s="550"/>
      <c r="AG31" s="550"/>
      <c r="AH31" s="550"/>
      <c r="AI31" s="550"/>
      <c r="AJ31" s="50"/>
      <c r="AQ31" s="50">
        <v>0</v>
      </c>
    </row>
    <row r="32" s="184" customFormat="1" ht="18.75" customHeight="1">
      <c r="A32" s="151"/>
      <c r="B32" s="151"/>
      <c r="C32" s="151"/>
      <c r="D32" s="151"/>
      <c r="E32" s="151"/>
      <c r="F32" s="151"/>
      <c r="G32" s="151"/>
      <c r="H32" s="151"/>
      <c r="I32" s="151"/>
      <c r="J32" s="151"/>
      <c r="K32" s="151"/>
      <c r="L32" s="490"/>
      <c r="M32" s="151"/>
      <c r="N32" s="151"/>
      <c r="O32" s="151"/>
      <c r="S32" s="551" t="s">
        <v>427</v>
      </c>
      <c r="T32" s="551"/>
      <c r="U32" s="552"/>
      <c r="V32" s="555">
        <f>IF(TITLE_DATE_PR_CHANGE="",IF(TITLE_DATE_PR="","",TITLE_DATE_PR),TITLE_DATE_PR_CHANGE)</f>
        <v>46212.428518518522</v>
      </c>
      <c r="W32" s="555"/>
      <c r="X32" s="555"/>
      <c r="Y32" s="555"/>
      <c r="Z32" s="555"/>
      <c r="AA32" s="555"/>
      <c r="AB32" s="50"/>
      <c r="AC32" s="555">
        <f>IF(TITLE_DATE_PR_CHANGE="",IF(TITLE_DATE_PR="","",TITLE_DATE_PR),TITLE_DATE_PR_CHANGE)</f>
        <v>46212.428518518522</v>
      </c>
      <c r="AD32" s="555"/>
      <c r="AE32" s="555"/>
      <c r="AF32" s="555"/>
      <c r="AG32" s="555"/>
      <c r="AH32" s="555"/>
      <c r="AI32" s="50"/>
      <c r="AJ32" s="50"/>
      <c r="AK32" s="554"/>
      <c r="AL32" s="129"/>
      <c r="AM32" s="129"/>
      <c r="AN32" s="129"/>
      <c r="AO32" s="129"/>
      <c r="AP32" s="129"/>
      <c r="AQ32" s="184">
        <v>0</v>
      </c>
    </row>
    <row r="33" s="184" customFormat="1" ht="18.75" customHeight="1">
      <c r="A33" s="151"/>
      <c r="B33" s="151"/>
      <c r="C33" s="151"/>
      <c r="D33" s="151"/>
      <c r="E33" s="151"/>
      <c r="F33" s="151"/>
      <c r="G33" s="151"/>
      <c r="H33" s="151"/>
      <c r="I33" s="151"/>
      <c r="J33" s="151"/>
      <c r="K33" s="151"/>
      <c r="L33" s="490"/>
      <c r="M33" s="151"/>
      <c r="N33" s="151"/>
      <c r="O33" s="151"/>
      <c r="S33" s="551" t="s">
        <v>428</v>
      </c>
      <c r="T33" s="551"/>
      <c r="U33" s="552"/>
      <c r="V33" s="553" t="str">
        <f>IF(TITLE_NUMBER_PR_CHANGE="",IF(TITLE_NUMBER_PR="","",TITLE_NUMBER_PR),TITLE_NUMBER_PR_CHANGE)</f>
        <v>Исх-260/1397</v>
      </c>
      <c r="W33" s="553"/>
      <c r="X33" s="553"/>
      <c r="Y33" s="553"/>
      <c r="Z33" s="553"/>
      <c r="AA33" s="553"/>
      <c r="AB33" s="50"/>
      <c r="AC33" s="553" t="str">
        <f>IF(TITLE_NUMBER_PR_CHANGE="",IF(TITLE_NUMBER_PR="","",TITLE_NUMBER_PR),TITLE_NUMBER_PR_CHANGE)</f>
        <v>Исх-260/1397</v>
      </c>
      <c r="AD33" s="553"/>
      <c r="AE33" s="553"/>
      <c r="AF33" s="553"/>
      <c r="AG33" s="553"/>
      <c r="AH33" s="553"/>
      <c r="AI33" s="50"/>
      <c r="AJ33" s="50"/>
      <c r="AK33" s="554"/>
      <c r="AL33" s="129"/>
      <c r="AM33" s="129"/>
      <c r="AN33" s="129"/>
      <c r="AO33" s="129"/>
      <c r="AP33" s="129"/>
      <c r="AQ33" s="184">
        <v>0</v>
      </c>
    </row>
    <row r="34" s="184" customFormat="1" ht="1.05" customHeight="1">
      <c r="A34" s="151"/>
      <c r="B34" s="151"/>
      <c r="C34" s="151"/>
      <c r="D34" s="151"/>
      <c r="E34" s="151"/>
      <c r="F34" s="151"/>
      <c r="G34" s="151"/>
      <c r="H34" s="151"/>
      <c r="I34" s="151"/>
      <c r="J34" s="151"/>
      <c r="K34" s="151"/>
      <c r="L34" s="490"/>
      <c r="M34" s="151"/>
      <c r="N34" s="151"/>
      <c r="O34" s="151"/>
      <c r="S34" s="50"/>
      <c r="T34" s="50"/>
      <c r="U34" s="140"/>
      <c r="V34" s="50"/>
      <c r="W34" s="50"/>
      <c r="X34" s="50"/>
      <c r="Y34" s="50"/>
      <c r="Z34" s="50"/>
      <c r="AA34" s="50"/>
      <c r="AB34" s="57" t="s">
        <v>429</v>
      </c>
      <c r="AC34" s="50"/>
      <c r="AD34" s="50"/>
      <c r="AE34" s="50"/>
      <c r="AF34" s="50"/>
      <c r="AG34" s="50"/>
      <c r="AH34" s="50"/>
      <c r="AI34" s="57" t="s">
        <v>429</v>
      </c>
      <c r="AL34" s="129"/>
      <c r="AM34" s="129"/>
      <c r="AN34" s="129"/>
      <c r="AO34" s="129"/>
      <c r="AP34" s="129"/>
      <c r="AQ34" s="184">
        <v>1</v>
      </c>
    </row>
    <row r="35" ht="14.65" customHeight="1">
      <c r="Q35" s="548"/>
      <c r="R35" s="548"/>
      <c r="S35" s="549"/>
      <c r="T35" s="91"/>
      <c r="U35" s="556"/>
      <c r="V35" s="557"/>
      <c r="W35" s="557"/>
      <c r="X35" s="557"/>
      <c r="Y35" s="557"/>
      <c r="Z35" s="557"/>
      <c r="AA35" s="557"/>
      <c r="AB35" s="557"/>
      <c r="AC35" s="557"/>
      <c r="AD35" s="557"/>
      <c r="AE35" s="557"/>
      <c r="AF35" s="557"/>
      <c r="AG35" s="557"/>
      <c r="AH35" s="557"/>
      <c r="AI35" s="557"/>
      <c r="AQ35" s="50">
        <v>14</v>
      </c>
    </row>
    <row r="36" ht="14.65" customHeight="1">
      <c r="Q36" s="548"/>
      <c r="R36" s="548"/>
      <c r="S36" s="157" t="s">
        <v>305</v>
      </c>
      <c r="T36" s="157"/>
      <c r="U36" s="157"/>
      <c r="V36" s="157"/>
      <c r="W36" s="157"/>
      <c r="X36" s="157"/>
      <c r="Y36" s="157"/>
      <c r="Z36" s="157"/>
      <c r="AA36" s="157"/>
      <c r="AB36" s="157"/>
      <c r="AC36" s="157"/>
      <c r="AD36" s="157"/>
      <c r="AE36" s="157"/>
      <c r="AF36" s="157"/>
      <c r="AG36" s="157"/>
      <c r="AH36" s="157"/>
      <c r="AI36" s="157"/>
      <c r="AJ36" s="157"/>
      <c r="AK36" s="157" t="s">
        <v>306</v>
      </c>
      <c r="AQ36" s="50">
        <v>14</v>
      </c>
    </row>
    <row r="37" ht="14.65" customHeight="1">
      <c r="Q37" s="548"/>
      <c r="R37" s="548"/>
      <c r="S37" s="493" t="s">
        <v>89</v>
      </c>
      <c r="T37" s="358" t="s">
        <v>430</v>
      </c>
      <c r="U37" s="558"/>
      <c r="V37" s="559" t="s">
        <v>431</v>
      </c>
      <c r="W37" s="560"/>
      <c r="X37" s="560"/>
      <c r="Y37" s="560"/>
      <c r="Z37" s="560"/>
      <c r="AA37" s="561"/>
      <c r="AB37" s="562" t="s">
        <v>432</v>
      </c>
      <c r="AC37" s="559" t="s">
        <v>431</v>
      </c>
      <c r="AD37" s="560"/>
      <c r="AE37" s="560"/>
      <c r="AF37" s="560"/>
      <c r="AG37" s="560"/>
      <c r="AH37" s="561"/>
      <c r="AI37" s="562" t="s">
        <v>433</v>
      </c>
      <c r="AJ37" s="563" t="s">
        <v>434</v>
      </c>
      <c r="AK37" s="157"/>
      <c r="AQ37" s="50">
        <v>14</v>
      </c>
    </row>
    <row r="38" ht="35.649999999999999" customHeight="1">
      <c r="Q38" s="548"/>
      <c r="R38" s="548"/>
      <c r="S38" s="493"/>
      <c r="T38" s="358"/>
      <c r="U38" s="564"/>
      <c r="V38" s="320" t="s">
        <v>490</v>
      </c>
      <c r="W38" s="73" t="s">
        <v>437</v>
      </c>
      <c r="X38" s="72"/>
      <c r="Y38" s="73" t="s">
        <v>438</v>
      </c>
      <c r="Z38" s="145"/>
      <c r="AA38" s="72"/>
      <c r="AB38" s="566"/>
      <c r="AC38" s="320" t="s">
        <v>490</v>
      </c>
      <c r="AD38" s="73" t="s">
        <v>437</v>
      </c>
      <c r="AE38" s="72"/>
      <c r="AF38" s="73" t="s">
        <v>438</v>
      </c>
      <c r="AG38" s="145"/>
      <c r="AH38" s="72"/>
      <c r="AI38" s="566"/>
      <c r="AJ38" s="567"/>
      <c r="AK38" s="157"/>
      <c r="AQ38" s="50">
        <v>34</v>
      </c>
    </row>
    <row r="39" ht="35.649999999999999" customHeight="1">
      <c r="A39" s="151"/>
      <c r="B39" s="151" t="s">
        <v>135</v>
      </c>
      <c r="C39" s="151" t="s">
        <v>136</v>
      </c>
      <c r="D39" s="151" t="s">
        <v>137</v>
      </c>
      <c r="E39" s="490" t="s">
        <v>439</v>
      </c>
      <c r="F39" s="490" t="s">
        <v>440</v>
      </c>
      <c r="G39" s="490" t="s">
        <v>441</v>
      </c>
      <c r="H39" s="490"/>
      <c r="I39" s="490" t="s">
        <v>491</v>
      </c>
      <c r="J39" s="490" t="s">
        <v>444</v>
      </c>
      <c r="K39" s="490" t="s">
        <v>492</v>
      </c>
      <c r="L39" s="490" t="s">
        <v>420</v>
      </c>
      <c r="Q39" s="548"/>
      <c r="R39" s="548"/>
      <c r="S39" s="493"/>
      <c r="T39" s="358"/>
      <c r="U39" s="568"/>
      <c r="V39" s="320" t="s">
        <v>493</v>
      </c>
      <c r="W39" s="246" t="s">
        <v>494</v>
      </c>
      <c r="X39" s="246" t="s">
        <v>495</v>
      </c>
      <c r="Y39" s="246" t="s">
        <v>448</v>
      </c>
      <c r="Z39" s="424" t="s">
        <v>449</v>
      </c>
      <c r="AA39" s="426"/>
      <c r="AB39" s="570"/>
      <c r="AC39" s="320" t="s">
        <v>493</v>
      </c>
      <c r="AD39" s="246" t="s">
        <v>494</v>
      </c>
      <c r="AE39" s="246" t="s">
        <v>495</v>
      </c>
      <c r="AF39" s="246" t="s">
        <v>448</v>
      </c>
      <c r="AG39" s="424" t="s">
        <v>449</v>
      </c>
      <c r="AH39" s="426"/>
      <c r="AI39" s="570"/>
      <c r="AJ39" s="571"/>
      <c r="AK39" s="157"/>
      <c r="AQ39" s="50">
        <v>34</v>
      </c>
    </row>
    <row r="40" s="131" customFormat="1" ht="11.25" hidden="1" customHeight="1">
      <c r="A40" s="151"/>
      <c r="B40" s="151"/>
      <c r="C40" s="151"/>
      <c r="D40" s="151"/>
      <c r="E40" s="151"/>
      <c r="F40" s="151"/>
      <c r="G40" s="151"/>
      <c r="H40" s="151"/>
      <c r="I40" s="151"/>
      <c r="J40" s="151"/>
      <c r="K40" s="151"/>
      <c r="L40" s="490"/>
      <c r="M40" s="61"/>
      <c r="N40" s="61"/>
      <c r="O40" s="61"/>
      <c r="P40" s="572"/>
      <c r="Q40" s="573"/>
      <c r="R40" s="574">
        <v>1</v>
      </c>
      <c r="S40" s="575" t="s">
        <v>109</v>
      </c>
      <c r="T40" s="576" t="s">
        <v>110</v>
      </c>
      <c r="U40" s="577" t="str">
        <f ca="1">OFFSET(U40,0,-1)</f>
        <v>2</v>
      </c>
      <c r="V40" s="578">
        <f ca="1">OFFSET(V40,0,-1)+1</f>
        <v>3</v>
      </c>
      <c r="W40" s="578">
        <f ca="1">OFFSET(W40,0,-1)+1</f>
        <v>4</v>
      </c>
      <c r="X40" s="578">
        <f ca="1">OFFSET(X40,0,-1)+1</f>
        <v>5</v>
      </c>
      <c r="Y40" s="578">
        <f ca="1">OFFSET(Y40,0,-1)+1</f>
        <v>6</v>
      </c>
      <c r="Z40" s="578">
        <f ca="1">OFFSET(Z40,0,-1)+1</f>
        <v>7</v>
      </c>
      <c r="AA40" s="578"/>
      <c r="AB40" s="578">
        <f ca="1">OFFSET(AB40,0,-2)+1</f>
        <v>8</v>
      </c>
      <c r="AC40" s="578">
        <f ca="1">OFFSET(AC40,0,-1)+1</f>
        <v>9</v>
      </c>
      <c r="AD40" s="578">
        <f ca="1">OFFSET(AD40,0,-1)+1</f>
        <v>10</v>
      </c>
      <c r="AE40" s="578">
        <f ca="1">OFFSET(AE40,0,-1)+1</f>
        <v>11</v>
      </c>
      <c r="AF40" s="578">
        <f ca="1">OFFSET(AF40,0,-1)+1</f>
        <v>12</v>
      </c>
      <c r="AG40" s="578">
        <f ca="1">OFFSET(AG40,0,-1)+1</f>
        <v>13</v>
      </c>
      <c r="AH40" s="578"/>
      <c r="AI40" s="578">
        <f ca="1">OFFSET(AI40,0,-2)+1</f>
        <v>14</v>
      </c>
      <c r="AJ40" s="577">
        <f ca="1">OFFSET(AJ40,0,-1)</f>
        <v>14</v>
      </c>
      <c r="AK40" s="578">
        <f ca="1">OFFSET(AK40,0,-1)+1</f>
        <v>15</v>
      </c>
      <c r="AL40" s="57"/>
      <c r="AM40" s="57"/>
      <c r="AN40" s="57"/>
      <c r="AO40" s="57"/>
      <c r="AP40" s="57"/>
      <c r="AQ40" s="131">
        <v>0</v>
      </c>
    </row>
    <row r="41" ht="24" customHeight="1">
      <c r="A41" s="488" t="s">
        <v>231</v>
      </c>
      <c r="B41" s="488"/>
      <c r="C41" s="488"/>
      <c r="D41" s="488"/>
      <c r="E41" s="489">
        <v>1</v>
      </c>
      <c r="F41" s="488"/>
      <c r="G41" s="488"/>
      <c r="H41" s="488"/>
      <c r="I41" s="488"/>
      <c r="J41" s="488"/>
      <c r="K41" s="488"/>
      <c r="L41" s="490"/>
      <c r="M41" s="491"/>
      <c r="N41" s="491"/>
      <c r="O41" s="491"/>
      <c r="P41" s="60"/>
      <c r="Q41" s="143"/>
      <c r="R41" s="492"/>
      <c r="S41" s="493">
        <f>INDEX(PT_DIFFERENTIATION_NUM_NTAR,MATCH(A41,PT_DIFFERENTIATION_NTAR_ID,0))</f>
        <v>0</v>
      </c>
      <c r="T41" s="494" t="s">
        <v>123</v>
      </c>
      <c r="U41" s="495"/>
      <c r="V41" s="496"/>
      <c r="W41" s="497"/>
      <c r="X41" s="497"/>
      <c r="Y41" s="497"/>
      <c r="Z41" s="497"/>
      <c r="AA41" s="497"/>
      <c r="AB41" s="498"/>
      <c r="AC41" s="496" t="str">
        <f>INDEX(PT_DIFFERENTIATION_NTAR,MATCH(A41,PT_DIFFERENTIATION_NTAR_ID,0))</f>
        <v/>
      </c>
      <c r="AD41" s="497"/>
      <c r="AE41" s="497"/>
      <c r="AF41" s="497"/>
      <c r="AG41" s="497"/>
      <c r="AH41" s="497"/>
      <c r="AI41" s="497"/>
      <c r="AJ41" s="498"/>
      <c r="AK41" s="4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129"/>
      <c r="AN41" s="129" t="str">
        <f t="shared" si="24"/>
        <v xml:space="preserve">Наименование тарифа</v>
      </c>
      <c r="AO41" s="129"/>
      <c r="AP41" s="129"/>
      <c r="AQ41" s="50">
        <v>23</v>
      </c>
    </row>
    <row r="42" ht="24" customHeight="1">
      <c r="A42" s="488" t="s">
        <v>231</v>
      </c>
      <c r="B42" s="488" t="s">
        <v>232</v>
      </c>
      <c r="C42" s="488"/>
      <c r="D42" s="488"/>
      <c r="E42" s="500"/>
      <c r="F42" s="489">
        <v>1</v>
      </c>
      <c r="G42" s="488"/>
      <c r="H42" s="488"/>
      <c r="I42" s="488"/>
      <c r="J42" s="488"/>
      <c r="K42" s="488"/>
      <c r="L42" s="490"/>
      <c r="M42" s="491"/>
      <c r="N42" s="491"/>
      <c r="O42" s="491"/>
      <c r="P42" s="51"/>
      <c r="Q42" s="501"/>
      <c r="R42" s="502"/>
      <c r="S42" s="493" t="str">
        <f>INDEX(PT_DIFFERENTIATION_NUM_TER,MATCH(B42,PT_DIFFERENTIATION_TER_ID,0))</f>
        <v>.</v>
      </c>
      <c r="T42" s="503" t="s">
        <v>402</v>
      </c>
      <c r="U42" s="495"/>
      <c r="V42" s="496"/>
      <c r="W42" s="497"/>
      <c r="X42" s="497"/>
      <c r="Y42" s="497"/>
      <c r="Z42" s="497"/>
      <c r="AA42" s="497"/>
      <c r="AB42" s="498"/>
      <c r="AC42" s="496" t="str">
        <f>INDEX(PT_DIFFERENTIATION_TER,MATCH(B42,PT_DIFFERENTIATION_TER_ID,0))</f>
        <v/>
      </c>
      <c r="AD42" s="497"/>
      <c r="AE42" s="497"/>
      <c r="AF42" s="497"/>
      <c r="AG42" s="497"/>
      <c r="AH42" s="497"/>
      <c r="AI42" s="497"/>
      <c r="AJ42" s="498"/>
      <c r="AK42" s="499" t="s">
        <v>403</v>
      </c>
      <c r="AM42" s="129"/>
      <c r="AN42" s="129" t="str">
        <f t="shared" si="24"/>
        <v xml:space="preserve">Территория действия тарифа</v>
      </c>
      <c r="AO42" s="129"/>
      <c r="AP42" s="129"/>
      <c r="AQ42" s="50">
        <v>23</v>
      </c>
    </row>
    <row r="43" ht="24" customHeight="1">
      <c r="A43" s="488" t="s">
        <v>231</v>
      </c>
      <c r="B43" s="488" t="s">
        <v>232</v>
      </c>
      <c r="C43" s="488" t="s">
        <v>233</v>
      </c>
      <c r="D43" s="488"/>
      <c r="E43" s="500"/>
      <c r="F43" s="500"/>
      <c r="G43" s="489">
        <v>1</v>
      </c>
      <c r="H43" s="488"/>
      <c r="I43" s="488"/>
      <c r="J43" s="488"/>
      <c r="K43" s="488"/>
      <c r="L43" s="490"/>
      <c r="M43" s="491"/>
      <c r="N43" s="491"/>
      <c r="O43" s="491"/>
      <c r="P43" s="504"/>
      <c r="Q43" s="501"/>
      <c r="R43" s="502"/>
      <c r="S43" s="493" t="str">
        <f>INDEX(PT_DIFFERENTIATION_NUM_CS,MATCH(C43,PT_DIFFERENTIATION_CS_ID,0))</f>
        <v>..</v>
      </c>
      <c r="T43" s="505" t="s">
        <v>482</v>
      </c>
      <c r="U43" s="495"/>
      <c r="V43" s="496"/>
      <c r="W43" s="497"/>
      <c r="X43" s="497"/>
      <c r="Y43" s="497"/>
      <c r="Z43" s="497"/>
      <c r="AA43" s="497"/>
      <c r="AB43" s="498"/>
      <c r="AC43" s="496" t="str">
        <f>INDEX(PT_DIFFERENTIATION_CS,MATCH(C43,PT_DIFFERENTIATION_CS_ID,0))</f>
        <v/>
      </c>
      <c r="AD43" s="497"/>
      <c r="AE43" s="497"/>
      <c r="AF43" s="497"/>
      <c r="AG43" s="497"/>
      <c r="AH43" s="497"/>
      <c r="AI43" s="497"/>
      <c r="AJ43" s="498"/>
      <c r="AK43" s="499" t="s">
        <v>483</v>
      </c>
      <c r="AM43" s="129"/>
      <c r="AN43" s="129" t="str">
        <f t="shared" si="24"/>
        <v xml:space="preserve">Наименование централизованной системы холодного водоснабжения</v>
      </c>
      <c r="AO43" s="129"/>
      <c r="AP43" s="129"/>
      <c r="AQ43" s="50">
        <v>23</v>
      </c>
    </row>
    <row r="44" ht="24" customHeight="1">
      <c r="A44" s="488" t="s">
        <v>231</v>
      </c>
      <c r="B44" s="488" t="s">
        <v>232</v>
      </c>
      <c r="C44" s="488" t="s">
        <v>233</v>
      </c>
      <c r="D44" s="488" t="s">
        <v>496</v>
      </c>
      <c r="E44" s="500"/>
      <c r="F44" s="500"/>
      <c r="G44" s="500"/>
      <c r="H44" s="500"/>
      <c r="I44" s="507" t="str">
        <f>S43&amp;".1"</f>
        <v>...1</v>
      </c>
      <c r="J44" s="488"/>
      <c r="K44" s="488"/>
      <c r="L44" s="490"/>
      <c r="P44" s="132">
        <v>1</v>
      </c>
      <c r="Q44" s="132"/>
      <c r="R44" s="508"/>
      <c r="S44" s="493" t="str">
        <f>$I44</f>
        <v>...1</v>
      </c>
      <c r="T44" s="509" t="s">
        <v>484</v>
      </c>
      <c r="U44" s="495"/>
      <c r="V44" s="685"/>
      <c r="W44" s="686"/>
      <c r="X44" s="686"/>
      <c r="Y44" s="686"/>
      <c r="Z44" s="686"/>
      <c r="AA44" s="686"/>
      <c r="AB44" s="687"/>
      <c r="AC44" s="688"/>
      <c r="AD44" s="689"/>
      <c r="AE44" s="689"/>
      <c r="AF44" s="689"/>
      <c r="AG44" s="689"/>
      <c r="AH44" s="689"/>
      <c r="AI44" s="689"/>
      <c r="AJ44" s="690"/>
      <c r="AK44" s="499" t="s">
        <v>485</v>
      </c>
      <c r="AM44" s="129"/>
      <c r="AN44" s="129" t="str">
        <f t="shared" si="24"/>
        <v xml:space="preserve">Наименование признака дифференциации</v>
      </c>
      <c r="AO44" s="129"/>
      <c r="AP44" s="129"/>
      <c r="AQ44" s="50">
        <v>23</v>
      </c>
    </row>
    <row r="45" ht="24" customHeight="1">
      <c r="A45" s="488" t="s">
        <v>231</v>
      </c>
      <c r="B45" s="488" t="s">
        <v>232</v>
      </c>
      <c r="C45" s="488" t="s">
        <v>233</v>
      </c>
      <c r="D45" s="488" t="s">
        <v>496</v>
      </c>
      <c r="E45" s="500"/>
      <c r="F45" s="500"/>
      <c r="G45" s="500"/>
      <c r="H45" s="500"/>
      <c r="I45" s="512"/>
      <c r="J45" s="507" t="str">
        <f>I44&amp;".1"</f>
        <v>...1.1</v>
      </c>
      <c r="K45" s="488"/>
      <c r="L45" s="490" t="s">
        <v>411</v>
      </c>
      <c r="P45" s="132"/>
      <c r="Q45" s="132">
        <v>1</v>
      </c>
      <c r="R45" s="513"/>
      <c r="S45" s="493" t="str">
        <f>$J45</f>
        <v>...1.1</v>
      </c>
      <c r="T45" s="514" t="s">
        <v>412</v>
      </c>
      <c r="U45" s="495"/>
      <c r="V45" s="440"/>
      <c r="W45" s="510"/>
      <c r="X45" s="510"/>
      <c r="Y45" s="510"/>
      <c r="Z45" s="510"/>
      <c r="AA45" s="510"/>
      <c r="AB45" s="511"/>
      <c r="AC45" s="440"/>
      <c r="AD45" s="510"/>
      <c r="AE45" s="510"/>
      <c r="AF45" s="510"/>
      <c r="AG45" s="510"/>
      <c r="AH45" s="510"/>
      <c r="AI45" s="510"/>
      <c r="AJ45" s="511"/>
      <c r="AK45" s="626" t="s">
        <v>486</v>
      </c>
      <c r="AM45" s="129"/>
      <c r="AN45" s="129" t="str">
        <f t="shared" si="24"/>
        <v xml:space="preserve">Группа потребителей</v>
      </c>
      <c r="AO45" s="129"/>
      <c r="AP45" s="129"/>
      <c r="AQ45" s="50">
        <v>23</v>
      </c>
    </row>
    <row r="46" ht="24" customHeight="1">
      <c r="A46" s="488" t="s">
        <v>231</v>
      </c>
      <c r="B46" s="488" t="s">
        <v>232</v>
      </c>
      <c r="C46" s="488" t="s">
        <v>233</v>
      </c>
      <c r="D46" s="488" t="s">
        <v>496</v>
      </c>
      <c r="E46" s="500"/>
      <c r="F46" s="500"/>
      <c r="G46" s="500"/>
      <c r="H46" s="500"/>
      <c r="I46" s="512"/>
      <c r="J46" s="512"/>
      <c r="K46" s="507" t="str">
        <f>J45&amp;".1"</f>
        <v>...1.1.1</v>
      </c>
      <c r="L46" s="490"/>
      <c r="P46" s="132"/>
      <c r="Q46" s="132"/>
      <c r="R46" s="513">
        <v>1</v>
      </c>
      <c r="S46" s="493" t="str">
        <f>$K46</f>
        <v>...1.1.1</v>
      </c>
      <c r="T46" s="691"/>
      <c r="U46" s="495"/>
      <c r="V46" s="542"/>
      <c r="W46" s="542"/>
      <c r="X46" s="543"/>
      <c r="Y46" s="544"/>
      <c r="Z46" s="545" t="s">
        <v>67</v>
      </c>
      <c r="AA46" s="544"/>
      <c r="AB46" s="545" t="s">
        <v>67</v>
      </c>
      <c r="AC46" s="516"/>
      <c r="AD46" s="516"/>
      <c r="AE46" s="518"/>
      <c r="AF46" s="519"/>
      <c r="AG46" s="224" t="s">
        <v>67</v>
      </c>
      <c r="AH46" s="579"/>
      <c r="AI46" s="224" t="s">
        <v>19</v>
      </c>
      <c r="AJ46" s="692"/>
      <c r="AK46" s="69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 t="e">
        <f>STRCHECKDATE(V47:AJ47)</f>
        <v>#NAME?</v>
      </c>
      <c r="AM46" s="129"/>
      <c r="AN46" s="129" t="str">
        <f t="shared" si="24"/>
        <v/>
      </c>
      <c r="AO46" s="129"/>
      <c r="AP46" s="129"/>
      <c r="AQ46" s="50">
        <v>23</v>
      </c>
    </row>
    <row r="47" ht="0" customHeight="1">
      <c r="A47" s="488" t="s">
        <v>231</v>
      </c>
      <c r="B47" s="488" t="s">
        <v>232</v>
      </c>
      <c r="C47" s="488" t="s">
        <v>233</v>
      </c>
      <c r="D47" s="488" t="s">
        <v>496</v>
      </c>
      <c r="E47" s="500"/>
      <c r="F47" s="500"/>
      <c r="G47" s="500"/>
      <c r="H47" s="500"/>
      <c r="I47" s="512"/>
      <c r="J47" s="512"/>
      <c r="K47" s="507"/>
      <c r="L47" s="490"/>
      <c r="P47" s="132"/>
      <c r="Q47" s="132"/>
      <c r="R47" s="513"/>
      <c r="S47" s="467"/>
      <c r="T47" s="495"/>
      <c r="U47" s="495"/>
      <c r="V47" s="542"/>
      <c r="W47" s="542"/>
      <c r="X47" s="521" t="str">
        <f>Y46&amp;"-"&amp;AA46</f>
        <v>-</v>
      </c>
      <c r="Y47" s="545"/>
      <c r="Z47" s="545"/>
      <c r="AA47" s="545"/>
      <c r="AB47" s="545"/>
      <c r="AC47" s="517"/>
      <c r="AD47" s="517"/>
      <c r="AE47" s="521" t="str">
        <f>AF46&amp;"-"&amp;AH46</f>
        <v>-</v>
      </c>
      <c r="AF47" s="522"/>
      <c r="AG47" s="224"/>
      <c r="AH47" s="581"/>
      <c r="AI47" s="224"/>
      <c r="AJ47" s="694"/>
      <c r="AK47" s="693"/>
      <c r="AM47" s="129"/>
      <c r="AN47" s="129" t="str">
        <f t="shared" si="24"/>
        <v/>
      </c>
      <c r="AO47" s="129"/>
      <c r="AP47" s="129"/>
      <c r="AQ47" s="50">
        <v>0</v>
      </c>
    </row>
    <row r="48" ht="21" customHeight="1">
      <c r="A48" s="488" t="s">
        <v>231</v>
      </c>
      <c r="B48" s="488" t="s">
        <v>232</v>
      </c>
      <c r="C48" s="488" t="s">
        <v>233</v>
      </c>
      <c r="D48" s="488" t="s">
        <v>496</v>
      </c>
      <c r="E48" s="500"/>
      <c r="F48" s="500"/>
      <c r="G48" s="500"/>
      <c r="H48" s="500"/>
      <c r="I48" s="512"/>
      <c r="J48" s="507"/>
      <c r="K48" s="488"/>
      <c r="L48" s="490"/>
      <c r="P48" s="132"/>
      <c r="Q48" s="132"/>
      <c r="R48" s="508"/>
      <c r="S48" s="524"/>
      <c r="T48" s="528" t="s">
        <v>487</v>
      </c>
      <c r="U48" s="214"/>
      <c r="V48" s="214"/>
      <c r="W48" s="214"/>
      <c r="X48" s="214"/>
      <c r="Y48" s="214"/>
      <c r="Z48" s="214"/>
      <c r="AA48" s="214"/>
      <c r="AB48" s="214"/>
      <c r="AC48" s="214"/>
      <c r="AD48" s="214"/>
      <c r="AE48" s="214"/>
      <c r="AF48" s="214"/>
      <c r="AG48" s="214"/>
      <c r="AH48" s="214"/>
      <c r="AI48" s="214"/>
      <c r="AJ48" s="214"/>
      <c r="AK48" s="499" t="s">
        <v>488</v>
      </c>
      <c r="AM48" s="129"/>
      <c r="AN48" s="129" t="str">
        <f t="shared" si="24"/>
        <v xml:space="preserve">Добавить значение признака дифференциации</v>
      </c>
      <c r="AO48" s="129"/>
      <c r="AP48" s="129"/>
      <c r="AQ48" s="50">
        <v>20</v>
      </c>
    </row>
    <row r="49" ht="22" customHeight="1">
      <c r="A49" s="488" t="s">
        <v>231</v>
      </c>
      <c r="B49" s="488" t="s">
        <v>232</v>
      </c>
      <c r="C49" s="488" t="s">
        <v>233</v>
      </c>
      <c r="D49" s="488" t="s">
        <v>496</v>
      </c>
      <c r="E49" s="500"/>
      <c r="F49" s="500"/>
      <c r="G49" s="500"/>
      <c r="H49" s="500"/>
      <c r="I49" s="507"/>
      <c r="J49" s="488"/>
      <c r="K49" s="488"/>
      <c r="L49" s="490"/>
      <c r="P49" s="132"/>
      <c r="Q49" s="132"/>
      <c r="R49" s="508"/>
      <c r="S49" s="524"/>
      <c r="T49" s="532" t="s">
        <v>417</v>
      </c>
      <c r="U49" s="214"/>
      <c r="V49" s="214"/>
      <c r="W49" s="214"/>
      <c r="X49" s="214"/>
      <c r="Y49" s="214"/>
      <c r="Z49" s="214"/>
      <c r="AA49" s="214"/>
      <c r="AB49" s="529"/>
      <c r="AC49" s="214"/>
      <c r="AD49" s="214"/>
      <c r="AE49" s="214"/>
      <c r="AF49" s="214"/>
      <c r="AG49" s="214"/>
      <c r="AH49" s="214"/>
      <c r="AI49" s="529"/>
      <c r="AJ49" s="214"/>
      <c r="AK49" s="695"/>
      <c r="AM49" s="129"/>
      <c r="AN49" s="129" t="str">
        <f t="shared" si="24"/>
        <v xml:space="preserve">Добавить группу потребителей</v>
      </c>
      <c r="AO49" s="129"/>
      <c r="AP49" s="129"/>
      <c r="AQ49" s="50">
        <v>21</v>
      </c>
    </row>
    <row r="50" ht="22" customHeight="1">
      <c r="A50" s="488" t="s">
        <v>231</v>
      </c>
      <c r="B50" s="488" t="s">
        <v>232</v>
      </c>
      <c r="C50" s="488" t="s">
        <v>233</v>
      </c>
      <c r="D50" s="488" t="s">
        <v>496</v>
      </c>
      <c r="E50" s="500"/>
      <c r="F50" s="500"/>
      <c r="G50" s="500"/>
      <c r="H50" s="489"/>
      <c r="I50" s="488"/>
      <c r="J50" s="488"/>
      <c r="K50" s="488"/>
      <c r="L50" s="490"/>
      <c r="M50" s="491"/>
      <c r="N50" s="491"/>
      <c r="O50" s="53"/>
      <c r="P50" s="143"/>
      <c r="Q50" s="531"/>
      <c r="R50" s="492"/>
      <c r="S50" s="524"/>
      <c r="T50" s="696" t="s">
        <v>489</v>
      </c>
      <c r="U50" s="214"/>
      <c r="V50" s="214"/>
      <c r="W50" s="214"/>
      <c r="X50" s="214"/>
      <c r="Y50" s="214"/>
      <c r="Z50" s="214"/>
      <c r="AA50" s="214"/>
      <c r="AB50" s="529"/>
      <c r="AC50" s="214"/>
      <c r="AD50" s="214"/>
      <c r="AE50" s="214"/>
      <c r="AF50" s="214"/>
      <c r="AG50" s="214"/>
      <c r="AH50" s="214"/>
      <c r="AI50" s="529"/>
      <c r="AJ50" s="214"/>
      <c r="AK50" s="530"/>
      <c r="AM50" s="129"/>
      <c r="AN50" s="129" t="str">
        <f t="shared" si="24"/>
        <v xml:space="preserve">Добавить наименование признака дифференциации</v>
      </c>
      <c r="AO50" s="129"/>
      <c r="AP50" s="129"/>
      <c r="AQ50" s="50">
        <v>21</v>
      </c>
    </row>
    <row r="51" s="57" customFormat="1" ht="0" customHeight="1">
      <c r="A51" s="133" t="s">
        <v>231</v>
      </c>
      <c r="B51" s="133" t="s">
        <v>232</v>
      </c>
      <c r="C51" s="133"/>
      <c r="D51" s="133"/>
      <c r="E51" s="500"/>
      <c r="F51" s="489"/>
      <c r="G51" s="133"/>
      <c r="H51" s="133"/>
      <c r="I51" s="133"/>
      <c r="J51" s="133"/>
      <c r="K51" s="133"/>
      <c r="L51" s="212"/>
      <c r="M51" s="537"/>
      <c r="N51" s="537"/>
      <c r="P51" s="167"/>
      <c r="Q51" s="533"/>
      <c r="R51" s="167"/>
      <c r="S51" s="538"/>
      <c r="T51" s="541" t="s">
        <v>212</v>
      </c>
      <c r="U51" s="540"/>
      <c r="V51" s="540"/>
      <c r="W51" s="540"/>
      <c r="X51" s="540"/>
      <c r="Y51" s="540"/>
      <c r="Z51" s="540"/>
      <c r="AA51" s="540"/>
      <c r="AB51" s="540"/>
      <c r="AC51" s="540"/>
      <c r="AD51" s="540"/>
      <c r="AE51" s="540"/>
      <c r="AF51" s="540"/>
      <c r="AG51" s="540"/>
      <c r="AH51" s="540"/>
      <c r="AI51" s="540"/>
      <c r="AJ51" s="540"/>
      <c r="AK51" s="540"/>
      <c r="AM51" s="129"/>
      <c r="AN51" s="129" t="str">
        <f t="shared" si="24"/>
        <v xml:space="preserve">Добавить централизованную систему для дифференциации</v>
      </c>
      <c r="AO51" s="129"/>
      <c r="AP51" s="129"/>
      <c r="AQ51" s="57">
        <v>0</v>
      </c>
    </row>
    <row r="52" s="57" customFormat="1" ht="0" customHeight="1">
      <c r="A52" s="133" t="s">
        <v>231</v>
      </c>
      <c r="B52" s="133"/>
      <c r="C52" s="133"/>
      <c r="D52" s="133"/>
      <c r="E52" s="489"/>
      <c r="F52" s="133"/>
      <c r="G52" s="133"/>
      <c r="H52" s="133"/>
      <c r="I52" s="133"/>
      <c r="J52" s="133"/>
      <c r="K52" s="133"/>
      <c r="L52" s="212"/>
      <c r="M52" s="537"/>
      <c r="N52" s="537"/>
      <c r="O52" s="57"/>
      <c r="P52" s="167"/>
      <c r="Q52" s="533"/>
      <c r="R52" s="167"/>
      <c r="S52" s="538"/>
      <c r="T52" s="541" t="s">
        <v>213</v>
      </c>
      <c r="U52" s="540"/>
      <c r="V52" s="540"/>
      <c r="W52" s="540"/>
      <c r="X52" s="540"/>
      <c r="Y52" s="540"/>
      <c r="Z52" s="540"/>
      <c r="AA52" s="540"/>
      <c r="AB52" s="540"/>
      <c r="AC52" s="540"/>
      <c r="AD52" s="540"/>
      <c r="AE52" s="540"/>
      <c r="AF52" s="540"/>
      <c r="AG52" s="540"/>
      <c r="AH52" s="540"/>
      <c r="AI52" s="540"/>
      <c r="AJ52" s="540"/>
      <c r="AK52" s="540"/>
      <c r="AM52" s="129"/>
      <c r="AN52" s="129" t="str">
        <f t="shared" si="24"/>
        <v xml:space="preserve">Добавить территорию для дифференциации</v>
      </c>
      <c r="AO52" s="129"/>
      <c r="AP52" s="129"/>
      <c r="AQ52" s="57">
        <v>0</v>
      </c>
    </row>
    <row r="53" s="57" customFormat="1" ht="0" customHeight="1">
      <c r="A53" s="133"/>
      <c r="B53" s="133"/>
      <c r="C53" s="133"/>
      <c r="D53" s="133"/>
      <c r="E53" s="133"/>
      <c r="F53" s="133"/>
      <c r="G53" s="133"/>
      <c r="H53" s="133"/>
      <c r="I53" s="133"/>
      <c r="J53" s="133"/>
      <c r="K53" s="133"/>
      <c r="L53" s="212"/>
      <c r="M53" s="537"/>
      <c r="N53" s="537"/>
      <c r="P53" s="167"/>
      <c r="Q53" s="533"/>
      <c r="R53" s="167"/>
      <c r="S53" s="538"/>
      <c r="T53" s="541" t="s">
        <v>214</v>
      </c>
      <c r="U53" s="540"/>
      <c r="V53" s="540"/>
      <c r="W53" s="540"/>
      <c r="X53" s="540"/>
      <c r="Y53" s="540"/>
      <c r="Z53" s="540"/>
      <c r="AA53" s="540"/>
      <c r="AB53" s="540"/>
      <c r="AC53" s="540"/>
      <c r="AD53" s="540"/>
      <c r="AE53" s="540"/>
      <c r="AF53" s="540"/>
      <c r="AG53" s="540"/>
      <c r="AH53" s="540"/>
      <c r="AI53" s="540"/>
      <c r="AJ53" s="540"/>
      <c r="AK53" s="540"/>
      <c r="AM53" s="129"/>
      <c r="AN53" s="129" t="str">
        <f t="shared" si="24"/>
        <v xml:space="preserve">Добавить наименование тарифа</v>
      </c>
      <c r="AO53" s="129"/>
      <c r="AP53" s="129"/>
      <c r="AQ53" s="57">
        <v>0</v>
      </c>
    </row>
    <row r="54" ht="11.5" customHeight="1">
      <c r="M54" s="53"/>
      <c r="N54" s="53"/>
      <c r="O54" s="53"/>
      <c r="P54" s="50"/>
      <c r="Q54" s="50"/>
      <c r="R54" s="50"/>
      <c r="S54" s="50"/>
      <c r="AL54" s="50"/>
      <c r="AM54" s="50"/>
      <c r="AN54" s="50"/>
      <c r="AO54" s="50"/>
      <c r="AP54" s="50"/>
      <c r="AQ54" s="50">
        <v>11</v>
      </c>
    </row>
    <row r="55" ht="14.65" customHeight="1">
      <c r="O55" s="53"/>
      <c r="S55" s="485"/>
      <c r="T55" s="583"/>
      <c r="U55" s="583"/>
      <c r="V55" s="583"/>
      <c r="W55" s="583"/>
      <c r="X55" s="583"/>
      <c r="Y55" s="583"/>
      <c r="Z55" s="583"/>
      <c r="AA55" s="583"/>
      <c r="AB55" s="583"/>
      <c r="AC55" s="583"/>
      <c r="AD55" s="583"/>
      <c r="AE55" s="583"/>
      <c r="AF55" s="583"/>
      <c r="AG55" s="583"/>
      <c r="AH55" s="583"/>
      <c r="AI55" s="583"/>
      <c r="AJ55" s="583"/>
      <c r="AK55" s="583"/>
      <c r="AQ55" s="50">
        <v>14</v>
      </c>
    </row>
    <row r="56" ht="14.65" customHeight="1">
      <c r="O56" s="53"/>
      <c r="AQ56" s="50">
        <v>14</v>
      </c>
    </row>
    <row r="57" ht="14.65" customHeight="1">
      <c r="O57" s="53"/>
      <c r="S57" s="485"/>
      <c r="T57" s="583"/>
      <c r="U57" s="583"/>
      <c r="V57" s="583"/>
      <c r="W57" s="583"/>
      <c r="X57" s="583"/>
      <c r="Y57" s="583"/>
      <c r="Z57" s="583"/>
      <c r="AA57" s="583"/>
      <c r="AB57" s="583"/>
      <c r="AC57" s="583"/>
      <c r="AD57" s="583"/>
      <c r="AE57" s="583"/>
      <c r="AF57" s="583"/>
      <c r="AG57" s="583"/>
      <c r="AH57" s="583"/>
      <c r="AI57" s="583"/>
      <c r="AJ57" s="583"/>
      <c r="AK57" s="583"/>
      <c r="AQ57" s="50">
        <v>14</v>
      </c>
    </row>
    <row r="58" ht="22.5" hidden="1" customHeight="1">
      <c r="A58" s="53" t="s">
        <v>83</v>
      </c>
      <c r="B58" s="53">
        <v>0</v>
      </c>
      <c r="C58" s="53">
        <v>0</v>
      </c>
      <c r="D58" s="53">
        <v>0</v>
      </c>
      <c r="E58" s="53">
        <v>0</v>
      </c>
      <c r="F58" s="53">
        <v>0</v>
      </c>
      <c r="G58" s="53">
        <v>0</v>
      </c>
      <c r="H58" s="53">
        <v>0</v>
      </c>
      <c r="I58" s="53">
        <v>0</v>
      </c>
      <c r="J58" s="53">
        <v>0</v>
      </c>
      <c r="K58" s="53">
        <v>0</v>
      </c>
      <c r="L58" s="113">
        <v>0</v>
      </c>
      <c r="M58" s="61">
        <v>0</v>
      </c>
      <c r="N58" s="61">
        <v>0</v>
      </c>
      <c r="O58" s="61">
        <v>0</v>
      </c>
      <c r="P58" s="60">
        <v>3</v>
      </c>
      <c r="Q58" s="487">
        <v>3</v>
      </c>
      <c r="R58" s="487">
        <v>3</v>
      </c>
      <c r="S58" s="86">
        <v>12</v>
      </c>
      <c r="T58" s="50">
        <v>35</v>
      </c>
      <c r="U58" s="50">
        <v>0</v>
      </c>
      <c r="V58" s="50">
        <v>0</v>
      </c>
      <c r="W58" s="50">
        <v>0</v>
      </c>
      <c r="X58" s="50">
        <v>0</v>
      </c>
      <c r="Y58" s="50">
        <v>0</v>
      </c>
      <c r="Z58" s="50">
        <v>0</v>
      </c>
      <c r="AA58" s="50">
        <v>0</v>
      </c>
      <c r="AB58" s="50">
        <v>0</v>
      </c>
      <c r="AC58" s="50">
        <v>24</v>
      </c>
      <c r="AD58" s="50">
        <v>24</v>
      </c>
      <c r="AE58" s="50">
        <v>24</v>
      </c>
      <c r="AF58" s="50">
        <v>11</v>
      </c>
      <c r="AG58" s="50">
        <v>3</v>
      </c>
      <c r="AH58" s="50">
        <v>11</v>
      </c>
      <c r="AI58" s="50">
        <v>0</v>
      </c>
      <c r="AJ58" s="50">
        <v>4</v>
      </c>
      <c r="AK58" s="50">
        <v>115</v>
      </c>
      <c r="AL58" s="57">
        <v>10</v>
      </c>
      <c r="AM58" s="57">
        <v>10</v>
      </c>
      <c r="AN58" s="57">
        <v>10</v>
      </c>
      <c r="AO58" s="57">
        <v>10</v>
      </c>
      <c r="AP58" s="57">
        <v>10</v>
      </c>
      <c r="AQ58" s="50">
        <v>23</v>
      </c>
    </row>
  </sheetData>
  <sheetProtection autoFilter="0" deleteColumns="1" deleteRows="1" formatCells="1" formatColumns="0" formatRows="0" insertColumns="1" insertHyperlinks="1" insertRows="1" objects="0" pivotTables="1" scenarios="0" selectLockedCells="0" selectUnlockedCells="0" sheet="1" sort="1"/>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Z7:Z8"/>
    <mergeCell ref="AA7:AA8"/>
    <mergeCell ref="AB7:AB8"/>
    <mergeCell ref="AF7:AF8"/>
    <mergeCell ref="AG7:AG8"/>
    <mergeCell ref="AH7:AH8"/>
    <mergeCell ref="AI7:AI8"/>
    <mergeCell ref="AK7:AK8"/>
    <mergeCell ref="AF15:AF16"/>
    <mergeCell ref="AG15:AG16"/>
    <mergeCell ref="AH15:AH16"/>
    <mergeCell ref="AI15:AI16"/>
    <mergeCell ref="S24:AH24"/>
    <mergeCell ref="S25:AH25"/>
    <mergeCell ref="S27:T27"/>
    <mergeCell ref="V27:AA27"/>
    <mergeCell ref="AC27:AH27"/>
    <mergeCell ref="S28:T28"/>
    <mergeCell ref="V28:AA28"/>
    <mergeCell ref="AC28:AH28"/>
    <mergeCell ref="S29:T29"/>
    <mergeCell ref="V29:AA29"/>
    <mergeCell ref="AC29:AH29"/>
    <mergeCell ref="S30:T30"/>
    <mergeCell ref="V30:AA30"/>
    <mergeCell ref="AC30:AH30"/>
    <mergeCell ref="S32:T32"/>
    <mergeCell ref="V32:AA32"/>
    <mergeCell ref="AC32:AH32"/>
    <mergeCell ref="S33:T33"/>
    <mergeCell ref="V33:AA33"/>
    <mergeCell ref="AC33:AH33"/>
    <mergeCell ref="V35:AB35"/>
    <mergeCell ref="AC35:AI35"/>
    <mergeCell ref="S36:AJ36"/>
    <mergeCell ref="AK36:AK39"/>
    <mergeCell ref="S37:S39"/>
    <mergeCell ref="T37:T39"/>
    <mergeCell ref="V37:AA37"/>
    <mergeCell ref="AB37:AB39"/>
    <mergeCell ref="AC37:AH37"/>
    <mergeCell ref="AI37:AI39"/>
    <mergeCell ref="AJ37:AJ39"/>
    <mergeCell ref="W38:X38"/>
    <mergeCell ref="Y38:AA38"/>
    <mergeCell ref="AD38:AE38"/>
    <mergeCell ref="AF38:AH38"/>
    <mergeCell ref="Z39:AA39"/>
    <mergeCell ref="AG39:AH39"/>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K46:K47"/>
    <mergeCell ref="Y46:Y47"/>
    <mergeCell ref="Z46:Z47"/>
    <mergeCell ref="AA46:AA47"/>
    <mergeCell ref="AB46:AB47"/>
    <mergeCell ref="AF46:AF47"/>
    <mergeCell ref="AG46:AG47"/>
    <mergeCell ref="AH46:AH47"/>
    <mergeCell ref="AI46:AI47"/>
    <mergeCell ref="AK46:AK47"/>
    <mergeCell ref="T55:AK55"/>
    <mergeCell ref="T57:AK57"/>
  </mergeCells>
  <dataValidations count="4" disablePrompts="0">
    <dataValidation sqref="S131116:AK131122 S196652:AK196658 S262188:AK262194 S327724:AK327730 S393260:AK393266 S458796:AK458802 S524332:AK524338 S589868:AK589874 S655404:AK655410 S720940:AK720946 S786476:AK786482 S852012:AK852018 S917548:AK917554 S983084:AK983090 S65580:AK65586" type="none" allowBlank="1" errorStyle="stop" imeMode="noControl" operator="between" showDropDown="0" showErrorMessage="0" showInputMessage="0"/>
    <dataValidation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type="none" allowBlank="1" errorStyle="stop" imeMode="noControl" operator="between" promptTitle="checkPeriodRange"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820080-0085-40CD-90D5-007F000E00F2}"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V983081:AJ983081 V65577:AJ65577 V131113:AJ131113 V196649:AJ196649 V262185:AJ262185 V327721:AJ327721 V393257:AJ393257 V458793:AJ458793 V524329:AJ524329 V589865:AJ589865 V655401:AJ655401 V720937:AJ720937 V786473:AJ786473 V852009:AJ852009 V917545:AJ917545</xm:sqref>
        </x14:dataValidation>
        <x14:dataValidation xr:uid="{0008004C-00CF-421D-8FF7-007900540091}" type="list" allowBlank="1" error="Выберите значение из списка" errorStyle="stop" errorTitle="Ошибка" imeMode="noControl" operator="between" showDropDown="0" showErrorMessage="1" showInputMessage="1">
          <x14:formula1>
            <xm:f>kind_of_heat_transfer</xm:f>
          </x14:formula1>
          <xm:sqref>T65578 T131114 T196650 T262186 T327722 T393258 T458794 T524330 T589866 T655402 T720938 T786474 T852010 T917546 T983082</xm:sqref>
        </x14:dataValidation>
        <x14:dataValidation xr:uid="{001100D0-0099-4D51-A602-00EB002D0085}" type="textLength" allowBlank="1" error="Допускается ввод не более 900 символов!" errorStyle="stop" errorTitle="Ошибка" imeMode="noControl" operator="lessThanOrEqual" showDropDown="0" showErrorMessage="1" showInputMessage="1">
          <x14:formula1>
            <xm:f>900</xm:f>
          </x14:formula1>
          <xm: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xm:sqref>
        </x14:dataValidation>
        <x14:dataValidation xr:uid="{00950046-00F1-49A3-91BF-006200FC00D4}" type="list" allowBlank="1" error="Выберите значение из списка" errorStyle="stop" errorTitle="Ошибка" imeMode="noControl" operator="between" showDropDown="0" showErrorMessage="1" showInputMessage="1">
          <x14:formula1>
            <xm:f>kind_of_scheme_in</xm:f>
          </x14:formula1>
          <xm:sqref>V983080 V65576 V131112 V196648 V262184 V327720 V393256 V458792 V524328 V589864 V655400 V720936 V786472 V852008 V917544 AC983080 AC65576 AC131112 AC196648 AC262184 AC327720 AC393256 AC458792 AC524328 AC589864 AC655400 AC720936 AC786472 AC852008 AC917544</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zoomScale="90" workbookViewId="0">
      <pane xSplit="28" ySplit="40" topLeftCell="AC41" activePane="bottomRight" state="frozen"/>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4.140625"/>
    <col customWidth="1" hidden="1" min="10" max="10" style="53" width="9.8515625"/>
    <col customWidth="1" hidden="1" min="11" max="11" style="53" width="14.7109375"/>
    <col customWidth="1" hidden="1" min="12" max="12" style="113" width="19.140625"/>
    <col customWidth="1" hidden="1" min="13" max="14" style="61" width="12.28125"/>
    <col customWidth="1" hidden="1" min="15" max="15" style="61" width="23.421875"/>
    <col customWidth="1" min="16" max="16" style="60" width="3.00390625"/>
    <col customWidth="1" min="17" max="18" style="487" width="3.00390625"/>
    <col customWidth="1" min="19" max="19" style="86" width="12.00390625"/>
    <col customWidth="1" min="20" max="20" style="50" width="35.00390625"/>
    <col customWidth="1" min="21" max="21" style="50" width="0.140625"/>
    <col customWidth="1" hidden="1" min="22" max="24" style="50" width="24.7109375"/>
    <col customWidth="1" hidden="1" min="25" max="25" style="50" width="11.7109375"/>
    <col customWidth="1" hidden="1" min="26" max="26" style="50" width="3.7109375"/>
    <col customWidth="1" hidden="1" min="27" max="27" style="50" width="11.7109375"/>
    <col customWidth="1" hidden="1" min="28" max="28" style="50" width="8.57421875"/>
    <col customWidth="1" min="29" max="29" style="50" width="24.7109375"/>
    <col customWidth="1" min="30" max="31" style="50" width="24.00390625"/>
    <col customWidth="1" min="32" max="32" style="50" width="11.00390625"/>
    <col customWidth="1" min="33" max="33" style="50" width="3.7109375"/>
    <col customWidth="1" min="34" max="34" style="50" width="11.00390625"/>
    <col customWidth="1" hidden="1" min="35" max="35" style="50" width="8.57421875"/>
    <col customWidth="1" min="36" max="36" style="50" width="4.00390625"/>
    <col customWidth="1" min="37" max="37" style="50" width="115.00390625"/>
    <col customWidth="1" min="38" max="42" style="57" width="10.00390625"/>
    <col hidden="1" min="43" max="43" style="50" width="10.57421875"/>
  </cols>
  <sheetData>
    <row r="1" ht="22.5" hidden="1" customHeight="1">
      <c r="X1" s="50"/>
      <c r="Y1" s="50"/>
      <c r="AE1" s="50"/>
      <c r="AF1" s="50"/>
      <c r="AQ1" s="50" t="s">
        <v>14</v>
      </c>
    </row>
    <row r="2" ht="23.25" hidden="1" customHeight="1">
      <c r="A2" s="488"/>
      <c r="B2" s="488"/>
      <c r="C2" s="488"/>
      <c r="D2" s="488"/>
      <c r="E2" s="489">
        <v>1</v>
      </c>
      <c r="F2" s="488"/>
      <c r="G2" s="488"/>
      <c r="H2" s="488"/>
      <c r="I2" s="488"/>
      <c r="J2" s="488"/>
      <c r="K2" s="488"/>
      <c r="L2" s="490"/>
      <c r="M2" s="491"/>
      <c r="N2" s="491"/>
      <c r="O2" s="491"/>
      <c r="P2" s="60"/>
      <c r="Q2" s="143"/>
      <c r="R2" s="492"/>
      <c r="S2" s="493" t="e">
        <f>INDEX(PT_DIFFERENTIATION_NUM_NTAR,MATCH(A2,PT_DIFFERENTIATION_NTAR_ID,0))</f>
        <v>#VALUE!</v>
      </c>
      <c r="T2" s="494" t="s">
        <v>123</v>
      </c>
      <c r="U2" s="495"/>
      <c r="V2" s="496"/>
      <c r="W2" s="497"/>
      <c r="X2" s="497"/>
      <c r="Y2" s="497"/>
      <c r="Z2" s="497"/>
      <c r="AA2" s="497"/>
      <c r="AB2" s="498"/>
      <c r="AC2" s="496" t="e">
        <f>INDEX(PT_DIFFERENTIATION_NTAR,MATCH(A2,PT_DIFFERENTIATION_NTAR_ID,0))</f>
        <v>#VALUE!</v>
      </c>
      <c r="AD2" s="497"/>
      <c r="AE2" s="497"/>
      <c r="AF2" s="497"/>
      <c r="AG2" s="497"/>
      <c r="AH2" s="497"/>
      <c r="AI2" s="497"/>
      <c r="AJ2" s="498"/>
      <c r="AK2" s="4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129"/>
      <c r="AN2" s="129" t="str">
        <f t="shared" ref="AN2:AN9" si="25">IF(T2="","",T2)</f>
        <v xml:space="preserve">Наименование тарифа</v>
      </c>
      <c r="AO2" s="129"/>
      <c r="AP2" s="129"/>
      <c r="AQ2" s="50">
        <v>0</v>
      </c>
    </row>
    <row r="3" ht="23.25" hidden="1" customHeight="1">
      <c r="A3" s="488"/>
      <c r="B3" s="488"/>
      <c r="C3" s="488"/>
      <c r="D3" s="488"/>
      <c r="E3" s="500"/>
      <c r="F3" s="489">
        <v>1</v>
      </c>
      <c r="G3" s="488"/>
      <c r="H3" s="488"/>
      <c r="I3" s="488"/>
      <c r="J3" s="488"/>
      <c r="K3" s="488"/>
      <c r="L3" s="490"/>
      <c r="M3" s="491"/>
      <c r="N3" s="491"/>
      <c r="O3" s="491"/>
      <c r="P3" s="51"/>
      <c r="Q3" s="501"/>
      <c r="R3" s="502"/>
      <c r="S3" s="493" t="e">
        <f>INDEX(PT_DIFFERENTIATION_NUM_TER,MATCH(B3,PT_DIFFERENTIATION_TER_ID,0))</f>
        <v>#VALUE!</v>
      </c>
      <c r="T3" s="503" t="s">
        <v>402</v>
      </c>
      <c r="U3" s="495"/>
      <c r="V3" s="496"/>
      <c r="W3" s="497"/>
      <c r="X3" s="497"/>
      <c r="Y3" s="497"/>
      <c r="Z3" s="497"/>
      <c r="AA3" s="497"/>
      <c r="AB3" s="498"/>
      <c r="AC3" s="496" t="e">
        <f>INDEX(PT_DIFFERENTIATION_TER,MATCH(B3,PT_DIFFERENTIATION_TER_ID,0))</f>
        <v>#VALUE!</v>
      </c>
      <c r="AD3" s="497"/>
      <c r="AE3" s="497"/>
      <c r="AF3" s="497"/>
      <c r="AG3" s="497"/>
      <c r="AH3" s="497"/>
      <c r="AI3" s="497"/>
      <c r="AJ3" s="498"/>
      <c r="AK3" s="499" t="s">
        <v>403</v>
      </c>
      <c r="AM3" s="129"/>
      <c r="AN3" s="129" t="str">
        <f t="shared" si="25"/>
        <v xml:space="preserve">Территория действия тарифа</v>
      </c>
      <c r="AO3" s="129"/>
      <c r="AP3" s="129"/>
      <c r="AQ3" s="50">
        <v>0</v>
      </c>
    </row>
    <row r="4" ht="23.25" hidden="1" customHeight="1">
      <c r="A4" s="488"/>
      <c r="B4" s="488"/>
      <c r="C4" s="488"/>
      <c r="D4" s="488"/>
      <c r="E4" s="500"/>
      <c r="F4" s="500"/>
      <c r="G4" s="489">
        <v>1</v>
      </c>
      <c r="H4" s="488"/>
      <c r="I4" s="488"/>
      <c r="J4" s="488"/>
      <c r="K4" s="488"/>
      <c r="L4" s="490"/>
      <c r="M4" s="491"/>
      <c r="N4" s="491"/>
      <c r="O4" s="491"/>
      <c r="P4" s="504"/>
      <c r="Q4" s="501"/>
      <c r="R4" s="502"/>
      <c r="S4" s="493" t="e">
        <f>INDEX(PT_DIFFERENTIATION_NUM_CS,MATCH(C4,PT_DIFFERENTIATION_CS_ID,0))</f>
        <v>#VALUE!</v>
      </c>
      <c r="T4" s="505" t="s">
        <v>482</v>
      </c>
      <c r="U4" s="495"/>
      <c r="V4" s="496"/>
      <c r="W4" s="497"/>
      <c r="X4" s="497"/>
      <c r="Y4" s="497"/>
      <c r="Z4" s="497"/>
      <c r="AA4" s="497"/>
      <c r="AB4" s="498"/>
      <c r="AC4" s="496" t="e">
        <f>INDEX(PT_DIFFERENTIATION_CS,MATCH(C4,PT_DIFFERENTIATION_CS_ID,0))</f>
        <v>#VALUE!</v>
      </c>
      <c r="AD4" s="497"/>
      <c r="AE4" s="497"/>
      <c r="AF4" s="497"/>
      <c r="AG4" s="497"/>
      <c r="AH4" s="497"/>
      <c r="AI4" s="497"/>
      <c r="AJ4" s="498"/>
      <c r="AK4" s="499" t="s">
        <v>483</v>
      </c>
      <c r="AM4" s="129"/>
      <c r="AN4" s="129" t="str">
        <f t="shared" si="25"/>
        <v xml:space="preserve">Наименование централизованной системы холодного водоснабжения</v>
      </c>
      <c r="AO4" s="129"/>
      <c r="AP4" s="129"/>
      <c r="AQ4" s="50">
        <v>0</v>
      </c>
    </row>
    <row r="5" ht="23.25" hidden="1" customHeight="1">
      <c r="A5" s="488"/>
      <c r="B5" s="488"/>
      <c r="C5" s="488"/>
      <c r="D5" s="488"/>
      <c r="E5" s="500"/>
      <c r="F5" s="500"/>
      <c r="G5" s="500"/>
      <c r="H5" s="500"/>
      <c r="I5" s="507" t="e">
        <f>S4&amp;".1"</f>
        <v>#VALUE!</v>
      </c>
      <c r="J5" s="488"/>
      <c r="K5" s="488"/>
      <c r="L5" s="490"/>
      <c r="P5" s="132">
        <v>1</v>
      </c>
      <c r="Q5" s="132"/>
      <c r="R5" s="508"/>
      <c r="S5" s="493" t="e">
        <f>$I5</f>
        <v>#VALUE!</v>
      </c>
      <c r="T5" s="509" t="s">
        <v>484</v>
      </c>
      <c r="U5" s="495"/>
      <c r="V5" s="685"/>
      <c r="W5" s="686"/>
      <c r="X5" s="686"/>
      <c r="Y5" s="686"/>
      <c r="Z5" s="686"/>
      <c r="AA5" s="686"/>
      <c r="AB5" s="687"/>
      <c r="AC5" s="688"/>
      <c r="AD5" s="689"/>
      <c r="AE5" s="689"/>
      <c r="AF5" s="689"/>
      <c r="AG5" s="689"/>
      <c r="AH5" s="689"/>
      <c r="AI5" s="689"/>
      <c r="AJ5" s="690"/>
      <c r="AK5" s="499" t="s">
        <v>485</v>
      </c>
      <c r="AM5" s="129"/>
      <c r="AN5" s="129" t="str">
        <f t="shared" si="25"/>
        <v xml:space="preserve">Наименование признака дифференциации</v>
      </c>
      <c r="AO5" s="129"/>
      <c r="AP5" s="129"/>
      <c r="AQ5" s="50">
        <v>0</v>
      </c>
    </row>
    <row r="6" ht="23.25" hidden="1" customHeight="1">
      <c r="A6" s="488"/>
      <c r="B6" s="488"/>
      <c r="C6" s="488"/>
      <c r="D6" s="488"/>
      <c r="E6" s="500"/>
      <c r="F6" s="500"/>
      <c r="G6" s="500"/>
      <c r="H6" s="500"/>
      <c r="I6" s="512"/>
      <c r="J6" s="507" t="e">
        <f>I5&amp;".1"</f>
        <v>#VALUE!</v>
      </c>
      <c r="K6" s="488"/>
      <c r="L6" s="490" t="s">
        <v>411</v>
      </c>
      <c r="P6" s="132"/>
      <c r="Q6" s="132">
        <v>1</v>
      </c>
      <c r="R6" s="513"/>
      <c r="S6" s="493" t="e">
        <f>$J6</f>
        <v>#VALUE!</v>
      </c>
      <c r="T6" s="514" t="s">
        <v>412</v>
      </c>
      <c r="U6" s="495"/>
      <c r="V6" s="440"/>
      <c r="W6" s="510"/>
      <c r="X6" s="510"/>
      <c r="Y6" s="510"/>
      <c r="Z6" s="510"/>
      <c r="AA6" s="510"/>
      <c r="AB6" s="511"/>
      <c r="AC6" s="440"/>
      <c r="AD6" s="510"/>
      <c r="AE6" s="510"/>
      <c r="AF6" s="510"/>
      <c r="AG6" s="510"/>
      <c r="AH6" s="510"/>
      <c r="AI6" s="510"/>
      <c r="AJ6" s="511"/>
      <c r="AK6" s="626" t="s">
        <v>486</v>
      </c>
      <c r="AM6" s="129"/>
      <c r="AN6" s="129" t="str">
        <f t="shared" si="25"/>
        <v xml:space="preserve">Группа потребителей</v>
      </c>
      <c r="AO6" s="129"/>
      <c r="AP6" s="129"/>
      <c r="AQ6" s="50">
        <v>0</v>
      </c>
    </row>
    <row r="7" ht="23.25" hidden="1" customHeight="1">
      <c r="A7" s="488"/>
      <c r="B7" s="488"/>
      <c r="C7" s="488"/>
      <c r="D7" s="488"/>
      <c r="E7" s="500"/>
      <c r="F7" s="500"/>
      <c r="G7" s="500"/>
      <c r="H7" s="500"/>
      <c r="I7" s="512"/>
      <c r="J7" s="512"/>
      <c r="K7" s="507" t="e">
        <f>J6&amp;".1"</f>
        <v>#VALUE!</v>
      </c>
      <c r="L7" s="490"/>
      <c r="P7" s="132"/>
      <c r="Q7" s="132"/>
      <c r="R7" s="513">
        <v>1</v>
      </c>
      <c r="S7" s="493" t="e">
        <f>$K7</f>
        <v>#VALUE!</v>
      </c>
      <c r="T7" s="691"/>
      <c r="U7" s="495"/>
      <c r="V7" s="516"/>
      <c r="W7" s="516"/>
      <c r="X7" s="518"/>
      <c r="Y7" s="519"/>
      <c r="Z7" s="224" t="s">
        <v>67</v>
      </c>
      <c r="AA7" s="519"/>
      <c r="AB7" s="224" t="s">
        <v>67</v>
      </c>
      <c r="AC7" s="516"/>
      <c r="AD7" s="516"/>
      <c r="AE7" s="518"/>
      <c r="AF7" s="519"/>
      <c r="AG7" s="224" t="s">
        <v>67</v>
      </c>
      <c r="AH7" s="579"/>
      <c r="AI7" s="224" t="s">
        <v>67</v>
      </c>
      <c r="AJ7" s="692"/>
      <c r="AK7" s="69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 t="e">
        <f>STRCHECKDATE(V8:AJ8)</f>
        <v>#NAME?</v>
      </c>
      <c r="AM7" s="129"/>
      <c r="AN7" s="129" t="str">
        <f t="shared" si="25"/>
        <v/>
      </c>
      <c r="AO7" s="129"/>
      <c r="AP7" s="129"/>
      <c r="AQ7" s="50">
        <v>0</v>
      </c>
    </row>
    <row r="8" ht="14.25" hidden="1" customHeight="1">
      <c r="A8" s="488"/>
      <c r="B8" s="488"/>
      <c r="C8" s="488"/>
      <c r="D8" s="488"/>
      <c r="E8" s="500"/>
      <c r="F8" s="500"/>
      <c r="G8" s="500"/>
      <c r="H8" s="500"/>
      <c r="I8" s="512"/>
      <c r="J8" s="512"/>
      <c r="K8" s="507"/>
      <c r="L8" s="490"/>
      <c r="P8" s="132"/>
      <c r="Q8" s="132"/>
      <c r="R8" s="513"/>
      <c r="S8" s="467"/>
      <c r="T8" s="495"/>
      <c r="U8" s="495"/>
      <c r="V8" s="517"/>
      <c r="W8" s="517"/>
      <c r="X8" s="521" t="str">
        <f>Y7&amp;"-"&amp;AA7</f>
        <v>-</v>
      </c>
      <c r="Y8" s="522"/>
      <c r="Z8" s="224"/>
      <c r="AA8" s="522"/>
      <c r="AB8" s="224"/>
      <c r="AC8" s="517"/>
      <c r="AD8" s="517"/>
      <c r="AE8" s="521" t="str">
        <f>AF7&amp;"-"&amp;AH7</f>
        <v>-</v>
      </c>
      <c r="AF8" s="522"/>
      <c r="AG8" s="224"/>
      <c r="AH8" s="581"/>
      <c r="AI8" s="224"/>
      <c r="AJ8" s="694"/>
      <c r="AK8" s="693"/>
      <c r="AM8" s="129"/>
      <c r="AN8" s="129" t="str">
        <f t="shared" si="25"/>
        <v/>
      </c>
      <c r="AO8" s="129"/>
      <c r="AP8" s="129"/>
      <c r="AQ8" s="50">
        <v>0</v>
      </c>
    </row>
    <row r="9" ht="21" hidden="1" customHeight="1">
      <c r="A9" s="488"/>
      <c r="B9" s="488"/>
      <c r="C9" s="488"/>
      <c r="D9" s="488"/>
      <c r="E9" s="500"/>
      <c r="F9" s="500"/>
      <c r="G9" s="500"/>
      <c r="H9" s="500"/>
      <c r="I9" s="512"/>
      <c r="J9" s="507"/>
      <c r="K9" s="488"/>
      <c r="L9" s="490"/>
      <c r="P9" s="132"/>
      <c r="Q9" s="132"/>
      <c r="R9" s="508"/>
      <c r="S9" s="524"/>
      <c r="T9" s="528" t="s">
        <v>487</v>
      </c>
      <c r="U9" s="214"/>
      <c r="V9" s="214"/>
      <c r="W9" s="214"/>
      <c r="X9" s="214"/>
      <c r="Y9" s="214"/>
      <c r="Z9" s="214"/>
      <c r="AA9" s="214"/>
      <c r="AB9" s="214"/>
      <c r="AC9" s="214"/>
      <c r="AD9" s="214"/>
      <c r="AE9" s="214"/>
      <c r="AF9" s="214"/>
      <c r="AG9" s="214"/>
      <c r="AH9" s="214"/>
      <c r="AI9" s="214"/>
      <c r="AJ9" s="214"/>
      <c r="AK9" s="499" t="s">
        <v>488</v>
      </c>
      <c r="AM9" s="129"/>
      <c r="AN9" s="129" t="str">
        <f t="shared" si="25"/>
        <v xml:space="preserve">Добавить значение признака дифференциации</v>
      </c>
      <c r="AO9" s="129"/>
      <c r="AP9" s="129"/>
      <c r="AQ9" s="50">
        <v>0</v>
      </c>
    </row>
    <row r="10" ht="21" hidden="1" customHeight="1">
      <c r="A10" s="488"/>
      <c r="B10" s="488"/>
      <c r="C10" s="488"/>
      <c r="D10" s="488"/>
      <c r="E10" s="500"/>
      <c r="F10" s="500"/>
      <c r="G10" s="500"/>
      <c r="H10" s="500"/>
      <c r="I10" s="507"/>
      <c r="J10" s="488"/>
      <c r="K10" s="488"/>
      <c r="L10" s="490"/>
      <c r="P10" s="132"/>
      <c r="Q10" s="132"/>
      <c r="R10" s="508"/>
      <c r="S10" s="524"/>
      <c r="T10" s="532" t="s">
        <v>417</v>
      </c>
      <c r="U10" s="214"/>
      <c r="V10" s="214"/>
      <c r="W10" s="214"/>
      <c r="X10" s="214"/>
      <c r="Y10" s="214"/>
      <c r="Z10" s="214"/>
      <c r="AA10" s="214"/>
      <c r="AB10" s="529"/>
      <c r="AC10" s="214"/>
      <c r="AD10" s="214"/>
      <c r="AE10" s="214"/>
      <c r="AF10" s="214"/>
      <c r="AG10" s="214"/>
      <c r="AH10" s="214"/>
      <c r="AI10" s="529"/>
      <c r="AJ10" s="214"/>
      <c r="AK10" s="695"/>
      <c r="AM10" s="129"/>
      <c r="AN10" s="129" t="str">
        <f t="shared" ref="AN10:AN53" si="26">IF(T10="","",T10)</f>
        <v xml:space="preserve">Добавить группу потребителей</v>
      </c>
      <c r="AO10" s="129"/>
      <c r="AP10" s="129"/>
      <c r="AQ10" s="50">
        <v>0</v>
      </c>
    </row>
    <row r="11" ht="21" hidden="1" customHeight="1">
      <c r="A11" s="488"/>
      <c r="B11" s="488"/>
      <c r="C11" s="488"/>
      <c r="D11" s="488"/>
      <c r="E11" s="500"/>
      <c r="F11" s="500"/>
      <c r="G11" s="500"/>
      <c r="H11" s="489"/>
      <c r="I11" s="488"/>
      <c r="J11" s="488"/>
      <c r="K11" s="488"/>
      <c r="L11" s="490"/>
      <c r="M11" s="491"/>
      <c r="N11" s="491"/>
      <c r="O11" s="53"/>
      <c r="P11" s="143"/>
      <c r="Q11" s="531"/>
      <c r="R11" s="492"/>
      <c r="S11" s="524"/>
      <c r="T11" s="696" t="s">
        <v>489</v>
      </c>
      <c r="U11" s="214"/>
      <c r="V11" s="214"/>
      <c r="W11" s="214"/>
      <c r="X11" s="214"/>
      <c r="Y11" s="214"/>
      <c r="Z11" s="214"/>
      <c r="AA11" s="214"/>
      <c r="AB11" s="529"/>
      <c r="AC11" s="214"/>
      <c r="AD11" s="214"/>
      <c r="AE11" s="214"/>
      <c r="AF11" s="214"/>
      <c r="AG11" s="214"/>
      <c r="AH11" s="214"/>
      <c r="AI11" s="529"/>
      <c r="AJ11" s="214"/>
      <c r="AK11" s="530"/>
      <c r="AM11" s="129"/>
      <c r="AN11" s="129" t="str">
        <f t="shared" si="26"/>
        <v xml:space="preserve">Добавить наименование признака дифференциации</v>
      </c>
      <c r="AO11" s="129"/>
      <c r="AP11" s="129"/>
      <c r="AQ11" s="50">
        <v>0</v>
      </c>
    </row>
    <row r="12" s="57" customFormat="1" ht="14.25" hidden="1" customHeight="1">
      <c r="A12" s="133"/>
      <c r="B12" s="133"/>
      <c r="C12" s="133"/>
      <c r="D12" s="133"/>
      <c r="E12" s="500"/>
      <c r="F12" s="489"/>
      <c r="G12" s="133"/>
      <c r="H12" s="133"/>
      <c r="I12" s="133"/>
      <c r="J12" s="133"/>
      <c r="K12" s="133"/>
      <c r="L12" s="212"/>
      <c r="M12" s="537"/>
      <c r="N12" s="537"/>
      <c r="P12" s="167"/>
      <c r="Q12" s="533"/>
      <c r="R12" s="167"/>
      <c r="S12" s="538"/>
      <c r="T12" s="541" t="s">
        <v>212</v>
      </c>
      <c r="U12" s="540"/>
      <c r="V12" s="540"/>
      <c r="W12" s="540"/>
      <c r="X12" s="540"/>
      <c r="Y12" s="540"/>
      <c r="Z12" s="540"/>
      <c r="AA12" s="540"/>
      <c r="AB12" s="540"/>
      <c r="AC12" s="540"/>
      <c r="AD12" s="540"/>
      <c r="AE12" s="540"/>
      <c r="AF12" s="540"/>
      <c r="AG12" s="540"/>
      <c r="AH12" s="540"/>
      <c r="AI12" s="540"/>
      <c r="AJ12" s="540"/>
      <c r="AK12" s="540"/>
      <c r="AM12" s="129"/>
      <c r="AN12" s="129" t="str">
        <f t="shared" si="26"/>
        <v xml:space="preserve">Добавить централизованную систему для дифференциации</v>
      </c>
      <c r="AO12" s="129"/>
      <c r="AP12" s="129"/>
      <c r="AQ12" s="57">
        <v>0</v>
      </c>
    </row>
    <row r="13" s="57" customFormat="1" ht="14.25" hidden="1" customHeight="1">
      <c r="A13" s="133"/>
      <c r="B13" s="133"/>
      <c r="C13" s="133"/>
      <c r="D13" s="133"/>
      <c r="E13" s="489"/>
      <c r="F13" s="133"/>
      <c r="G13" s="133"/>
      <c r="H13" s="133"/>
      <c r="I13" s="133"/>
      <c r="J13" s="133"/>
      <c r="K13" s="133"/>
      <c r="L13" s="212"/>
      <c r="M13" s="537"/>
      <c r="N13" s="537"/>
      <c r="O13" s="57"/>
      <c r="P13" s="167"/>
      <c r="Q13" s="533"/>
      <c r="R13" s="167"/>
      <c r="S13" s="538"/>
      <c r="T13" s="541" t="s">
        <v>213</v>
      </c>
      <c r="U13" s="540"/>
      <c r="V13" s="540"/>
      <c r="W13" s="540"/>
      <c r="X13" s="540"/>
      <c r="Y13" s="540"/>
      <c r="Z13" s="540"/>
      <c r="AA13" s="540"/>
      <c r="AB13" s="540"/>
      <c r="AC13" s="540"/>
      <c r="AD13" s="540"/>
      <c r="AE13" s="540"/>
      <c r="AF13" s="540"/>
      <c r="AG13" s="540"/>
      <c r="AH13" s="540"/>
      <c r="AI13" s="540"/>
      <c r="AJ13" s="540"/>
      <c r="AK13" s="540"/>
      <c r="AM13" s="129"/>
      <c r="AN13" s="129" t="str">
        <f t="shared" si="26"/>
        <v xml:space="preserve">Добавить территорию для дифференциации</v>
      </c>
      <c r="AO13" s="129"/>
      <c r="AP13" s="129"/>
      <c r="AQ13" s="57">
        <v>0</v>
      </c>
    </row>
    <row r="14" ht="14.25" hidden="1" customHeight="1">
      <c r="AB14" s="50"/>
      <c r="AI14" s="50"/>
      <c r="AQ14" s="50">
        <v>0</v>
      </c>
    </row>
    <row r="15" ht="14.25" hidden="1" customHeight="1">
      <c r="AC15" s="542"/>
      <c r="AD15" s="542"/>
      <c r="AE15" s="543"/>
      <c r="AF15" s="544"/>
      <c r="AG15" s="545" t="s">
        <v>67</v>
      </c>
      <c r="AH15" s="544"/>
      <c r="AI15" s="545" t="s">
        <v>67</v>
      </c>
      <c r="AQ15" s="50">
        <v>0</v>
      </c>
    </row>
    <row r="16" ht="14.25" hidden="1" customHeight="1">
      <c r="AC16" s="542"/>
      <c r="AD16" s="542"/>
      <c r="AE16" s="521" t="str">
        <f>AF15&amp;"-"&amp;AH15</f>
        <v>-</v>
      </c>
      <c r="AF16" s="545"/>
      <c r="AG16" s="545"/>
      <c r="AH16" s="545"/>
      <c r="AI16" s="545"/>
      <c r="AQ16" s="50">
        <v>0</v>
      </c>
    </row>
    <row r="17" ht="14.25" hidden="1" customHeight="1">
      <c r="AI17" s="50"/>
      <c r="AQ17" s="50">
        <v>0</v>
      </c>
    </row>
    <row r="18" s="53" customFormat="1" ht="22.5" hidden="1" customHeight="1">
      <c r="L18" s="113"/>
      <c r="M18" s="61"/>
      <c r="N18" s="61"/>
      <c r="O18" s="546" t="s">
        <v>419</v>
      </c>
      <c r="P18" s="61"/>
      <c r="Q18" s="547"/>
      <c r="R18" s="547"/>
      <c r="S18" s="491"/>
      <c r="Y18" s="546"/>
      <c r="AA18" s="546"/>
      <c r="AB18" s="53"/>
      <c r="AF18" s="546"/>
      <c r="AH18" s="546"/>
      <c r="AI18" s="53"/>
      <c r="AL18" s="57"/>
      <c r="AM18" s="57"/>
      <c r="AN18" s="57"/>
      <c r="AO18" s="57"/>
      <c r="AP18" s="57"/>
      <c r="AQ18" s="53">
        <v>0</v>
      </c>
    </row>
    <row r="19" s="53" customFormat="1" ht="14.25" hidden="1" customHeight="1">
      <c r="L19" s="113"/>
      <c r="M19" s="61"/>
      <c r="N19" s="61"/>
      <c r="O19" s="61"/>
      <c r="P19" s="61"/>
      <c r="Q19" s="547"/>
      <c r="R19" s="547"/>
      <c r="S19" s="491"/>
      <c r="AB19" s="53"/>
      <c r="AI19" s="53"/>
      <c r="AL19" s="57"/>
      <c r="AM19" s="57"/>
      <c r="AN19" s="57"/>
      <c r="AO19" s="57"/>
      <c r="AP19" s="57"/>
      <c r="AQ19" s="53">
        <v>0</v>
      </c>
    </row>
    <row r="20" s="53" customFormat="1" ht="12" hidden="1" customHeight="1">
      <c r="L20" s="113"/>
      <c r="M20" s="61"/>
      <c r="N20" s="61"/>
      <c r="O20" s="490" t="s">
        <v>420</v>
      </c>
      <c r="P20" s="61"/>
      <c r="Q20" s="697"/>
      <c r="R20" s="697"/>
      <c r="S20" s="491"/>
      <c r="T20" s="53" t="s">
        <v>421</v>
      </c>
      <c r="Z20" s="151" t="s">
        <v>422</v>
      </c>
      <c r="AB20" s="151" t="s">
        <v>423</v>
      </c>
      <c r="AC20" s="53" t="s">
        <v>421</v>
      </c>
      <c r="AG20" s="151" t="s">
        <v>424</v>
      </c>
      <c r="AI20" s="151" t="s">
        <v>423</v>
      </c>
      <c r="AQ20" s="53">
        <v>0</v>
      </c>
    </row>
    <row r="21" ht="14.25" hidden="1" customHeight="1">
      <c r="O21" s="490"/>
      <c r="AQ21" s="50">
        <v>0</v>
      </c>
    </row>
    <row r="22" ht="14.25" hidden="1" customHeight="1">
      <c r="O22" s="490"/>
      <c r="AQ22" s="50">
        <v>0</v>
      </c>
    </row>
    <row r="23" ht="14.65" customHeight="1">
      <c r="Q23" s="548"/>
      <c r="R23" s="548"/>
      <c r="S23" s="549"/>
      <c r="T23" s="91"/>
      <c r="U23" s="91"/>
      <c r="V23" s="50"/>
      <c r="W23" s="50"/>
      <c r="X23" s="50"/>
      <c r="Y23" s="50"/>
      <c r="Z23" s="50"/>
      <c r="AA23" s="50"/>
      <c r="AB23" s="50"/>
      <c r="AC23" s="50"/>
      <c r="AD23" s="50"/>
      <c r="AE23" s="50"/>
      <c r="AF23" s="50"/>
      <c r="AG23" s="50"/>
      <c r="AH23" s="50"/>
      <c r="AI23" s="50"/>
      <c r="AQ23" s="50">
        <v>14</v>
      </c>
    </row>
    <row r="24" ht="14.65" customHeight="1">
      <c r="Q24" s="548"/>
      <c r="R24" s="548"/>
      <c r="S24" s="461" t="str">
        <f>IF(TEMPLATE_GROUP="P",PT_P_FORM_COLDVSNA_4_NAME_FORM,PT_R_FORM_COLDVSNA_16_NAME_FORM)</f>
        <v xml:space="preserve">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461"/>
      <c r="U24" s="461"/>
      <c r="V24" s="461"/>
      <c r="W24" s="461"/>
      <c r="X24" s="461"/>
      <c r="Y24" s="461"/>
      <c r="Z24" s="461"/>
      <c r="AA24" s="461"/>
      <c r="AB24" s="461"/>
      <c r="AC24" s="461"/>
      <c r="AD24" s="461"/>
      <c r="AE24" s="461"/>
      <c r="AF24" s="461"/>
      <c r="AG24" s="461"/>
      <c r="AH24" s="461"/>
      <c r="AI24" s="240"/>
      <c r="AQ24" s="50">
        <v>14</v>
      </c>
    </row>
    <row r="25" ht="14.65" customHeight="1">
      <c r="Q25" s="548"/>
      <c r="R25" s="548"/>
      <c r="S25" s="316" t="str">
        <f>IF(org=0,"Не определено",org)</f>
        <v xml:space="preserve">АО "ДГК"</v>
      </c>
      <c r="T25" s="316"/>
      <c r="U25" s="316"/>
      <c r="V25" s="316"/>
      <c r="W25" s="316"/>
      <c r="X25" s="316"/>
      <c r="Y25" s="316"/>
      <c r="Z25" s="316"/>
      <c r="AA25" s="316"/>
      <c r="AB25" s="316"/>
      <c r="AC25" s="316"/>
      <c r="AD25" s="316"/>
      <c r="AE25" s="316"/>
      <c r="AF25" s="316"/>
      <c r="AG25" s="316"/>
      <c r="AH25" s="316"/>
      <c r="AI25" s="240"/>
      <c r="AQ25" s="50">
        <v>14</v>
      </c>
    </row>
    <row r="26" ht="14.25" hidden="1" customHeight="1">
      <c r="Q26" s="548"/>
      <c r="R26" s="548"/>
      <c r="S26" s="549"/>
      <c r="T26" s="91"/>
      <c r="U26" s="91"/>
      <c r="V26" s="550"/>
      <c r="W26" s="550"/>
      <c r="X26" s="550"/>
      <c r="Y26" s="550"/>
      <c r="Z26" s="550"/>
      <c r="AA26" s="550"/>
      <c r="AB26" s="550"/>
      <c r="AC26" s="550"/>
      <c r="AD26" s="550"/>
      <c r="AE26" s="550"/>
      <c r="AF26" s="550"/>
      <c r="AG26" s="550"/>
      <c r="AH26" s="550"/>
      <c r="AI26" s="550"/>
      <c r="AJ26" s="50"/>
      <c r="AQ26" s="50">
        <v>0</v>
      </c>
    </row>
    <row r="27" s="184" customFormat="1" ht="25.5" hidden="1" customHeight="1">
      <c r="A27" s="151"/>
      <c r="B27" s="151"/>
      <c r="C27" s="151"/>
      <c r="D27" s="151"/>
      <c r="E27" s="151"/>
      <c r="F27" s="151"/>
      <c r="G27" s="151"/>
      <c r="H27" s="151"/>
      <c r="I27" s="151"/>
      <c r="J27" s="151"/>
      <c r="K27" s="151"/>
      <c r="L27" s="490"/>
      <c r="M27" s="151"/>
      <c r="N27" s="151"/>
      <c r="O27" s="151"/>
      <c r="S27" s="551" t="s">
        <v>42</v>
      </c>
      <c r="T27" s="551"/>
      <c r="U27" s="552"/>
      <c r="V27" s="553" t="str">
        <f>IF(TITLE_NAME_OR_PR_CHANGE="",IF(TITLE_NAME_OR_PR="","",TITLE_NAME_OR_PR),TITLE_NAME_OR_PR_CHANGE)</f>
        <v/>
      </c>
      <c r="W27" s="553"/>
      <c r="X27" s="553"/>
      <c r="Y27" s="553"/>
      <c r="Z27" s="553"/>
      <c r="AA27" s="553"/>
      <c r="AB27" s="50"/>
      <c r="AC27" s="553" t="str">
        <f>IF(TITLE_NAME_OR_PR_CHANGE="",IF(TITLE_NAME_OR_PR="","",TITLE_NAME_OR_PR),TITLE_NAME_OR_PR_CHANGE)</f>
        <v/>
      </c>
      <c r="AD27" s="553"/>
      <c r="AE27" s="553"/>
      <c r="AF27" s="553"/>
      <c r="AG27" s="553"/>
      <c r="AH27" s="553"/>
      <c r="AI27" s="50"/>
      <c r="AJ27" s="50"/>
      <c r="AK27" s="554"/>
      <c r="AL27" s="129"/>
      <c r="AM27" s="129"/>
      <c r="AN27" s="129"/>
      <c r="AO27" s="129"/>
      <c r="AP27" s="129"/>
      <c r="AQ27" s="184">
        <v>0</v>
      </c>
    </row>
    <row r="28" s="184" customFormat="1" ht="18.75" hidden="1" customHeight="1">
      <c r="A28" s="151"/>
      <c r="B28" s="151"/>
      <c r="C28" s="151"/>
      <c r="D28" s="151"/>
      <c r="E28" s="151"/>
      <c r="F28" s="151"/>
      <c r="G28" s="151"/>
      <c r="H28" s="151"/>
      <c r="I28" s="151"/>
      <c r="J28" s="151"/>
      <c r="K28" s="151"/>
      <c r="L28" s="490"/>
      <c r="M28" s="151"/>
      <c r="N28" s="151"/>
      <c r="O28" s="151"/>
      <c r="S28" s="551" t="s">
        <v>425</v>
      </c>
      <c r="T28" s="551"/>
      <c r="U28" s="552"/>
      <c r="V28" s="555">
        <f>IF(TITLE_DATE_PR_CHANGE="",IF(TITLE_DATE_PR="","",TITLE_DATE_PR),TITLE_DATE_PR_CHANGE)</f>
        <v>46212.428518518522</v>
      </c>
      <c r="W28" s="555"/>
      <c r="X28" s="555"/>
      <c r="Y28" s="555"/>
      <c r="Z28" s="555"/>
      <c r="AA28" s="555"/>
      <c r="AB28" s="50"/>
      <c r="AC28" s="555">
        <f>IF(TITLE_DATE_PR_CHANGE="",IF(TITLE_DATE_PR="","",TITLE_DATE_PR),TITLE_DATE_PR_CHANGE)</f>
        <v>46212.428518518522</v>
      </c>
      <c r="AD28" s="555"/>
      <c r="AE28" s="555"/>
      <c r="AF28" s="555"/>
      <c r="AG28" s="555"/>
      <c r="AH28" s="555"/>
      <c r="AI28" s="50"/>
      <c r="AJ28" s="50"/>
      <c r="AK28" s="554"/>
      <c r="AL28" s="129"/>
      <c r="AM28" s="129"/>
      <c r="AN28" s="129"/>
      <c r="AO28" s="129"/>
      <c r="AP28" s="129"/>
      <c r="AQ28" s="184">
        <v>0</v>
      </c>
    </row>
    <row r="29" s="184" customFormat="1" ht="18.75" hidden="1" customHeight="1">
      <c r="A29" s="151"/>
      <c r="B29" s="151"/>
      <c r="C29" s="151"/>
      <c r="D29" s="151"/>
      <c r="E29" s="151"/>
      <c r="F29" s="151"/>
      <c r="G29" s="151"/>
      <c r="H29" s="151"/>
      <c r="I29" s="151"/>
      <c r="J29" s="151"/>
      <c r="K29" s="151"/>
      <c r="L29" s="490"/>
      <c r="M29" s="151"/>
      <c r="N29" s="151"/>
      <c r="O29" s="151"/>
      <c r="S29" s="551" t="s">
        <v>426</v>
      </c>
      <c r="T29" s="551"/>
      <c r="U29" s="552"/>
      <c r="V29" s="553" t="str">
        <f>IF(TITLE_NUMBER_PR_CHANGE="",IF(TITLE_NUMBER_PR="","",TITLE_NUMBER_PR),TITLE_NUMBER_PR_CHANGE)</f>
        <v>Исх-260/1397</v>
      </c>
      <c r="W29" s="553"/>
      <c r="X29" s="553"/>
      <c r="Y29" s="553"/>
      <c r="Z29" s="553"/>
      <c r="AA29" s="553"/>
      <c r="AB29" s="50"/>
      <c r="AC29" s="553" t="str">
        <f>IF(TITLE_NUMBER_PR_CHANGE="",IF(TITLE_NUMBER_PR="","",TITLE_NUMBER_PR),TITLE_NUMBER_PR_CHANGE)</f>
        <v>Исх-260/1397</v>
      </c>
      <c r="AD29" s="553"/>
      <c r="AE29" s="553"/>
      <c r="AF29" s="553"/>
      <c r="AG29" s="553"/>
      <c r="AH29" s="553"/>
      <c r="AI29" s="50"/>
      <c r="AJ29" s="50"/>
      <c r="AK29" s="554"/>
      <c r="AL29" s="129"/>
      <c r="AM29" s="129"/>
      <c r="AN29" s="129"/>
      <c r="AO29" s="129"/>
      <c r="AP29" s="129"/>
      <c r="AQ29" s="184">
        <v>0</v>
      </c>
    </row>
    <row r="30" s="184" customFormat="1" ht="18.75" hidden="1" customHeight="1">
      <c r="A30" s="151"/>
      <c r="B30" s="151"/>
      <c r="C30" s="151"/>
      <c r="D30" s="151"/>
      <c r="E30" s="151"/>
      <c r="F30" s="151"/>
      <c r="G30" s="151"/>
      <c r="H30" s="151"/>
      <c r="I30" s="151"/>
      <c r="J30" s="151"/>
      <c r="K30" s="151"/>
      <c r="L30" s="490"/>
      <c r="M30" s="151"/>
      <c r="N30" s="151"/>
      <c r="O30" s="151"/>
      <c r="S30" s="551" t="s">
        <v>43</v>
      </c>
      <c r="T30" s="551"/>
      <c r="U30" s="552"/>
      <c r="V30" s="553" t="str">
        <f>IF(TITLE_IST_PUB_CHANGE="",IF(TITLE_IST_PUB="","",TITLE_IST_PUB),TITLE_IST_PUB_CHANGE)</f>
        <v/>
      </c>
      <c r="W30" s="553"/>
      <c r="X30" s="553"/>
      <c r="Y30" s="553"/>
      <c r="Z30" s="553"/>
      <c r="AA30" s="553"/>
      <c r="AB30" s="50"/>
      <c r="AC30" s="553" t="str">
        <f>IF(TITLE_IST_PUB_CHANGE="",IF(TITLE_IST_PUB="","",TITLE_IST_PUB),TITLE_IST_PUB_CHANGE)</f>
        <v/>
      </c>
      <c r="AD30" s="553"/>
      <c r="AE30" s="553"/>
      <c r="AF30" s="553"/>
      <c r="AG30" s="553"/>
      <c r="AH30" s="553"/>
      <c r="AI30" s="50"/>
      <c r="AJ30" s="50"/>
      <c r="AK30" s="554"/>
      <c r="AL30" s="129"/>
      <c r="AM30" s="129"/>
      <c r="AN30" s="129"/>
      <c r="AO30" s="129"/>
      <c r="AP30" s="129"/>
      <c r="AQ30" s="184">
        <v>0</v>
      </c>
    </row>
    <row r="31" ht="14.25" customHeight="1">
      <c r="Q31" s="548"/>
      <c r="R31" s="548"/>
      <c r="S31" s="549"/>
      <c r="T31" s="91"/>
      <c r="U31" s="91"/>
      <c r="V31" s="550"/>
      <c r="W31" s="550"/>
      <c r="X31" s="550"/>
      <c r="Y31" s="550"/>
      <c r="Z31" s="550"/>
      <c r="AA31" s="550"/>
      <c r="AB31" s="550"/>
      <c r="AC31" s="550"/>
      <c r="AD31" s="550"/>
      <c r="AE31" s="550"/>
      <c r="AF31" s="550"/>
      <c r="AG31" s="550"/>
      <c r="AH31" s="550"/>
      <c r="AI31" s="550"/>
      <c r="AJ31" s="50"/>
      <c r="AQ31" s="50">
        <v>0</v>
      </c>
    </row>
    <row r="32" s="184" customFormat="1" ht="18.75" customHeight="1">
      <c r="A32" s="151"/>
      <c r="B32" s="151"/>
      <c r="C32" s="151"/>
      <c r="D32" s="151"/>
      <c r="E32" s="151"/>
      <c r="F32" s="151"/>
      <c r="G32" s="151"/>
      <c r="H32" s="151"/>
      <c r="I32" s="151"/>
      <c r="J32" s="151"/>
      <c r="K32" s="151"/>
      <c r="L32" s="490"/>
      <c r="M32" s="151"/>
      <c r="N32" s="151"/>
      <c r="O32" s="151"/>
      <c r="S32" s="551" t="s">
        <v>427</v>
      </c>
      <c r="T32" s="551"/>
      <c r="U32" s="552"/>
      <c r="V32" s="555">
        <f>IF(TITLE_DATE_PR_CHANGE="",IF(TITLE_DATE_PR="","",TITLE_DATE_PR),TITLE_DATE_PR_CHANGE)</f>
        <v>46212.428518518522</v>
      </c>
      <c r="W32" s="555"/>
      <c r="X32" s="555"/>
      <c r="Y32" s="555"/>
      <c r="Z32" s="555"/>
      <c r="AA32" s="555"/>
      <c r="AB32" s="50"/>
      <c r="AC32" s="555">
        <f>IF(TITLE_DATE_PR_CHANGE="",IF(TITLE_DATE_PR="","",TITLE_DATE_PR),TITLE_DATE_PR_CHANGE)</f>
        <v>46212.428518518522</v>
      </c>
      <c r="AD32" s="555"/>
      <c r="AE32" s="555"/>
      <c r="AF32" s="555"/>
      <c r="AG32" s="555"/>
      <c r="AH32" s="555"/>
      <c r="AI32" s="50"/>
      <c r="AJ32" s="50"/>
      <c r="AK32" s="554"/>
      <c r="AL32" s="129"/>
      <c r="AM32" s="129"/>
      <c r="AN32" s="129"/>
      <c r="AO32" s="129"/>
      <c r="AP32" s="129"/>
      <c r="AQ32" s="184">
        <v>0</v>
      </c>
    </row>
    <row r="33" s="184" customFormat="1" ht="18.75" customHeight="1">
      <c r="A33" s="151"/>
      <c r="B33" s="151"/>
      <c r="C33" s="151"/>
      <c r="D33" s="151"/>
      <c r="E33" s="151"/>
      <c r="F33" s="151"/>
      <c r="G33" s="151"/>
      <c r="H33" s="151"/>
      <c r="I33" s="151"/>
      <c r="J33" s="151"/>
      <c r="K33" s="151"/>
      <c r="L33" s="490"/>
      <c r="M33" s="151"/>
      <c r="N33" s="151"/>
      <c r="O33" s="151"/>
      <c r="S33" s="551" t="s">
        <v>428</v>
      </c>
      <c r="T33" s="551"/>
      <c r="U33" s="552"/>
      <c r="V33" s="553" t="str">
        <f>IF(TITLE_NUMBER_PR_CHANGE="",IF(TITLE_NUMBER_PR="","",TITLE_NUMBER_PR),TITLE_NUMBER_PR_CHANGE)</f>
        <v>Исх-260/1397</v>
      </c>
      <c r="W33" s="553"/>
      <c r="X33" s="553"/>
      <c r="Y33" s="553"/>
      <c r="Z33" s="553"/>
      <c r="AA33" s="553"/>
      <c r="AB33" s="50"/>
      <c r="AC33" s="553" t="str">
        <f>IF(TITLE_NUMBER_PR_CHANGE="",IF(TITLE_NUMBER_PR="","",TITLE_NUMBER_PR),TITLE_NUMBER_PR_CHANGE)</f>
        <v>Исх-260/1397</v>
      </c>
      <c r="AD33" s="553"/>
      <c r="AE33" s="553"/>
      <c r="AF33" s="553"/>
      <c r="AG33" s="553"/>
      <c r="AH33" s="553"/>
      <c r="AI33" s="50"/>
      <c r="AJ33" s="50"/>
      <c r="AK33" s="554"/>
      <c r="AL33" s="129"/>
      <c r="AM33" s="129"/>
      <c r="AN33" s="129"/>
      <c r="AO33" s="129"/>
      <c r="AP33" s="129"/>
      <c r="AQ33" s="184">
        <v>0</v>
      </c>
    </row>
    <row r="34" s="184" customFormat="1" ht="1.05" customHeight="1">
      <c r="A34" s="151"/>
      <c r="B34" s="151"/>
      <c r="C34" s="151"/>
      <c r="D34" s="151"/>
      <c r="E34" s="151"/>
      <c r="F34" s="151"/>
      <c r="G34" s="151"/>
      <c r="H34" s="151"/>
      <c r="I34" s="151"/>
      <c r="J34" s="151"/>
      <c r="K34" s="151"/>
      <c r="L34" s="490"/>
      <c r="M34" s="151"/>
      <c r="N34" s="151"/>
      <c r="O34" s="151"/>
      <c r="S34" s="50"/>
      <c r="T34" s="50"/>
      <c r="U34" s="140"/>
      <c r="V34" s="50"/>
      <c r="W34" s="50"/>
      <c r="X34" s="50"/>
      <c r="Y34" s="50"/>
      <c r="Z34" s="50"/>
      <c r="AA34" s="50"/>
      <c r="AB34" s="57" t="s">
        <v>429</v>
      </c>
      <c r="AC34" s="50"/>
      <c r="AD34" s="50"/>
      <c r="AE34" s="50"/>
      <c r="AF34" s="50"/>
      <c r="AG34" s="50"/>
      <c r="AH34" s="50"/>
      <c r="AI34" s="57" t="s">
        <v>429</v>
      </c>
      <c r="AL34" s="129"/>
      <c r="AM34" s="129"/>
      <c r="AN34" s="129"/>
      <c r="AO34" s="129"/>
      <c r="AP34" s="129"/>
      <c r="AQ34" s="184">
        <v>1</v>
      </c>
    </row>
    <row r="35" ht="14.65" customHeight="1">
      <c r="Q35" s="548"/>
      <c r="R35" s="548"/>
      <c r="S35" s="549"/>
      <c r="T35" s="91"/>
      <c r="U35" s="556"/>
      <c r="V35" s="557"/>
      <c r="W35" s="557"/>
      <c r="X35" s="557"/>
      <c r="Y35" s="557"/>
      <c r="Z35" s="557"/>
      <c r="AA35" s="557"/>
      <c r="AB35" s="557"/>
      <c r="AC35" s="557"/>
      <c r="AD35" s="557"/>
      <c r="AE35" s="557"/>
      <c r="AF35" s="557"/>
      <c r="AG35" s="557"/>
      <c r="AH35" s="557"/>
      <c r="AI35" s="557"/>
      <c r="AQ35" s="50">
        <v>14</v>
      </c>
    </row>
    <row r="36" ht="14.65" customHeight="1">
      <c r="Q36" s="548"/>
      <c r="R36" s="548"/>
      <c r="S36" s="157" t="s">
        <v>305</v>
      </c>
      <c r="T36" s="157"/>
      <c r="U36" s="157"/>
      <c r="V36" s="157"/>
      <c r="W36" s="157"/>
      <c r="X36" s="157"/>
      <c r="Y36" s="157"/>
      <c r="Z36" s="157"/>
      <c r="AA36" s="157"/>
      <c r="AB36" s="157"/>
      <c r="AC36" s="157"/>
      <c r="AD36" s="157"/>
      <c r="AE36" s="157"/>
      <c r="AF36" s="157"/>
      <c r="AG36" s="157"/>
      <c r="AH36" s="157"/>
      <c r="AI36" s="157"/>
      <c r="AJ36" s="157"/>
      <c r="AK36" s="157" t="s">
        <v>306</v>
      </c>
      <c r="AQ36" s="50">
        <v>14</v>
      </c>
    </row>
    <row r="37" ht="14.65" customHeight="1">
      <c r="Q37" s="548"/>
      <c r="R37" s="548"/>
      <c r="S37" s="493" t="s">
        <v>89</v>
      </c>
      <c r="T37" s="358" t="s">
        <v>430</v>
      </c>
      <c r="U37" s="558"/>
      <c r="V37" s="559" t="s">
        <v>431</v>
      </c>
      <c r="W37" s="560"/>
      <c r="X37" s="560"/>
      <c r="Y37" s="560"/>
      <c r="Z37" s="560"/>
      <c r="AA37" s="561"/>
      <c r="AB37" s="562" t="s">
        <v>432</v>
      </c>
      <c r="AC37" s="559" t="s">
        <v>431</v>
      </c>
      <c r="AD37" s="560"/>
      <c r="AE37" s="560"/>
      <c r="AF37" s="560"/>
      <c r="AG37" s="560"/>
      <c r="AH37" s="561"/>
      <c r="AI37" s="562" t="s">
        <v>433</v>
      </c>
      <c r="AJ37" s="563" t="s">
        <v>434</v>
      </c>
      <c r="AK37" s="157"/>
      <c r="AQ37" s="50">
        <v>14</v>
      </c>
    </row>
    <row r="38" ht="35.649999999999999" customHeight="1">
      <c r="Q38" s="548"/>
      <c r="R38" s="548"/>
      <c r="S38" s="493"/>
      <c r="T38" s="358"/>
      <c r="U38" s="564"/>
      <c r="V38" s="320" t="s">
        <v>490</v>
      </c>
      <c r="W38" s="73" t="s">
        <v>437</v>
      </c>
      <c r="X38" s="72"/>
      <c r="Y38" s="73" t="s">
        <v>438</v>
      </c>
      <c r="Z38" s="145"/>
      <c r="AA38" s="72"/>
      <c r="AB38" s="566"/>
      <c r="AC38" s="320" t="s">
        <v>490</v>
      </c>
      <c r="AD38" s="73" t="s">
        <v>437</v>
      </c>
      <c r="AE38" s="72"/>
      <c r="AF38" s="73" t="s">
        <v>438</v>
      </c>
      <c r="AG38" s="145"/>
      <c r="AH38" s="72"/>
      <c r="AI38" s="566"/>
      <c r="AJ38" s="567"/>
      <c r="AK38" s="157"/>
      <c r="AQ38" s="50">
        <v>34</v>
      </c>
    </row>
    <row r="39" ht="35.649999999999999" customHeight="1">
      <c r="A39" s="151"/>
      <c r="B39" s="151" t="s">
        <v>135</v>
      </c>
      <c r="C39" s="151" t="s">
        <v>136</v>
      </c>
      <c r="D39" s="151" t="s">
        <v>137</v>
      </c>
      <c r="E39" s="490" t="s">
        <v>439</v>
      </c>
      <c r="F39" s="490" t="s">
        <v>440</v>
      </c>
      <c r="G39" s="490" t="s">
        <v>441</v>
      </c>
      <c r="H39" s="490"/>
      <c r="I39" s="490" t="s">
        <v>491</v>
      </c>
      <c r="J39" s="490" t="s">
        <v>444</v>
      </c>
      <c r="K39" s="490" t="s">
        <v>492</v>
      </c>
      <c r="L39" s="490" t="s">
        <v>420</v>
      </c>
      <c r="Q39" s="548"/>
      <c r="R39" s="548"/>
      <c r="S39" s="493"/>
      <c r="T39" s="358"/>
      <c r="U39" s="568"/>
      <c r="V39" s="320" t="s">
        <v>493</v>
      </c>
      <c r="W39" s="246" t="s">
        <v>494</v>
      </c>
      <c r="X39" s="246" t="s">
        <v>495</v>
      </c>
      <c r="Y39" s="246" t="s">
        <v>448</v>
      </c>
      <c r="Z39" s="424" t="s">
        <v>449</v>
      </c>
      <c r="AA39" s="426"/>
      <c r="AB39" s="570"/>
      <c r="AC39" s="320" t="s">
        <v>493</v>
      </c>
      <c r="AD39" s="246" t="s">
        <v>494</v>
      </c>
      <c r="AE39" s="246" t="s">
        <v>495</v>
      </c>
      <c r="AF39" s="246" t="s">
        <v>448</v>
      </c>
      <c r="AG39" s="424" t="s">
        <v>449</v>
      </c>
      <c r="AH39" s="426"/>
      <c r="AI39" s="570"/>
      <c r="AJ39" s="571"/>
      <c r="AK39" s="157"/>
      <c r="AQ39" s="50">
        <v>34</v>
      </c>
    </row>
    <row r="40" s="131" customFormat="1" ht="0" customHeight="1">
      <c r="A40" s="151"/>
      <c r="B40" s="151"/>
      <c r="C40" s="151"/>
      <c r="D40" s="151"/>
      <c r="E40" s="151"/>
      <c r="F40" s="151"/>
      <c r="G40" s="151"/>
      <c r="H40" s="151"/>
      <c r="I40" s="151"/>
      <c r="J40" s="151"/>
      <c r="K40" s="151"/>
      <c r="L40" s="490"/>
      <c r="M40" s="61"/>
      <c r="N40" s="61"/>
      <c r="O40" s="61"/>
      <c r="P40" s="572"/>
      <c r="Q40" s="573"/>
      <c r="R40" s="574">
        <v>1</v>
      </c>
      <c r="S40" s="575" t="s">
        <v>109</v>
      </c>
      <c r="T40" s="576" t="s">
        <v>110</v>
      </c>
      <c r="U40" s="577" t="str">
        <f ca="1">OFFSET(U40,0,-1)</f>
        <v>2</v>
      </c>
      <c r="V40" s="578">
        <f ca="1">OFFSET(V40,0,-1)+1</f>
        <v>3</v>
      </c>
      <c r="W40" s="578">
        <f ca="1">OFFSET(W40,0,-1)+1</f>
        <v>4</v>
      </c>
      <c r="X40" s="578">
        <f ca="1">OFFSET(X40,0,-1)+1</f>
        <v>5</v>
      </c>
      <c r="Y40" s="578">
        <f ca="1">OFFSET(Y40,0,-1)+1</f>
        <v>6</v>
      </c>
      <c r="Z40" s="578">
        <f ca="1">OFFSET(Z40,0,-1)+1</f>
        <v>7</v>
      </c>
      <c r="AA40" s="578"/>
      <c r="AB40" s="578">
        <f ca="1">OFFSET(AB40,0,-2)+1</f>
        <v>8</v>
      </c>
      <c r="AC40" s="578">
        <f ca="1">OFFSET(AC40,0,-1)+1</f>
        <v>9</v>
      </c>
      <c r="AD40" s="578">
        <f ca="1">OFFSET(AD40,0,-1)+1</f>
        <v>10</v>
      </c>
      <c r="AE40" s="578">
        <f ca="1">OFFSET(AE40,0,-1)+1</f>
        <v>11</v>
      </c>
      <c r="AF40" s="578">
        <f ca="1">OFFSET(AF40,0,-1)+1</f>
        <v>12</v>
      </c>
      <c r="AG40" s="578">
        <f ca="1">OFFSET(AG40,0,-1)+1</f>
        <v>13</v>
      </c>
      <c r="AH40" s="578"/>
      <c r="AI40" s="578">
        <f ca="1">OFFSET(AI40,0,-2)+1</f>
        <v>14</v>
      </c>
      <c r="AJ40" s="577">
        <f ca="1">OFFSET(AJ40,0,-1)</f>
        <v>14</v>
      </c>
      <c r="AK40" s="578">
        <f ca="1">OFFSET(AK40,0,-1)+1</f>
        <v>15</v>
      </c>
      <c r="AL40" s="57"/>
      <c r="AM40" s="57"/>
      <c r="AN40" s="57"/>
      <c r="AO40" s="57"/>
      <c r="AP40" s="57"/>
      <c r="AQ40" s="131">
        <v>0</v>
      </c>
    </row>
    <row r="41" ht="24" customHeight="1">
      <c r="A41" s="488" t="s">
        <v>236</v>
      </c>
      <c r="B41" s="488"/>
      <c r="C41" s="488"/>
      <c r="D41" s="488"/>
      <c r="E41" s="489">
        <v>1</v>
      </c>
      <c r="F41" s="488"/>
      <c r="G41" s="488"/>
      <c r="H41" s="488"/>
      <c r="I41" s="488"/>
      <c r="J41" s="488"/>
      <c r="K41" s="488"/>
      <c r="L41" s="490"/>
      <c r="M41" s="491"/>
      <c r="N41" s="491"/>
      <c r="O41" s="491"/>
      <c r="P41" s="60"/>
      <c r="Q41" s="143"/>
      <c r="R41" s="492"/>
      <c r="S41" s="493">
        <f>INDEX(PT_DIFFERENTIATION_NUM_NTAR,MATCH(A41,PT_DIFFERENTIATION_NTAR_ID,0))</f>
        <v>0</v>
      </c>
      <c r="T41" s="494" t="s">
        <v>123</v>
      </c>
      <c r="U41" s="495"/>
      <c r="V41" s="496"/>
      <c r="W41" s="497"/>
      <c r="X41" s="497"/>
      <c r="Y41" s="497"/>
      <c r="Z41" s="497"/>
      <c r="AA41" s="497"/>
      <c r="AB41" s="498"/>
      <c r="AC41" s="496" t="str">
        <f>INDEX(PT_DIFFERENTIATION_NTAR,MATCH(A41,PT_DIFFERENTIATION_NTAR_ID,0))</f>
        <v/>
      </c>
      <c r="AD41" s="497"/>
      <c r="AE41" s="497"/>
      <c r="AF41" s="497"/>
      <c r="AG41" s="497"/>
      <c r="AH41" s="497"/>
      <c r="AI41" s="497"/>
      <c r="AJ41" s="498"/>
      <c r="AK41" s="4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129"/>
      <c r="AN41" s="129" t="str">
        <f t="shared" si="26"/>
        <v xml:space="preserve">Наименование тарифа</v>
      </c>
      <c r="AO41" s="129"/>
      <c r="AP41" s="129"/>
      <c r="AQ41" s="50">
        <v>23</v>
      </c>
    </row>
    <row r="42" ht="24" customHeight="1">
      <c r="A42" s="488" t="s">
        <v>236</v>
      </c>
      <c r="B42" s="488" t="s">
        <v>237</v>
      </c>
      <c r="C42" s="488"/>
      <c r="D42" s="488"/>
      <c r="E42" s="500"/>
      <c r="F42" s="489">
        <v>1</v>
      </c>
      <c r="G42" s="488"/>
      <c r="H42" s="488"/>
      <c r="I42" s="488"/>
      <c r="J42" s="488"/>
      <c r="K42" s="488"/>
      <c r="L42" s="490"/>
      <c r="M42" s="491"/>
      <c r="N42" s="491"/>
      <c r="O42" s="491"/>
      <c r="P42" s="51"/>
      <c r="Q42" s="501"/>
      <c r="R42" s="502"/>
      <c r="S42" s="493" t="str">
        <f>INDEX(PT_DIFFERENTIATION_NUM_TER,MATCH(B42,PT_DIFFERENTIATION_TER_ID,0))</f>
        <v>.</v>
      </c>
      <c r="T42" s="503" t="s">
        <v>402</v>
      </c>
      <c r="U42" s="495"/>
      <c r="V42" s="496"/>
      <c r="W42" s="497"/>
      <c r="X42" s="497"/>
      <c r="Y42" s="497"/>
      <c r="Z42" s="497"/>
      <c r="AA42" s="497"/>
      <c r="AB42" s="498"/>
      <c r="AC42" s="496" t="str">
        <f>INDEX(PT_DIFFERENTIATION_TER,MATCH(B42,PT_DIFFERENTIATION_TER_ID,0))</f>
        <v/>
      </c>
      <c r="AD42" s="497"/>
      <c r="AE42" s="497"/>
      <c r="AF42" s="497"/>
      <c r="AG42" s="497"/>
      <c r="AH42" s="497"/>
      <c r="AI42" s="497"/>
      <c r="AJ42" s="498"/>
      <c r="AK42" s="499" t="s">
        <v>403</v>
      </c>
      <c r="AM42" s="129"/>
      <c r="AN42" s="129" t="str">
        <f t="shared" si="26"/>
        <v xml:space="preserve">Территория действия тарифа</v>
      </c>
      <c r="AO42" s="129"/>
      <c r="AP42" s="129"/>
      <c r="AQ42" s="50">
        <v>23</v>
      </c>
    </row>
    <row r="43" ht="24" customHeight="1">
      <c r="A43" s="488" t="s">
        <v>236</v>
      </c>
      <c r="B43" s="488" t="s">
        <v>237</v>
      </c>
      <c r="C43" s="488" t="s">
        <v>238</v>
      </c>
      <c r="D43" s="488"/>
      <c r="E43" s="500"/>
      <c r="F43" s="500"/>
      <c r="G43" s="489">
        <v>1</v>
      </c>
      <c r="H43" s="488"/>
      <c r="I43" s="488"/>
      <c r="J43" s="488"/>
      <c r="K43" s="488"/>
      <c r="L43" s="490"/>
      <c r="M43" s="491"/>
      <c r="N43" s="491"/>
      <c r="O43" s="491"/>
      <c r="P43" s="504"/>
      <c r="Q43" s="501"/>
      <c r="R43" s="502"/>
      <c r="S43" s="493" t="str">
        <f>INDEX(PT_DIFFERENTIATION_NUM_CS,MATCH(C43,PT_DIFFERENTIATION_CS_ID,0))</f>
        <v>..</v>
      </c>
      <c r="T43" s="505" t="s">
        <v>482</v>
      </c>
      <c r="U43" s="495"/>
      <c r="V43" s="496"/>
      <c r="W43" s="497"/>
      <c r="X43" s="497"/>
      <c r="Y43" s="497"/>
      <c r="Z43" s="497"/>
      <c r="AA43" s="497"/>
      <c r="AB43" s="498"/>
      <c r="AC43" s="496" t="str">
        <f>INDEX(PT_DIFFERENTIATION_CS,MATCH(C43,PT_DIFFERENTIATION_CS_ID,0))</f>
        <v/>
      </c>
      <c r="AD43" s="497"/>
      <c r="AE43" s="497"/>
      <c r="AF43" s="497"/>
      <c r="AG43" s="497"/>
      <c r="AH43" s="497"/>
      <c r="AI43" s="497"/>
      <c r="AJ43" s="498"/>
      <c r="AK43" s="499" t="s">
        <v>483</v>
      </c>
      <c r="AM43" s="129"/>
      <c r="AN43" s="129" t="str">
        <f t="shared" si="26"/>
        <v xml:space="preserve">Наименование централизованной системы холодного водоснабжения</v>
      </c>
      <c r="AO43" s="129"/>
      <c r="AP43" s="129"/>
      <c r="AQ43" s="50">
        <v>23</v>
      </c>
    </row>
    <row r="44" ht="24" customHeight="1">
      <c r="A44" s="488" t="s">
        <v>236</v>
      </c>
      <c r="B44" s="488" t="s">
        <v>237</v>
      </c>
      <c r="C44" s="488" t="s">
        <v>238</v>
      </c>
      <c r="D44" s="488" t="s">
        <v>497</v>
      </c>
      <c r="E44" s="500"/>
      <c r="F44" s="500"/>
      <c r="G44" s="500"/>
      <c r="H44" s="500"/>
      <c r="I44" s="507" t="str">
        <f>S43&amp;".1"</f>
        <v>...1</v>
      </c>
      <c r="J44" s="488"/>
      <c r="K44" s="488"/>
      <c r="L44" s="490"/>
      <c r="P44" s="132">
        <v>1</v>
      </c>
      <c r="Q44" s="132"/>
      <c r="R44" s="508"/>
      <c r="S44" s="493" t="str">
        <f>$I44</f>
        <v>...1</v>
      </c>
      <c r="T44" s="509" t="s">
        <v>484</v>
      </c>
      <c r="U44" s="495"/>
      <c r="V44" s="685"/>
      <c r="W44" s="686"/>
      <c r="X44" s="686"/>
      <c r="Y44" s="686"/>
      <c r="Z44" s="686"/>
      <c r="AA44" s="686"/>
      <c r="AB44" s="687"/>
      <c r="AC44" s="688"/>
      <c r="AD44" s="689"/>
      <c r="AE44" s="689"/>
      <c r="AF44" s="689"/>
      <c r="AG44" s="689"/>
      <c r="AH44" s="689"/>
      <c r="AI44" s="689"/>
      <c r="AJ44" s="690"/>
      <c r="AK44" s="499" t="s">
        <v>485</v>
      </c>
      <c r="AM44" s="129"/>
      <c r="AN44" s="129" t="str">
        <f t="shared" si="26"/>
        <v xml:space="preserve">Наименование признака дифференциации</v>
      </c>
      <c r="AO44" s="129"/>
      <c r="AP44" s="129"/>
      <c r="AQ44" s="50">
        <v>23</v>
      </c>
    </row>
    <row r="45" ht="24" customHeight="1">
      <c r="A45" s="488" t="s">
        <v>236</v>
      </c>
      <c r="B45" s="488" t="s">
        <v>237</v>
      </c>
      <c r="C45" s="488" t="s">
        <v>238</v>
      </c>
      <c r="D45" s="488" t="s">
        <v>497</v>
      </c>
      <c r="E45" s="500"/>
      <c r="F45" s="500"/>
      <c r="G45" s="500"/>
      <c r="H45" s="500"/>
      <c r="I45" s="512"/>
      <c r="J45" s="507" t="str">
        <f>I44&amp;".1"</f>
        <v>...1.1</v>
      </c>
      <c r="K45" s="488"/>
      <c r="L45" s="490" t="s">
        <v>411</v>
      </c>
      <c r="P45" s="132"/>
      <c r="Q45" s="132">
        <v>1</v>
      </c>
      <c r="R45" s="513"/>
      <c r="S45" s="493" t="str">
        <f>$J45</f>
        <v>...1.1</v>
      </c>
      <c r="T45" s="514" t="s">
        <v>412</v>
      </c>
      <c r="U45" s="495"/>
      <c r="V45" s="440"/>
      <c r="W45" s="510"/>
      <c r="X45" s="510"/>
      <c r="Y45" s="510"/>
      <c r="Z45" s="510"/>
      <c r="AA45" s="510"/>
      <c r="AB45" s="511"/>
      <c r="AC45" s="440"/>
      <c r="AD45" s="510"/>
      <c r="AE45" s="510"/>
      <c r="AF45" s="510"/>
      <c r="AG45" s="510"/>
      <c r="AH45" s="510"/>
      <c r="AI45" s="510"/>
      <c r="AJ45" s="511"/>
      <c r="AK45" s="626" t="s">
        <v>486</v>
      </c>
      <c r="AM45" s="129"/>
      <c r="AN45" s="129" t="str">
        <f t="shared" si="26"/>
        <v xml:space="preserve">Группа потребителей</v>
      </c>
      <c r="AO45" s="129"/>
      <c r="AP45" s="129"/>
      <c r="AQ45" s="50">
        <v>23</v>
      </c>
    </row>
    <row r="46" ht="24" customHeight="1">
      <c r="A46" s="488" t="s">
        <v>236</v>
      </c>
      <c r="B46" s="488" t="s">
        <v>237</v>
      </c>
      <c r="C46" s="488" t="s">
        <v>238</v>
      </c>
      <c r="D46" s="488" t="s">
        <v>497</v>
      </c>
      <c r="E46" s="500"/>
      <c r="F46" s="500"/>
      <c r="G46" s="500"/>
      <c r="H46" s="500"/>
      <c r="I46" s="512"/>
      <c r="J46" s="512"/>
      <c r="K46" s="507" t="str">
        <f>J45&amp;".1"</f>
        <v>...1.1.1</v>
      </c>
      <c r="L46" s="490"/>
      <c r="P46" s="132"/>
      <c r="Q46" s="132"/>
      <c r="R46" s="513">
        <v>1</v>
      </c>
      <c r="S46" s="493" t="str">
        <f>$K46</f>
        <v>...1.1.1</v>
      </c>
      <c r="T46" s="691"/>
      <c r="U46" s="495"/>
      <c r="V46" s="516"/>
      <c r="W46" s="516"/>
      <c r="X46" s="518"/>
      <c r="Y46" s="519"/>
      <c r="Z46" s="224" t="s">
        <v>67</v>
      </c>
      <c r="AA46" s="519"/>
      <c r="AB46" s="224" t="s">
        <v>67</v>
      </c>
      <c r="AC46" s="516"/>
      <c r="AD46" s="516"/>
      <c r="AE46" s="518"/>
      <c r="AF46" s="519"/>
      <c r="AG46" s="224" t="s">
        <v>67</v>
      </c>
      <c r="AH46" s="579"/>
      <c r="AI46" s="224" t="s">
        <v>67</v>
      </c>
      <c r="AJ46" s="692"/>
      <c r="AK46" s="69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 t="e">
        <f>STRCHECKDATE(V47:AJ47)</f>
        <v>#NAME?</v>
      </c>
      <c r="AM46" s="129"/>
      <c r="AN46" s="129" t="str">
        <f t="shared" si="26"/>
        <v/>
      </c>
      <c r="AO46" s="129"/>
      <c r="AP46" s="129"/>
      <c r="AQ46" s="50">
        <v>23</v>
      </c>
    </row>
    <row r="47" ht="0" customHeight="1">
      <c r="A47" s="488" t="s">
        <v>236</v>
      </c>
      <c r="B47" s="488" t="s">
        <v>237</v>
      </c>
      <c r="C47" s="488" t="s">
        <v>238</v>
      </c>
      <c r="D47" s="488" t="s">
        <v>497</v>
      </c>
      <c r="E47" s="500"/>
      <c r="F47" s="500"/>
      <c r="G47" s="500"/>
      <c r="H47" s="500"/>
      <c r="I47" s="512"/>
      <c r="J47" s="512"/>
      <c r="K47" s="507"/>
      <c r="L47" s="490"/>
      <c r="P47" s="132"/>
      <c r="Q47" s="132"/>
      <c r="R47" s="513"/>
      <c r="S47" s="467"/>
      <c r="T47" s="495"/>
      <c r="U47" s="495"/>
      <c r="V47" s="517"/>
      <c r="W47" s="517"/>
      <c r="X47" s="521" t="str">
        <f>Y46&amp;"-"&amp;AA46</f>
        <v>-</v>
      </c>
      <c r="Y47" s="522"/>
      <c r="Z47" s="224"/>
      <c r="AA47" s="522"/>
      <c r="AB47" s="224"/>
      <c r="AC47" s="517"/>
      <c r="AD47" s="517"/>
      <c r="AE47" s="521" t="str">
        <f>AF46&amp;"-"&amp;AH46</f>
        <v>-</v>
      </c>
      <c r="AF47" s="522"/>
      <c r="AG47" s="224"/>
      <c r="AH47" s="581"/>
      <c r="AI47" s="224"/>
      <c r="AJ47" s="694"/>
      <c r="AK47" s="693"/>
      <c r="AM47" s="129"/>
      <c r="AN47" s="129" t="str">
        <f t="shared" si="26"/>
        <v/>
      </c>
      <c r="AO47" s="129"/>
      <c r="AP47" s="129"/>
      <c r="AQ47" s="50">
        <v>0</v>
      </c>
    </row>
    <row r="48" ht="21" customHeight="1">
      <c r="A48" s="488" t="s">
        <v>236</v>
      </c>
      <c r="B48" s="488" t="s">
        <v>237</v>
      </c>
      <c r="C48" s="488" t="s">
        <v>238</v>
      </c>
      <c r="D48" s="488" t="s">
        <v>497</v>
      </c>
      <c r="E48" s="500"/>
      <c r="F48" s="500"/>
      <c r="G48" s="500"/>
      <c r="H48" s="500"/>
      <c r="I48" s="512"/>
      <c r="J48" s="507"/>
      <c r="K48" s="488"/>
      <c r="L48" s="490"/>
      <c r="P48" s="132"/>
      <c r="Q48" s="132"/>
      <c r="R48" s="508"/>
      <c r="S48" s="524"/>
      <c r="T48" s="528" t="s">
        <v>487</v>
      </c>
      <c r="U48" s="214"/>
      <c r="V48" s="214"/>
      <c r="W48" s="214"/>
      <c r="X48" s="214"/>
      <c r="Y48" s="214"/>
      <c r="Z48" s="214"/>
      <c r="AA48" s="214"/>
      <c r="AB48" s="214"/>
      <c r="AC48" s="214"/>
      <c r="AD48" s="214"/>
      <c r="AE48" s="214"/>
      <c r="AF48" s="214"/>
      <c r="AG48" s="214"/>
      <c r="AH48" s="214"/>
      <c r="AI48" s="214"/>
      <c r="AJ48" s="214"/>
      <c r="AK48" s="499" t="s">
        <v>488</v>
      </c>
      <c r="AM48" s="129"/>
      <c r="AN48" s="129" t="str">
        <f t="shared" si="26"/>
        <v xml:space="preserve">Добавить значение признака дифференциации</v>
      </c>
      <c r="AO48" s="129"/>
      <c r="AP48" s="129"/>
      <c r="AQ48" s="50">
        <v>20</v>
      </c>
    </row>
    <row r="49" ht="22" customHeight="1">
      <c r="A49" s="488" t="s">
        <v>236</v>
      </c>
      <c r="B49" s="488" t="s">
        <v>237</v>
      </c>
      <c r="C49" s="488" t="s">
        <v>238</v>
      </c>
      <c r="D49" s="488" t="s">
        <v>497</v>
      </c>
      <c r="E49" s="500"/>
      <c r="F49" s="500"/>
      <c r="G49" s="500"/>
      <c r="H49" s="500"/>
      <c r="I49" s="507"/>
      <c r="J49" s="488"/>
      <c r="K49" s="488"/>
      <c r="L49" s="490"/>
      <c r="P49" s="132"/>
      <c r="Q49" s="132"/>
      <c r="R49" s="508"/>
      <c r="S49" s="524"/>
      <c r="T49" s="532" t="s">
        <v>417</v>
      </c>
      <c r="U49" s="214"/>
      <c r="V49" s="214"/>
      <c r="W49" s="214"/>
      <c r="X49" s="214"/>
      <c r="Y49" s="214"/>
      <c r="Z49" s="214"/>
      <c r="AA49" s="214"/>
      <c r="AB49" s="529"/>
      <c r="AC49" s="214"/>
      <c r="AD49" s="214"/>
      <c r="AE49" s="214"/>
      <c r="AF49" s="214"/>
      <c r="AG49" s="214"/>
      <c r="AH49" s="214"/>
      <c r="AI49" s="529"/>
      <c r="AJ49" s="214"/>
      <c r="AK49" s="695"/>
      <c r="AM49" s="129"/>
      <c r="AN49" s="129" t="str">
        <f t="shared" si="26"/>
        <v xml:space="preserve">Добавить группу потребителей</v>
      </c>
      <c r="AO49" s="129"/>
      <c r="AP49" s="129"/>
      <c r="AQ49" s="50">
        <v>21</v>
      </c>
    </row>
    <row r="50" ht="22" customHeight="1">
      <c r="A50" s="488" t="s">
        <v>236</v>
      </c>
      <c r="B50" s="488" t="s">
        <v>237</v>
      </c>
      <c r="C50" s="488" t="s">
        <v>238</v>
      </c>
      <c r="D50" s="488" t="s">
        <v>497</v>
      </c>
      <c r="E50" s="500"/>
      <c r="F50" s="500"/>
      <c r="G50" s="500"/>
      <c r="H50" s="489"/>
      <c r="I50" s="488"/>
      <c r="J50" s="488"/>
      <c r="K50" s="488"/>
      <c r="L50" s="490"/>
      <c r="M50" s="491"/>
      <c r="N50" s="491"/>
      <c r="O50" s="53"/>
      <c r="P50" s="143"/>
      <c r="Q50" s="531"/>
      <c r="R50" s="492"/>
      <c r="S50" s="524"/>
      <c r="T50" s="696" t="s">
        <v>489</v>
      </c>
      <c r="U50" s="214"/>
      <c r="V50" s="214"/>
      <c r="W50" s="214"/>
      <c r="X50" s="214"/>
      <c r="Y50" s="214"/>
      <c r="Z50" s="214"/>
      <c r="AA50" s="214"/>
      <c r="AB50" s="529"/>
      <c r="AC50" s="214"/>
      <c r="AD50" s="214"/>
      <c r="AE50" s="214"/>
      <c r="AF50" s="214"/>
      <c r="AG50" s="214"/>
      <c r="AH50" s="214"/>
      <c r="AI50" s="529"/>
      <c r="AJ50" s="214"/>
      <c r="AK50" s="530"/>
      <c r="AM50" s="129"/>
      <c r="AN50" s="129" t="str">
        <f t="shared" si="26"/>
        <v xml:space="preserve">Добавить наименование признака дифференциации</v>
      </c>
      <c r="AO50" s="129"/>
      <c r="AP50" s="129"/>
      <c r="AQ50" s="50">
        <v>21</v>
      </c>
    </row>
    <row r="51" s="57" customFormat="1" ht="0" customHeight="1">
      <c r="A51" s="133" t="s">
        <v>236</v>
      </c>
      <c r="B51" s="133" t="s">
        <v>237</v>
      </c>
      <c r="C51" s="133"/>
      <c r="D51" s="133"/>
      <c r="E51" s="500"/>
      <c r="F51" s="489"/>
      <c r="G51" s="133"/>
      <c r="H51" s="133"/>
      <c r="I51" s="133"/>
      <c r="J51" s="133"/>
      <c r="K51" s="133"/>
      <c r="L51" s="212"/>
      <c r="M51" s="537"/>
      <c r="N51" s="537"/>
      <c r="P51" s="167"/>
      <c r="Q51" s="533"/>
      <c r="R51" s="167"/>
      <c r="S51" s="538"/>
      <c r="T51" s="541" t="s">
        <v>212</v>
      </c>
      <c r="U51" s="540"/>
      <c r="V51" s="540"/>
      <c r="W51" s="540"/>
      <c r="X51" s="540"/>
      <c r="Y51" s="540"/>
      <c r="Z51" s="540"/>
      <c r="AA51" s="540"/>
      <c r="AB51" s="540"/>
      <c r="AC51" s="540"/>
      <c r="AD51" s="540"/>
      <c r="AE51" s="540"/>
      <c r="AF51" s="540"/>
      <c r="AG51" s="540"/>
      <c r="AH51" s="540"/>
      <c r="AI51" s="540"/>
      <c r="AJ51" s="540"/>
      <c r="AK51" s="540"/>
      <c r="AM51" s="129"/>
      <c r="AN51" s="129" t="str">
        <f t="shared" si="26"/>
        <v xml:space="preserve">Добавить централизованную систему для дифференциации</v>
      </c>
      <c r="AO51" s="129"/>
      <c r="AP51" s="129"/>
      <c r="AQ51" s="57">
        <v>0</v>
      </c>
    </row>
    <row r="52" s="57" customFormat="1" ht="0" customHeight="1">
      <c r="A52" s="133" t="s">
        <v>236</v>
      </c>
      <c r="B52" s="133"/>
      <c r="C52" s="133"/>
      <c r="D52" s="133"/>
      <c r="E52" s="489"/>
      <c r="F52" s="133"/>
      <c r="G52" s="133"/>
      <c r="H52" s="133"/>
      <c r="I52" s="133"/>
      <c r="J52" s="133"/>
      <c r="K52" s="133"/>
      <c r="L52" s="212"/>
      <c r="M52" s="537"/>
      <c r="N52" s="537"/>
      <c r="O52" s="57"/>
      <c r="P52" s="167"/>
      <c r="Q52" s="533"/>
      <c r="R52" s="167"/>
      <c r="S52" s="538"/>
      <c r="T52" s="541" t="s">
        <v>213</v>
      </c>
      <c r="U52" s="540"/>
      <c r="V52" s="540"/>
      <c r="W52" s="540"/>
      <c r="X52" s="540"/>
      <c r="Y52" s="540"/>
      <c r="Z52" s="540"/>
      <c r="AA52" s="540"/>
      <c r="AB52" s="540"/>
      <c r="AC52" s="540"/>
      <c r="AD52" s="540"/>
      <c r="AE52" s="540"/>
      <c r="AF52" s="540"/>
      <c r="AG52" s="540"/>
      <c r="AH52" s="540"/>
      <c r="AI52" s="540"/>
      <c r="AJ52" s="540"/>
      <c r="AK52" s="540"/>
      <c r="AM52" s="129"/>
      <c r="AN52" s="129" t="str">
        <f t="shared" si="26"/>
        <v xml:space="preserve">Добавить территорию для дифференциации</v>
      </c>
      <c r="AO52" s="129"/>
      <c r="AP52" s="129"/>
      <c r="AQ52" s="57">
        <v>0</v>
      </c>
    </row>
    <row r="53" s="57" customFormat="1" ht="0" customHeight="1">
      <c r="A53" s="133"/>
      <c r="B53" s="133"/>
      <c r="C53" s="133"/>
      <c r="D53" s="133"/>
      <c r="E53" s="133"/>
      <c r="F53" s="133"/>
      <c r="G53" s="133"/>
      <c r="H53" s="133"/>
      <c r="I53" s="133"/>
      <c r="J53" s="133"/>
      <c r="K53" s="133"/>
      <c r="L53" s="212"/>
      <c r="M53" s="537"/>
      <c r="N53" s="537"/>
      <c r="P53" s="167"/>
      <c r="Q53" s="533"/>
      <c r="R53" s="167"/>
      <c r="S53" s="538"/>
      <c r="T53" s="541" t="s">
        <v>214</v>
      </c>
      <c r="U53" s="540"/>
      <c r="V53" s="540"/>
      <c r="W53" s="540"/>
      <c r="X53" s="540"/>
      <c r="Y53" s="540"/>
      <c r="Z53" s="540"/>
      <c r="AA53" s="540"/>
      <c r="AB53" s="540"/>
      <c r="AC53" s="540"/>
      <c r="AD53" s="540"/>
      <c r="AE53" s="540"/>
      <c r="AF53" s="540"/>
      <c r="AG53" s="540"/>
      <c r="AH53" s="540"/>
      <c r="AI53" s="540"/>
      <c r="AJ53" s="540"/>
      <c r="AK53" s="540"/>
      <c r="AM53" s="129"/>
      <c r="AN53" s="129" t="str">
        <f t="shared" si="26"/>
        <v xml:space="preserve">Добавить наименование тарифа</v>
      </c>
      <c r="AO53" s="129"/>
      <c r="AP53" s="129"/>
      <c r="AQ53" s="57">
        <v>0</v>
      </c>
    </row>
    <row r="54" ht="11.5" customHeight="1">
      <c r="M54" s="53"/>
      <c r="N54" s="53"/>
      <c r="O54" s="53"/>
      <c r="P54" s="50"/>
      <c r="Q54" s="50"/>
      <c r="R54" s="50"/>
      <c r="S54" s="50"/>
      <c r="AL54" s="50"/>
      <c r="AM54" s="50"/>
      <c r="AN54" s="50"/>
      <c r="AO54" s="50"/>
      <c r="AP54" s="50"/>
      <c r="AQ54" s="50">
        <v>11</v>
      </c>
    </row>
    <row r="55" ht="14.65" customHeight="1">
      <c r="O55" s="53"/>
      <c r="S55" s="485"/>
      <c r="T55" s="583"/>
      <c r="U55" s="583"/>
      <c r="V55" s="583"/>
      <c r="W55" s="583"/>
      <c r="X55" s="583"/>
      <c r="Y55" s="583"/>
      <c r="Z55" s="583"/>
      <c r="AA55" s="583"/>
      <c r="AB55" s="583"/>
      <c r="AC55" s="583"/>
      <c r="AD55" s="583"/>
      <c r="AE55" s="583"/>
      <c r="AF55" s="583"/>
      <c r="AG55" s="583"/>
      <c r="AH55" s="583"/>
      <c r="AI55" s="583"/>
      <c r="AJ55" s="583"/>
      <c r="AK55" s="583"/>
      <c r="AQ55" s="50">
        <v>14</v>
      </c>
    </row>
    <row r="56" ht="14.65" customHeight="1">
      <c r="O56" s="53"/>
      <c r="AQ56" s="50">
        <v>14</v>
      </c>
    </row>
    <row r="57" ht="14.65" customHeight="1">
      <c r="O57" s="53"/>
      <c r="S57" s="485"/>
      <c r="T57" s="583"/>
      <c r="U57" s="583"/>
      <c r="V57" s="583"/>
      <c r="W57" s="583"/>
      <c r="X57" s="583"/>
      <c r="Y57" s="583"/>
      <c r="Z57" s="583"/>
      <c r="AA57" s="583"/>
      <c r="AB57" s="583"/>
      <c r="AC57" s="583"/>
      <c r="AD57" s="583"/>
      <c r="AE57" s="583"/>
      <c r="AF57" s="583"/>
      <c r="AG57" s="583"/>
      <c r="AH57" s="583"/>
      <c r="AI57" s="583"/>
      <c r="AJ57" s="583"/>
      <c r="AK57" s="583"/>
      <c r="AQ57" s="50">
        <v>14</v>
      </c>
    </row>
    <row r="58" ht="22.5" hidden="1" customHeight="1">
      <c r="A58" s="53" t="s">
        <v>83</v>
      </c>
      <c r="B58" s="53">
        <v>0</v>
      </c>
      <c r="C58" s="53">
        <v>0</v>
      </c>
      <c r="D58" s="53">
        <v>0</v>
      </c>
      <c r="E58" s="53">
        <v>0</v>
      </c>
      <c r="F58" s="53">
        <v>0</v>
      </c>
      <c r="G58" s="53">
        <v>0</v>
      </c>
      <c r="H58" s="53">
        <v>0</v>
      </c>
      <c r="I58" s="53">
        <v>0</v>
      </c>
      <c r="J58" s="53">
        <v>0</v>
      </c>
      <c r="K58" s="53">
        <v>0</v>
      </c>
      <c r="L58" s="113">
        <v>0</v>
      </c>
      <c r="M58" s="61">
        <v>0</v>
      </c>
      <c r="N58" s="61">
        <v>0</v>
      </c>
      <c r="O58" s="61">
        <v>0</v>
      </c>
      <c r="P58" s="60">
        <v>3</v>
      </c>
      <c r="Q58" s="487">
        <v>3</v>
      </c>
      <c r="R58" s="487">
        <v>3</v>
      </c>
      <c r="S58" s="86">
        <v>12</v>
      </c>
      <c r="T58" s="50">
        <v>35</v>
      </c>
      <c r="U58" s="50">
        <v>0</v>
      </c>
      <c r="V58" s="50">
        <v>0</v>
      </c>
      <c r="W58" s="50">
        <v>0</v>
      </c>
      <c r="X58" s="50">
        <v>0</v>
      </c>
      <c r="Y58" s="50">
        <v>0</v>
      </c>
      <c r="Z58" s="50">
        <v>0</v>
      </c>
      <c r="AA58" s="50">
        <v>0</v>
      </c>
      <c r="AB58" s="50">
        <v>0</v>
      </c>
      <c r="AC58" s="50">
        <v>24</v>
      </c>
      <c r="AD58" s="50">
        <v>24</v>
      </c>
      <c r="AE58" s="50">
        <v>24</v>
      </c>
      <c r="AF58" s="50">
        <v>11</v>
      </c>
      <c r="AG58" s="50">
        <v>3</v>
      </c>
      <c r="AH58" s="50">
        <v>11</v>
      </c>
      <c r="AI58" s="50">
        <v>0</v>
      </c>
      <c r="AJ58" s="50">
        <v>4</v>
      </c>
      <c r="AK58" s="50">
        <v>115</v>
      </c>
      <c r="AL58" s="57">
        <v>10</v>
      </c>
      <c r="AM58" s="57">
        <v>10</v>
      </c>
      <c r="AN58" s="57">
        <v>10</v>
      </c>
      <c r="AO58" s="57">
        <v>10</v>
      </c>
      <c r="AP58" s="57">
        <v>10</v>
      </c>
      <c r="AQ58" s="50">
        <v>23</v>
      </c>
    </row>
  </sheetData>
  <sheetProtection autoFilter="0" deleteColumns="1" deleteRows="1" formatCells="1" formatColumns="0" formatRows="0" insertColumns="1" insertHyperlinks="1" insertRows="1" objects="0" pivotTables="1" scenarios="0" selectLockedCells="0" selectUnlockedCells="0" sheet="1" sort="1"/>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Z7:Z8"/>
    <mergeCell ref="AA7:AA8"/>
    <mergeCell ref="AB7:AB8"/>
    <mergeCell ref="AF7:AF8"/>
    <mergeCell ref="AG7:AG8"/>
    <mergeCell ref="AH7:AH8"/>
    <mergeCell ref="AI7:AI8"/>
    <mergeCell ref="AK7:AK8"/>
    <mergeCell ref="AF15:AF16"/>
    <mergeCell ref="AG15:AG16"/>
    <mergeCell ref="AH15:AH16"/>
    <mergeCell ref="AI15:AI16"/>
    <mergeCell ref="S24:AH24"/>
    <mergeCell ref="S25:AH25"/>
    <mergeCell ref="S27:T27"/>
    <mergeCell ref="V27:AA27"/>
    <mergeCell ref="AC27:AH27"/>
    <mergeCell ref="S28:T28"/>
    <mergeCell ref="V28:AA28"/>
    <mergeCell ref="AC28:AH28"/>
    <mergeCell ref="S29:T29"/>
    <mergeCell ref="V29:AA29"/>
    <mergeCell ref="AC29:AH29"/>
    <mergeCell ref="S30:T30"/>
    <mergeCell ref="V30:AA30"/>
    <mergeCell ref="AC30:AH30"/>
    <mergeCell ref="S32:T32"/>
    <mergeCell ref="V32:AA32"/>
    <mergeCell ref="AC32:AH32"/>
    <mergeCell ref="S33:T33"/>
    <mergeCell ref="V33:AA33"/>
    <mergeCell ref="AC33:AH33"/>
    <mergeCell ref="V35:AB35"/>
    <mergeCell ref="AC35:AI35"/>
    <mergeCell ref="S36:AJ36"/>
    <mergeCell ref="AK36:AK39"/>
    <mergeCell ref="S37:S39"/>
    <mergeCell ref="T37:T39"/>
    <mergeCell ref="V37:AA37"/>
    <mergeCell ref="AB37:AB39"/>
    <mergeCell ref="AC37:AH37"/>
    <mergeCell ref="AI37:AI39"/>
    <mergeCell ref="AJ37:AJ39"/>
    <mergeCell ref="W38:X38"/>
    <mergeCell ref="Y38:AA38"/>
    <mergeCell ref="AD38:AE38"/>
    <mergeCell ref="AF38:AH38"/>
    <mergeCell ref="Z39:AA39"/>
    <mergeCell ref="AG39:AH39"/>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K46:K47"/>
    <mergeCell ref="Y46:Y47"/>
    <mergeCell ref="Z46:Z47"/>
    <mergeCell ref="AA46:AA47"/>
    <mergeCell ref="AB46:AB47"/>
    <mergeCell ref="AF46:AF47"/>
    <mergeCell ref="AG46:AG47"/>
    <mergeCell ref="AH46:AH47"/>
    <mergeCell ref="AI46:AI47"/>
    <mergeCell ref="AK46:AK47"/>
    <mergeCell ref="T55:AK55"/>
    <mergeCell ref="T57:AK57"/>
  </mergeCells>
  <dataValidations count="4" disablePrompts="0">
    <dataValidation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type="none" allowBlank="1" errorStyle="stop" imeMode="noControl" operator="between" promptTitle="checkPeriodRange" showDropDown="0" showErrorMessage="0" showInputMessage="0"/>
    <dataValidation sqref="S131116:AK131122 S196652:AK196658 S262188:AK262194 S327724:AK327730 S393260:AK393266 S458796:AK458802 S524332:AK524338 S589868:AK589874 S655404:AK655410 S720940:AK720946 S786476:AK786482 S852012:AK852018 S917548:AK917554 S983084:AK983090 S65580:AK65586" type="none" allowBlank="1" errorStyle="stop" imeMode="noControl" operator="between"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DC004F-003B-434A-B3C7-00BB00C500FF}" type="list" allowBlank="1" error="Выберите значение из списка" errorStyle="stop" errorTitle="Ошибка" imeMode="noControl" operator="between" showDropDown="0" showErrorMessage="1" showInputMessage="1">
          <x14:formula1>
            <xm:f>kind_of_heat_transfer</xm:f>
          </x14:formula1>
          <xm:sqref>T65578 T131114 T196650 T262186 T327722 T393258 T458794 T524330 T589866 T655402 T720938 T786474 T852010 T917546 T983082</xm:sqref>
        </x14:dataValidation>
        <x14:dataValidation xr:uid="{001D00B5-00FC-4898-B4D9-00B000C9008F}" type="textLength" allowBlank="1" error="Допускается ввод не более 900 символов!" errorStyle="stop" errorTitle="Ошибка" imeMode="noControl" operator="lessThanOrEqual" showDropDown="0" showErrorMessage="1" showInputMessage="1">
          <x14:formula1>
            <xm:f>900</xm:f>
          </x14:formula1>
          <xm: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xm:sqref>
        </x14:dataValidation>
        <x14:dataValidation xr:uid="{000E008B-002C-4539-AB88-005B00A00029}" type="list" allowBlank="1" error="Выберите значение из списка" errorStyle="stop" errorTitle="Ошибка" imeMode="noControl" operator="between" showDropDown="0" showErrorMessage="1" showInputMessage="1">
          <x14:formula1>
            <xm:f>kind_of_scheme_in</xm:f>
          </x14:formula1>
          <xm:sqref>V983080 V65576 V131112 V196648 V262184 V327720 V393256 V458792 V524328 V589864 V655400 V720936 V786472 V852008 V917544 AC983080 AC65576 AC131112 AC196648 AC262184 AC327720 AC393256 AC458792 AC524328 AC589864 AC655400 AC720936 AC786472 AC852008 AC917544</xm:sqref>
        </x14:dataValidation>
        <x14:dataValidation xr:uid="{00DE0061-001D-4CDE-9221-00D700ED0028}"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V983081:AJ983081 V65577:AJ65577 V131113:AJ131113 V196649:AJ196649 V262185:AJ262185 V327721:AJ327721 V393257:AJ393257 V458793:AJ458793 V524329:AJ524329 V589865:AJ589865 V655401:AJ655401 V720937:AJ720937 V786473:AJ786473 V852009:AJ852009 V917545:AJ917545</xm:sqref>
        </x14:dataValidation>
      </x14:dataValidations>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zoomScale="90" workbookViewId="0">
      <pane xSplit="28" ySplit="40" topLeftCell="AC41" activePane="bottomRight" state="frozen"/>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4.140625"/>
    <col customWidth="1" hidden="1" min="10" max="10" style="53" width="9.8515625"/>
    <col customWidth="1" hidden="1" min="11" max="11" style="53" width="14.7109375"/>
    <col customWidth="1" hidden="1" min="12" max="12" style="113" width="19.140625"/>
    <col customWidth="1" hidden="1" min="13" max="14" style="61" width="12.28125"/>
    <col customWidth="1" hidden="1" min="15" max="15" style="61" width="23.421875"/>
    <col customWidth="1" min="16" max="16" style="60" width="3.00390625"/>
    <col customWidth="1" min="17" max="18" style="487" width="3.00390625"/>
    <col customWidth="1" min="19" max="19" style="86" width="12.00390625"/>
    <col customWidth="1" min="20" max="20" style="50" width="35.00390625"/>
    <col customWidth="1" min="21" max="21" style="50" width="0.140625"/>
    <col customWidth="1" hidden="1" min="22" max="24" style="50" width="24.7109375"/>
    <col customWidth="1" hidden="1" min="25" max="25" style="50" width="11.7109375"/>
    <col customWidth="1" hidden="1" min="26" max="26" style="50" width="3.7109375"/>
    <col customWidth="1" hidden="1" min="27" max="27" style="50" width="11.7109375"/>
    <col customWidth="1" hidden="1" min="28" max="28" style="50" width="8.57421875"/>
    <col customWidth="1" min="29" max="29" style="50" width="24.7109375"/>
    <col customWidth="1" min="30" max="31" style="50" width="24.00390625"/>
    <col customWidth="1" min="32" max="32" style="50" width="11.00390625"/>
    <col customWidth="1" min="33" max="33" style="50" width="3.7109375"/>
    <col customWidth="1" min="34" max="34" style="50" width="11.00390625"/>
    <col customWidth="1" hidden="1" min="35" max="35" style="50" width="8.57421875"/>
    <col customWidth="1" min="36" max="36" style="50" width="4.00390625"/>
    <col customWidth="1" min="37" max="37" style="50" width="115.00390625"/>
    <col customWidth="1" min="38" max="42" style="57" width="10.00390625"/>
    <col hidden="1" min="43" max="43" style="50" width="10.57421875"/>
  </cols>
  <sheetData>
    <row r="1" ht="22.5" hidden="1" customHeight="1">
      <c r="X1" s="50"/>
      <c r="Y1" s="50"/>
      <c r="AE1" s="50"/>
      <c r="AF1" s="50"/>
      <c r="AQ1" s="50" t="s">
        <v>14</v>
      </c>
    </row>
    <row r="2" ht="23.25" hidden="1" customHeight="1">
      <c r="A2" s="488"/>
      <c r="B2" s="488"/>
      <c r="C2" s="488"/>
      <c r="D2" s="488"/>
      <c r="E2" s="489">
        <v>1</v>
      </c>
      <c r="F2" s="488"/>
      <c r="G2" s="488"/>
      <c r="H2" s="488"/>
      <c r="I2" s="488"/>
      <c r="J2" s="488"/>
      <c r="K2" s="488"/>
      <c r="L2" s="490"/>
      <c r="M2" s="491"/>
      <c r="N2" s="491"/>
      <c r="O2" s="491"/>
      <c r="P2" s="60"/>
      <c r="Q2" s="143"/>
      <c r="R2" s="492"/>
      <c r="S2" s="493" t="e">
        <f>INDEX(PT_DIFFERENTIATION_NUM_NTAR,MATCH(A2,PT_DIFFERENTIATION_NTAR_ID,0))</f>
        <v>#VALUE!</v>
      </c>
      <c r="T2" s="494" t="s">
        <v>123</v>
      </c>
      <c r="U2" s="495"/>
      <c r="V2" s="496"/>
      <c r="W2" s="497"/>
      <c r="X2" s="497"/>
      <c r="Y2" s="497"/>
      <c r="Z2" s="497"/>
      <c r="AA2" s="497"/>
      <c r="AB2" s="498"/>
      <c r="AC2" s="496" t="e">
        <f>INDEX(PT_DIFFERENTIATION_NTAR,MATCH(A2,PT_DIFFERENTIATION_NTAR_ID,0))</f>
        <v>#VALUE!</v>
      </c>
      <c r="AD2" s="497"/>
      <c r="AE2" s="497"/>
      <c r="AF2" s="497"/>
      <c r="AG2" s="497"/>
      <c r="AH2" s="497"/>
      <c r="AI2" s="497"/>
      <c r="AJ2" s="498"/>
      <c r="AK2" s="4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129"/>
      <c r="AN2" s="129" t="str">
        <f t="shared" ref="AN2:AN9" si="27">IF(T2="","",T2)</f>
        <v xml:space="preserve">Наименование тарифа</v>
      </c>
      <c r="AO2" s="129"/>
      <c r="AP2" s="129"/>
      <c r="AQ2" s="50">
        <v>0</v>
      </c>
    </row>
    <row r="3" ht="23.25" hidden="1" customHeight="1">
      <c r="A3" s="488"/>
      <c r="B3" s="488"/>
      <c r="C3" s="488"/>
      <c r="D3" s="488"/>
      <c r="E3" s="500"/>
      <c r="F3" s="489">
        <v>1</v>
      </c>
      <c r="G3" s="488"/>
      <c r="H3" s="488"/>
      <c r="I3" s="488"/>
      <c r="J3" s="488"/>
      <c r="K3" s="488"/>
      <c r="L3" s="490"/>
      <c r="M3" s="491"/>
      <c r="N3" s="491"/>
      <c r="O3" s="491"/>
      <c r="P3" s="51"/>
      <c r="Q3" s="501"/>
      <c r="R3" s="502"/>
      <c r="S3" s="493" t="e">
        <f>INDEX(PT_DIFFERENTIATION_NUM_TER,MATCH(B3,PT_DIFFERENTIATION_TER_ID,0))</f>
        <v>#VALUE!</v>
      </c>
      <c r="T3" s="503" t="s">
        <v>402</v>
      </c>
      <c r="U3" s="495"/>
      <c r="V3" s="496"/>
      <c r="W3" s="497"/>
      <c r="X3" s="497"/>
      <c r="Y3" s="497"/>
      <c r="Z3" s="497"/>
      <c r="AA3" s="497"/>
      <c r="AB3" s="498"/>
      <c r="AC3" s="496" t="e">
        <f>INDEX(PT_DIFFERENTIATION_TER,MATCH(B3,PT_DIFFERENTIATION_TER_ID,0))</f>
        <v>#VALUE!</v>
      </c>
      <c r="AD3" s="497"/>
      <c r="AE3" s="497"/>
      <c r="AF3" s="497"/>
      <c r="AG3" s="497"/>
      <c r="AH3" s="497"/>
      <c r="AI3" s="497"/>
      <c r="AJ3" s="498"/>
      <c r="AK3" s="499" t="s">
        <v>403</v>
      </c>
      <c r="AM3" s="129"/>
      <c r="AN3" s="129" t="str">
        <f t="shared" si="27"/>
        <v xml:space="preserve">Территория действия тарифа</v>
      </c>
      <c r="AO3" s="129"/>
      <c r="AP3" s="129"/>
      <c r="AQ3" s="50">
        <v>0</v>
      </c>
    </row>
    <row r="4" ht="23.25" hidden="1" customHeight="1">
      <c r="A4" s="488"/>
      <c r="B4" s="488"/>
      <c r="C4" s="488"/>
      <c r="D4" s="488"/>
      <c r="E4" s="500"/>
      <c r="F4" s="500"/>
      <c r="G4" s="489">
        <v>1</v>
      </c>
      <c r="H4" s="488"/>
      <c r="I4" s="488"/>
      <c r="J4" s="488"/>
      <c r="K4" s="488"/>
      <c r="L4" s="490"/>
      <c r="M4" s="491"/>
      <c r="N4" s="491"/>
      <c r="O4" s="491"/>
      <c r="P4" s="504"/>
      <c r="Q4" s="501"/>
      <c r="R4" s="502"/>
      <c r="S4" s="493" t="e">
        <f>INDEX(PT_DIFFERENTIATION_NUM_CS,MATCH(C4,PT_DIFFERENTIATION_CS_ID,0))</f>
        <v>#VALUE!</v>
      </c>
      <c r="T4" s="505" t="s">
        <v>482</v>
      </c>
      <c r="U4" s="495"/>
      <c r="V4" s="496"/>
      <c r="W4" s="497"/>
      <c r="X4" s="497"/>
      <c r="Y4" s="497"/>
      <c r="Z4" s="497"/>
      <c r="AA4" s="497"/>
      <c r="AB4" s="498"/>
      <c r="AC4" s="496" t="e">
        <f>INDEX(PT_DIFFERENTIATION_CS,MATCH(C4,PT_DIFFERENTIATION_CS_ID,0))</f>
        <v>#VALUE!</v>
      </c>
      <c r="AD4" s="497"/>
      <c r="AE4" s="497"/>
      <c r="AF4" s="497"/>
      <c r="AG4" s="497"/>
      <c r="AH4" s="497"/>
      <c r="AI4" s="497"/>
      <c r="AJ4" s="498"/>
      <c r="AK4" s="499" t="s">
        <v>483</v>
      </c>
      <c r="AM4" s="129"/>
      <c r="AN4" s="129" t="str">
        <f t="shared" si="27"/>
        <v xml:space="preserve">Наименование централизованной системы холодного водоснабжения</v>
      </c>
      <c r="AO4" s="129"/>
      <c r="AP4" s="129"/>
      <c r="AQ4" s="50">
        <v>0</v>
      </c>
    </row>
    <row r="5" ht="23.25" hidden="1" customHeight="1">
      <c r="A5" s="488"/>
      <c r="B5" s="488"/>
      <c r="C5" s="488"/>
      <c r="D5" s="488"/>
      <c r="E5" s="500"/>
      <c r="F5" s="500"/>
      <c r="G5" s="500"/>
      <c r="H5" s="500"/>
      <c r="I5" s="507" t="e">
        <f>S4&amp;".1"</f>
        <v>#VALUE!</v>
      </c>
      <c r="J5" s="488"/>
      <c r="K5" s="488"/>
      <c r="L5" s="490"/>
      <c r="P5" s="132">
        <v>1</v>
      </c>
      <c r="Q5" s="132"/>
      <c r="R5" s="508"/>
      <c r="S5" s="493" t="e">
        <f>$I5</f>
        <v>#VALUE!</v>
      </c>
      <c r="T5" s="509" t="s">
        <v>484</v>
      </c>
      <c r="U5" s="495"/>
      <c r="V5" s="685"/>
      <c r="W5" s="686"/>
      <c r="X5" s="686"/>
      <c r="Y5" s="686"/>
      <c r="Z5" s="686"/>
      <c r="AA5" s="686"/>
      <c r="AB5" s="687"/>
      <c r="AC5" s="688"/>
      <c r="AD5" s="689"/>
      <c r="AE5" s="689"/>
      <c r="AF5" s="689"/>
      <c r="AG5" s="689"/>
      <c r="AH5" s="689"/>
      <c r="AI5" s="689"/>
      <c r="AJ5" s="690"/>
      <c r="AK5" s="499" t="s">
        <v>485</v>
      </c>
      <c r="AM5" s="129"/>
      <c r="AN5" s="129" t="str">
        <f t="shared" si="27"/>
        <v xml:space="preserve">Наименование признака дифференциации</v>
      </c>
      <c r="AO5" s="129"/>
      <c r="AP5" s="129"/>
      <c r="AQ5" s="50">
        <v>0</v>
      </c>
    </row>
    <row r="6" ht="23.25" hidden="1" customHeight="1">
      <c r="A6" s="488"/>
      <c r="B6" s="488"/>
      <c r="C6" s="488"/>
      <c r="D6" s="488"/>
      <c r="E6" s="500"/>
      <c r="F6" s="500"/>
      <c r="G6" s="500"/>
      <c r="H6" s="500"/>
      <c r="I6" s="512"/>
      <c r="J6" s="507" t="e">
        <f>I5&amp;".1"</f>
        <v>#VALUE!</v>
      </c>
      <c r="K6" s="488"/>
      <c r="L6" s="490" t="s">
        <v>411</v>
      </c>
      <c r="P6" s="132"/>
      <c r="Q6" s="132">
        <v>1</v>
      </c>
      <c r="R6" s="513"/>
      <c r="S6" s="493" t="e">
        <f>$J6</f>
        <v>#VALUE!</v>
      </c>
      <c r="T6" s="514" t="s">
        <v>412</v>
      </c>
      <c r="U6" s="495"/>
      <c r="V6" s="440"/>
      <c r="W6" s="510"/>
      <c r="X6" s="510"/>
      <c r="Y6" s="510"/>
      <c r="Z6" s="510"/>
      <c r="AA6" s="510"/>
      <c r="AB6" s="511"/>
      <c r="AC6" s="440"/>
      <c r="AD6" s="510"/>
      <c r="AE6" s="510"/>
      <c r="AF6" s="510"/>
      <c r="AG6" s="510"/>
      <c r="AH6" s="510"/>
      <c r="AI6" s="510"/>
      <c r="AJ6" s="511"/>
      <c r="AK6" s="626" t="s">
        <v>486</v>
      </c>
      <c r="AM6" s="129"/>
      <c r="AN6" s="129" t="str">
        <f t="shared" si="27"/>
        <v xml:space="preserve">Группа потребителей</v>
      </c>
      <c r="AO6" s="129"/>
      <c r="AP6" s="129"/>
      <c r="AQ6" s="50">
        <v>0</v>
      </c>
    </row>
    <row r="7" ht="23.25" hidden="1" customHeight="1">
      <c r="A7" s="488"/>
      <c r="B7" s="488"/>
      <c r="C7" s="488"/>
      <c r="D7" s="488"/>
      <c r="E7" s="500"/>
      <c r="F7" s="500"/>
      <c r="G7" s="500"/>
      <c r="H7" s="500"/>
      <c r="I7" s="512"/>
      <c r="J7" s="512"/>
      <c r="K7" s="507" t="e">
        <f>J6&amp;".1"</f>
        <v>#VALUE!</v>
      </c>
      <c r="L7" s="490"/>
      <c r="P7" s="132"/>
      <c r="Q7" s="132"/>
      <c r="R7" s="513">
        <v>1</v>
      </c>
      <c r="S7" s="493" t="e">
        <f>$K7</f>
        <v>#VALUE!</v>
      </c>
      <c r="T7" s="691"/>
      <c r="U7" s="495"/>
      <c r="V7" s="516"/>
      <c r="W7" s="516"/>
      <c r="X7" s="518"/>
      <c r="Y7" s="519"/>
      <c r="Z7" s="224" t="s">
        <v>67</v>
      </c>
      <c r="AA7" s="519"/>
      <c r="AB7" s="224" t="s">
        <v>67</v>
      </c>
      <c r="AC7" s="516"/>
      <c r="AD7" s="516"/>
      <c r="AE7" s="518"/>
      <c r="AF7" s="519"/>
      <c r="AG7" s="224" t="s">
        <v>67</v>
      </c>
      <c r="AH7" s="579"/>
      <c r="AI7" s="224" t="s">
        <v>67</v>
      </c>
      <c r="AJ7" s="692"/>
      <c r="AK7" s="69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 t="e">
        <f>STRCHECKDATE(V8:AJ8)</f>
        <v>#NAME?</v>
      </c>
      <c r="AM7" s="129"/>
      <c r="AN7" s="129" t="str">
        <f t="shared" si="27"/>
        <v/>
      </c>
      <c r="AO7" s="129"/>
      <c r="AP7" s="129"/>
      <c r="AQ7" s="50">
        <v>0</v>
      </c>
    </row>
    <row r="8" ht="14.25" hidden="1" customHeight="1">
      <c r="A8" s="488"/>
      <c r="B8" s="488"/>
      <c r="C8" s="488"/>
      <c r="D8" s="488"/>
      <c r="E8" s="500"/>
      <c r="F8" s="500"/>
      <c r="G8" s="500"/>
      <c r="H8" s="500"/>
      <c r="I8" s="512"/>
      <c r="J8" s="512"/>
      <c r="K8" s="507"/>
      <c r="L8" s="490"/>
      <c r="P8" s="132"/>
      <c r="Q8" s="132"/>
      <c r="R8" s="513"/>
      <c r="S8" s="467"/>
      <c r="T8" s="495"/>
      <c r="U8" s="495"/>
      <c r="V8" s="517"/>
      <c r="W8" s="517"/>
      <c r="X8" s="521" t="str">
        <f>Y7&amp;"-"&amp;AA7</f>
        <v>-</v>
      </c>
      <c r="Y8" s="522"/>
      <c r="Z8" s="224"/>
      <c r="AA8" s="522"/>
      <c r="AB8" s="224"/>
      <c r="AC8" s="517"/>
      <c r="AD8" s="517"/>
      <c r="AE8" s="521" t="str">
        <f>AF7&amp;"-"&amp;AH7</f>
        <v>-</v>
      </c>
      <c r="AF8" s="522"/>
      <c r="AG8" s="224"/>
      <c r="AH8" s="581"/>
      <c r="AI8" s="224"/>
      <c r="AJ8" s="694"/>
      <c r="AK8" s="693"/>
      <c r="AM8" s="129"/>
      <c r="AN8" s="129" t="str">
        <f t="shared" si="27"/>
        <v/>
      </c>
      <c r="AO8" s="129"/>
      <c r="AP8" s="129"/>
      <c r="AQ8" s="50">
        <v>0</v>
      </c>
    </row>
    <row r="9" ht="21" hidden="1" customHeight="1">
      <c r="A9" s="488"/>
      <c r="B9" s="488"/>
      <c r="C9" s="488"/>
      <c r="D9" s="488"/>
      <c r="E9" s="500"/>
      <c r="F9" s="500"/>
      <c r="G9" s="500"/>
      <c r="H9" s="500"/>
      <c r="I9" s="512"/>
      <c r="J9" s="507"/>
      <c r="K9" s="488"/>
      <c r="L9" s="490"/>
      <c r="P9" s="132"/>
      <c r="Q9" s="132"/>
      <c r="R9" s="508"/>
      <c r="S9" s="524"/>
      <c r="T9" s="528" t="s">
        <v>487</v>
      </c>
      <c r="U9" s="214"/>
      <c r="V9" s="214"/>
      <c r="W9" s="214"/>
      <c r="X9" s="214"/>
      <c r="Y9" s="214"/>
      <c r="Z9" s="214"/>
      <c r="AA9" s="214"/>
      <c r="AB9" s="214"/>
      <c r="AC9" s="214"/>
      <c r="AD9" s="214"/>
      <c r="AE9" s="214"/>
      <c r="AF9" s="214"/>
      <c r="AG9" s="214"/>
      <c r="AH9" s="214"/>
      <c r="AI9" s="214"/>
      <c r="AJ9" s="214"/>
      <c r="AK9" s="499" t="s">
        <v>488</v>
      </c>
      <c r="AM9" s="129"/>
      <c r="AN9" s="129" t="str">
        <f t="shared" si="27"/>
        <v xml:space="preserve">Добавить значение признака дифференциации</v>
      </c>
      <c r="AO9" s="129"/>
      <c r="AP9" s="129"/>
      <c r="AQ9" s="50">
        <v>0</v>
      </c>
    </row>
    <row r="10" ht="21" hidden="1" customHeight="1">
      <c r="A10" s="488"/>
      <c r="B10" s="488"/>
      <c r="C10" s="488"/>
      <c r="D10" s="488"/>
      <c r="E10" s="500"/>
      <c r="F10" s="500"/>
      <c r="G10" s="500"/>
      <c r="H10" s="500"/>
      <c r="I10" s="507"/>
      <c r="J10" s="488"/>
      <c r="K10" s="488"/>
      <c r="L10" s="490"/>
      <c r="P10" s="132"/>
      <c r="Q10" s="132"/>
      <c r="R10" s="508"/>
      <c r="S10" s="524"/>
      <c r="T10" s="532" t="s">
        <v>417</v>
      </c>
      <c r="U10" s="214"/>
      <c r="V10" s="214"/>
      <c r="W10" s="214"/>
      <c r="X10" s="214"/>
      <c r="Y10" s="214"/>
      <c r="Z10" s="214"/>
      <c r="AA10" s="214"/>
      <c r="AB10" s="529"/>
      <c r="AC10" s="214"/>
      <c r="AD10" s="214"/>
      <c r="AE10" s="214"/>
      <c r="AF10" s="214"/>
      <c r="AG10" s="214"/>
      <c r="AH10" s="214"/>
      <c r="AI10" s="529"/>
      <c r="AJ10" s="214"/>
      <c r="AK10" s="695"/>
      <c r="AM10" s="129"/>
      <c r="AN10" s="129" t="str">
        <f t="shared" ref="AN10:AN53" si="28">IF(T10="","",T10)</f>
        <v xml:space="preserve">Добавить группу потребителей</v>
      </c>
      <c r="AO10" s="129"/>
      <c r="AP10" s="129"/>
      <c r="AQ10" s="50">
        <v>0</v>
      </c>
    </row>
    <row r="11" ht="21" hidden="1" customHeight="1">
      <c r="A11" s="488"/>
      <c r="B11" s="488"/>
      <c r="C11" s="488"/>
      <c r="D11" s="488"/>
      <c r="E11" s="500"/>
      <c r="F11" s="500"/>
      <c r="G11" s="500"/>
      <c r="H11" s="489"/>
      <c r="I11" s="488"/>
      <c r="J11" s="488"/>
      <c r="K11" s="488"/>
      <c r="L11" s="490"/>
      <c r="M11" s="491"/>
      <c r="N11" s="491"/>
      <c r="O11" s="53"/>
      <c r="P11" s="143"/>
      <c r="Q11" s="531"/>
      <c r="R11" s="492"/>
      <c r="S11" s="524"/>
      <c r="T11" s="696" t="s">
        <v>489</v>
      </c>
      <c r="U11" s="214"/>
      <c r="V11" s="214"/>
      <c r="W11" s="214"/>
      <c r="X11" s="214"/>
      <c r="Y11" s="214"/>
      <c r="Z11" s="214"/>
      <c r="AA11" s="214"/>
      <c r="AB11" s="529"/>
      <c r="AC11" s="214"/>
      <c r="AD11" s="214"/>
      <c r="AE11" s="214"/>
      <c r="AF11" s="214"/>
      <c r="AG11" s="214"/>
      <c r="AH11" s="214"/>
      <c r="AI11" s="529"/>
      <c r="AJ11" s="214"/>
      <c r="AK11" s="530"/>
      <c r="AM11" s="129"/>
      <c r="AN11" s="129" t="str">
        <f t="shared" si="28"/>
        <v xml:space="preserve">Добавить наименование признака дифференциации</v>
      </c>
      <c r="AO11" s="129"/>
      <c r="AP11" s="129"/>
      <c r="AQ11" s="50">
        <v>0</v>
      </c>
    </row>
    <row r="12" s="57" customFormat="1" ht="14.25" hidden="1" customHeight="1">
      <c r="A12" s="133"/>
      <c r="B12" s="133"/>
      <c r="C12" s="133"/>
      <c r="D12" s="133"/>
      <c r="E12" s="500"/>
      <c r="F12" s="489"/>
      <c r="G12" s="133"/>
      <c r="H12" s="133"/>
      <c r="I12" s="133"/>
      <c r="J12" s="133"/>
      <c r="K12" s="133"/>
      <c r="L12" s="212"/>
      <c r="M12" s="537"/>
      <c r="N12" s="537"/>
      <c r="P12" s="167"/>
      <c r="Q12" s="533"/>
      <c r="R12" s="167"/>
      <c r="S12" s="538"/>
      <c r="T12" s="541" t="s">
        <v>212</v>
      </c>
      <c r="U12" s="540"/>
      <c r="V12" s="540"/>
      <c r="W12" s="540"/>
      <c r="X12" s="540"/>
      <c r="Y12" s="540"/>
      <c r="Z12" s="540"/>
      <c r="AA12" s="540"/>
      <c r="AB12" s="540"/>
      <c r="AC12" s="540"/>
      <c r="AD12" s="540"/>
      <c r="AE12" s="540"/>
      <c r="AF12" s="540"/>
      <c r="AG12" s="540"/>
      <c r="AH12" s="540"/>
      <c r="AI12" s="540"/>
      <c r="AJ12" s="540"/>
      <c r="AK12" s="540"/>
      <c r="AM12" s="129"/>
      <c r="AN12" s="129" t="str">
        <f t="shared" si="28"/>
        <v xml:space="preserve">Добавить централизованную систему для дифференциации</v>
      </c>
      <c r="AO12" s="129"/>
      <c r="AP12" s="129"/>
      <c r="AQ12" s="57">
        <v>0</v>
      </c>
    </row>
    <row r="13" s="57" customFormat="1" ht="14.25" hidden="1" customHeight="1">
      <c r="A13" s="133"/>
      <c r="B13" s="133"/>
      <c r="C13" s="133"/>
      <c r="D13" s="133"/>
      <c r="E13" s="489"/>
      <c r="F13" s="133"/>
      <c r="G13" s="133"/>
      <c r="H13" s="133"/>
      <c r="I13" s="133"/>
      <c r="J13" s="133"/>
      <c r="K13" s="133"/>
      <c r="L13" s="212"/>
      <c r="M13" s="537"/>
      <c r="N13" s="537"/>
      <c r="O13" s="57"/>
      <c r="P13" s="167"/>
      <c r="Q13" s="533"/>
      <c r="R13" s="167"/>
      <c r="S13" s="538"/>
      <c r="T13" s="541" t="s">
        <v>213</v>
      </c>
      <c r="U13" s="540"/>
      <c r="V13" s="540"/>
      <c r="W13" s="540"/>
      <c r="X13" s="540"/>
      <c r="Y13" s="540"/>
      <c r="Z13" s="540"/>
      <c r="AA13" s="540"/>
      <c r="AB13" s="540"/>
      <c r="AC13" s="540"/>
      <c r="AD13" s="540"/>
      <c r="AE13" s="540"/>
      <c r="AF13" s="540"/>
      <c r="AG13" s="540"/>
      <c r="AH13" s="540"/>
      <c r="AI13" s="540"/>
      <c r="AJ13" s="540"/>
      <c r="AK13" s="540"/>
      <c r="AM13" s="129"/>
      <c r="AN13" s="129" t="str">
        <f t="shared" si="28"/>
        <v xml:space="preserve">Добавить территорию для дифференциации</v>
      </c>
      <c r="AO13" s="129"/>
      <c r="AP13" s="129"/>
      <c r="AQ13" s="57">
        <v>0</v>
      </c>
    </row>
    <row r="14" ht="14.25" hidden="1" customHeight="1">
      <c r="AB14" s="50"/>
      <c r="AI14" s="50"/>
      <c r="AQ14" s="50">
        <v>0</v>
      </c>
    </row>
    <row r="15" ht="14.25" hidden="1" customHeight="1">
      <c r="AC15" s="542"/>
      <c r="AD15" s="542"/>
      <c r="AE15" s="543"/>
      <c r="AF15" s="544"/>
      <c r="AG15" s="545" t="s">
        <v>67</v>
      </c>
      <c r="AH15" s="544"/>
      <c r="AI15" s="545" t="s">
        <v>67</v>
      </c>
      <c r="AQ15" s="50">
        <v>0</v>
      </c>
    </row>
    <row r="16" ht="14.25" hidden="1" customHeight="1">
      <c r="AC16" s="542"/>
      <c r="AD16" s="542"/>
      <c r="AE16" s="521" t="str">
        <f>AF15&amp;"-"&amp;AH15</f>
        <v>-</v>
      </c>
      <c r="AF16" s="545"/>
      <c r="AG16" s="545"/>
      <c r="AH16" s="545"/>
      <c r="AI16" s="545"/>
      <c r="AQ16" s="50">
        <v>0</v>
      </c>
    </row>
    <row r="17" ht="14.25" hidden="1" customHeight="1">
      <c r="AI17" s="50"/>
      <c r="AQ17" s="50">
        <v>0</v>
      </c>
    </row>
    <row r="18" s="53" customFormat="1" ht="22.5" hidden="1" customHeight="1">
      <c r="L18" s="113"/>
      <c r="M18" s="61"/>
      <c r="N18" s="61"/>
      <c r="O18" s="546" t="s">
        <v>419</v>
      </c>
      <c r="P18" s="61"/>
      <c r="Q18" s="547"/>
      <c r="R18" s="547"/>
      <c r="S18" s="491"/>
      <c r="Y18" s="546"/>
      <c r="AA18" s="546"/>
      <c r="AB18" s="53"/>
      <c r="AF18" s="546"/>
      <c r="AH18" s="546"/>
      <c r="AI18" s="53"/>
      <c r="AL18" s="57"/>
      <c r="AM18" s="57"/>
      <c r="AN18" s="57"/>
      <c r="AO18" s="57"/>
      <c r="AP18" s="57"/>
      <c r="AQ18" s="53">
        <v>0</v>
      </c>
    </row>
    <row r="19" s="53" customFormat="1" ht="14.25" hidden="1" customHeight="1">
      <c r="L19" s="113"/>
      <c r="M19" s="61"/>
      <c r="N19" s="61"/>
      <c r="O19" s="61"/>
      <c r="P19" s="61"/>
      <c r="Q19" s="547"/>
      <c r="R19" s="547"/>
      <c r="S19" s="491"/>
      <c r="AB19" s="53"/>
      <c r="AI19" s="53"/>
      <c r="AL19" s="57"/>
      <c r="AM19" s="57"/>
      <c r="AN19" s="57"/>
      <c r="AO19" s="57"/>
      <c r="AP19" s="57"/>
      <c r="AQ19" s="53">
        <v>0</v>
      </c>
    </row>
    <row r="20" s="53" customFormat="1" ht="12" hidden="1" customHeight="1">
      <c r="L20" s="113"/>
      <c r="M20" s="61"/>
      <c r="N20" s="61"/>
      <c r="O20" s="490" t="s">
        <v>420</v>
      </c>
      <c r="P20" s="61"/>
      <c r="Q20" s="697"/>
      <c r="R20" s="697"/>
      <c r="S20" s="491"/>
      <c r="T20" s="53" t="s">
        <v>421</v>
      </c>
      <c r="Z20" s="151" t="s">
        <v>422</v>
      </c>
      <c r="AB20" s="151" t="s">
        <v>423</v>
      </c>
      <c r="AC20" s="53" t="s">
        <v>421</v>
      </c>
      <c r="AG20" s="151" t="s">
        <v>424</v>
      </c>
      <c r="AI20" s="151" t="s">
        <v>423</v>
      </c>
      <c r="AQ20" s="53">
        <v>0</v>
      </c>
    </row>
    <row r="21" ht="14.25" hidden="1" customHeight="1">
      <c r="O21" s="490"/>
      <c r="AQ21" s="50">
        <v>0</v>
      </c>
    </row>
    <row r="22" ht="14.25" hidden="1" customHeight="1">
      <c r="O22" s="490"/>
      <c r="AQ22" s="50">
        <v>0</v>
      </c>
    </row>
    <row r="23" ht="14.65" customHeight="1">
      <c r="Q23" s="548"/>
      <c r="R23" s="548"/>
      <c r="S23" s="549"/>
      <c r="T23" s="91"/>
      <c r="U23" s="91"/>
      <c r="V23" s="50"/>
      <c r="W23" s="50"/>
      <c r="X23" s="50"/>
      <c r="Y23" s="50"/>
      <c r="Z23" s="50"/>
      <c r="AA23" s="50"/>
      <c r="AB23" s="50"/>
      <c r="AC23" s="50"/>
      <c r="AD23" s="50"/>
      <c r="AE23" s="50"/>
      <c r="AF23" s="50"/>
      <c r="AG23" s="50"/>
      <c r="AH23" s="50"/>
      <c r="AI23" s="50"/>
      <c r="AQ23" s="50">
        <v>14</v>
      </c>
    </row>
    <row r="24" ht="14.65" customHeight="1">
      <c r="Q24" s="548"/>
      <c r="R24" s="548"/>
      <c r="S24" s="461" t="str">
        <f>IF(TEMPLATE_GROUP="P",PT_P_FORM_COLDVSNA_4_NAME_FORM,PT_R_FORM_COLDVSNA_16_NAME_FORM)</f>
        <v xml:space="preserve">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461"/>
      <c r="U24" s="461"/>
      <c r="V24" s="461"/>
      <c r="W24" s="461"/>
      <c r="X24" s="461"/>
      <c r="Y24" s="461"/>
      <c r="Z24" s="461"/>
      <c r="AA24" s="461"/>
      <c r="AB24" s="461"/>
      <c r="AC24" s="461"/>
      <c r="AD24" s="461"/>
      <c r="AE24" s="461"/>
      <c r="AF24" s="461"/>
      <c r="AG24" s="461"/>
      <c r="AH24" s="461"/>
      <c r="AI24" s="240"/>
      <c r="AQ24" s="50">
        <v>14</v>
      </c>
    </row>
    <row r="25" ht="14.65" customHeight="1">
      <c r="Q25" s="548"/>
      <c r="R25" s="548"/>
      <c r="S25" s="316" t="str">
        <f>IF(org=0,"Не определено",org)</f>
        <v xml:space="preserve">АО "ДГК"</v>
      </c>
      <c r="T25" s="316"/>
      <c r="U25" s="316"/>
      <c r="V25" s="316"/>
      <c r="W25" s="316"/>
      <c r="X25" s="316"/>
      <c r="Y25" s="316"/>
      <c r="Z25" s="316"/>
      <c r="AA25" s="316"/>
      <c r="AB25" s="316"/>
      <c r="AC25" s="316"/>
      <c r="AD25" s="316"/>
      <c r="AE25" s="316"/>
      <c r="AF25" s="316"/>
      <c r="AG25" s="316"/>
      <c r="AH25" s="316"/>
      <c r="AI25" s="240"/>
      <c r="AQ25" s="50">
        <v>14</v>
      </c>
    </row>
    <row r="26" ht="14.25" hidden="1" customHeight="1">
      <c r="Q26" s="548"/>
      <c r="R26" s="548"/>
      <c r="S26" s="549"/>
      <c r="T26" s="91"/>
      <c r="U26" s="91"/>
      <c r="V26" s="550"/>
      <c r="W26" s="550"/>
      <c r="X26" s="550"/>
      <c r="Y26" s="550"/>
      <c r="Z26" s="550"/>
      <c r="AA26" s="550"/>
      <c r="AB26" s="550"/>
      <c r="AC26" s="550"/>
      <c r="AD26" s="550"/>
      <c r="AE26" s="550"/>
      <c r="AF26" s="550"/>
      <c r="AG26" s="550"/>
      <c r="AH26" s="550"/>
      <c r="AI26" s="550"/>
      <c r="AJ26" s="50"/>
      <c r="AQ26" s="50">
        <v>0</v>
      </c>
    </row>
    <row r="27" s="184" customFormat="1" ht="25.5" hidden="1" customHeight="1">
      <c r="A27" s="151"/>
      <c r="B27" s="151"/>
      <c r="C27" s="151"/>
      <c r="D27" s="151"/>
      <c r="E27" s="151"/>
      <c r="F27" s="151"/>
      <c r="G27" s="151"/>
      <c r="H27" s="151"/>
      <c r="I27" s="151"/>
      <c r="J27" s="151"/>
      <c r="K27" s="151"/>
      <c r="L27" s="490"/>
      <c r="M27" s="151"/>
      <c r="N27" s="151"/>
      <c r="O27" s="151"/>
      <c r="S27" s="551" t="s">
        <v>42</v>
      </c>
      <c r="T27" s="551"/>
      <c r="U27" s="552"/>
      <c r="V27" s="553" t="str">
        <f>IF(TITLE_NAME_OR_PR_CHANGE="",IF(TITLE_NAME_OR_PR="","",TITLE_NAME_OR_PR),TITLE_NAME_OR_PR_CHANGE)</f>
        <v/>
      </c>
      <c r="W27" s="553"/>
      <c r="X27" s="553"/>
      <c r="Y27" s="553"/>
      <c r="Z27" s="553"/>
      <c r="AA27" s="553"/>
      <c r="AB27" s="50"/>
      <c r="AC27" s="553" t="str">
        <f>IF(TITLE_NAME_OR_PR_CHANGE="",IF(TITLE_NAME_OR_PR="","",TITLE_NAME_OR_PR),TITLE_NAME_OR_PR_CHANGE)</f>
        <v/>
      </c>
      <c r="AD27" s="553"/>
      <c r="AE27" s="553"/>
      <c r="AF27" s="553"/>
      <c r="AG27" s="553"/>
      <c r="AH27" s="553"/>
      <c r="AI27" s="50"/>
      <c r="AJ27" s="50"/>
      <c r="AK27" s="554"/>
      <c r="AL27" s="129"/>
      <c r="AM27" s="129"/>
      <c r="AN27" s="129"/>
      <c r="AO27" s="129"/>
      <c r="AP27" s="129"/>
      <c r="AQ27" s="184">
        <v>0</v>
      </c>
    </row>
    <row r="28" s="184" customFormat="1" ht="18.75" hidden="1" customHeight="1">
      <c r="A28" s="151"/>
      <c r="B28" s="151"/>
      <c r="C28" s="151"/>
      <c r="D28" s="151"/>
      <c r="E28" s="151"/>
      <c r="F28" s="151"/>
      <c r="G28" s="151"/>
      <c r="H28" s="151"/>
      <c r="I28" s="151"/>
      <c r="J28" s="151"/>
      <c r="K28" s="151"/>
      <c r="L28" s="490"/>
      <c r="M28" s="151"/>
      <c r="N28" s="151"/>
      <c r="O28" s="151"/>
      <c r="S28" s="551" t="s">
        <v>425</v>
      </c>
      <c r="T28" s="551"/>
      <c r="U28" s="552"/>
      <c r="V28" s="555">
        <f>IF(TITLE_DATE_PR_CHANGE="",IF(TITLE_DATE_PR="","",TITLE_DATE_PR),TITLE_DATE_PR_CHANGE)</f>
        <v>46212.428518518522</v>
      </c>
      <c r="W28" s="555"/>
      <c r="X28" s="555"/>
      <c r="Y28" s="555"/>
      <c r="Z28" s="555"/>
      <c r="AA28" s="555"/>
      <c r="AB28" s="50"/>
      <c r="AC28" s="555">
        <f>IF(TITLE_DATE_PR_CHANGE="",IF(TITLE_DATE_PR="","",TITLE_DATE_PR),TITLE_DATE_PR_CHANGE)</f>
        <v>46212.428518518522</v>
      </c>
      <c r="AD28" s="555"/>
      <c r="AE28" s="555"/>
      <c r="AF28" s="555"/>
      <c r="AG28" s="555"/>
      <c r="AH28" s="555"/>
      <c r="AI28" s="50"/>
      <c r="AJ28" s="50"/>
      <c r="AK28" s="554"/>
      <c r="AL28" s="129"/>
      <c r="AM28" s="129"/>
      <c r="AN28" s="129"/>
      <c r="AO28" s="129"/>
      <c r="AP28" s="129"/>
      <c r="AQ28" s="184">
        <v>0</v>
      </c>
    </row>
    <row r="29" s="184" customFormat="1" ht="18.75" hidden="1" customHeight="1">
      <c r="A29" s="151"/>
      <c r="B29" s="151"/>
      <c r="C29" s="151"/>
      <c r="D29" s="151"/>
      <c r="E29" s="151"/>
      <c r="F29" s="151"/>
      <c r="G29" s="151"/>
      <c r="H29" s="151"/>
      <c r="I29" s="151"/>
      <c r="J29" s="151"/>
      <c r="K29" s="151"/>
      <c r="L29" s="490"/>
      <c r="M29" s="151"/>
      <c r="N29" s="151"/>
      <c r="O29" s="151"/>
      <c r="S29" s="551" t="s">
        <v>426</v>
      </c>
      <c r="T29" s="551"/>
      <c r="U29" s="552"/>
      <c r="V29" s="553" t="str">
        <f>IF(TITLE_NUMBER_PR_CHANGE="",IF(TITLE_NUMBER_PR="","",TITLE_NUMBER_PR),TITLE_NUMBER_PR_CHANGE)</f>
        <v>Исх-260/1397</v>
      </c>
      <c r="W29" s="553"/>
      <c r="X29" s="553"/>
      <c r="Y29" s="553"/>
      <c r="Z29" s="553"/>
      <c r="AA29" s="553"/>
      <c r="AB29" s="50"/>
      <c r="AC29" s="553" t="str">
        <f>IF(TITLE_NUMBER_PR_CHANGE="",IF(TITLE_NUMBER_PR="","",TITLE_NUMBER_PR),TITLE_NUMBER_PR_CHANGE)</f>
        <v>Исх-260/1397</v>
      </c>
      <c r="AD29" s="553"/>
      <c r="AE29" s="553"/>
      <c r="AF29" s="553"/>
      <c r="AG29" s="553"/>
      <c r="AH29" s="553"/>
      <c r="AI29" s="50"/>
      <c r="AJ29" s="50"/>
      <c r="AK29" s="554"/>
      <c r="AL29" s="129"/>
      <c r="AM29" s="129"/>
      <c r="AN29" s="129"/>
      <c r="AO29" s="129"/>
      <c r="AP29" s="129"/>
      <c r="AQ29" s="184">
        <v>0</v>
      </c>
    </row>
    <row r="30" s="184" customFormat="1" ht="18.75" hidden="1" customHeight="1">
      <c r="A30" s="151"/>
      <c r="B30" s="151"/>
      <c r="C30" s="151"/>
      <c r="D30" s="151"/>
      <c r="E30" s="151"/>
      <c r="F30" s="151"/>
      <c r="G30" s="151"/>
      <c r="H30" s="151"/>
      <c r="I30" s="151"/>
      <c r="J30" s="151"/>
      <c r="K30" s="151"/>
      <c r="L30" s="490"/>
      <c r="M30" s="151"/>
      <c r="N30" s="151"/>
      <c r="O30" s="151"/>
      <c r="S30" s="551" t="s">
        <v>43</v>
      </c>
      <c r="T30" s="551"/>
      <c r="U30" s="552"/>
      <c r="V30" s="553" t="str">
        <f>IF(TITLE_IST_PUB_CHANGE="",IF(TITLE_IST_PUB="","",TITLE_IST_PUB),TITLE_IST_PUB_CHANGE)</f>
        <v/>
      </c>
      <c r="W30" s="553"/>
      <c r="X30" s="553"/>
      <c r="Y30" s="553"/>
      <c r="Z30" s="553"/>
      <c r="AA30" s="553"/>
      <c r="AB30" s="50"/>
      <c r="AC30" s="553" t="str">
        <f>IF(TITLE_IST_PUB_CHANGE="",IF(TITLE_IST_PUB="","",TITLE_IST_PUB),TITLE_IST_PUB_CHANGE)</f>
        <v/>
      </c>
      <c r="AD30" s="553"/>
      <c r="AE30" s="553"/>
      <c r="AF30" s="553"/>
      <c r="AG30" s="553"/>
      <c r="AH30" s="553"/>
      <c r="AI30" s="50"/>
      <c r="AJ30" s="50"/>
      <c r="AK30" s="554"/>
      <c r="AL30" s="129"/>
      <c r="AM30" s="129"/>
      <c r="AN30" s="129"/>
      <c r="AO30" s="129"/>
      <c r="AP30" s="129"/>
      <c r="AQ30" s="184">
        <v>0</v>
      </c>
    </row>
    <row r="31" ht="14.25" customHeight="1">
      <c r="Q31" s="548"/>
      <c r="R31" s="548"/>
      <c r="S31" s="549"/>
      <c r="T31" s="91"/>
      <c r="U31" s="91"/>
      <c r="V31" s="550"/>
      <c r="W31" s="550"/>
      <c r="X31" s="550"/>
      <c r="Y31" s="550"/>
      <c r="Z31" s="550"/>
      <c r="AA31" s="550"/>
      <c r="AB31" s="550"/>
      <c r="AC31" s="550"/>
      <c r="AD31" s="550"/>
      <c r="AE31" s="550"/>
      <c r="AF31" s="550"/>
      <c r="AG31" s="550"/>
      <c r="AH31" s="550"/>
      <c r="AI31" s="550"/>
      <c r="AJ31" s="50"/>
      <c r="AQ31" s="50">
        <v>0</v>
      </c>
    </row>
    <row r="32" s="184" customFormat="1" ht="18.75" customHeight="1">
      <c r="A32" s="151"/>
      <c r="B32" s="151"/>
      <c r="C32" s="151"/>
      <c r="D32" s="151"/>
      <c r="E32" s="151"/>
      <c r="F32" s="151"/>
      <c r="G32" s="151"/>
      <c r="H32" s="151"/>
      <c r="I32" s="151"/>
      <c r="J32" s="151"/>
      <c r="K32" s="151"/>
      <c r="L32" s="490"/>
      <c r="M32" s="151"/>
      <c r="N32" s="151"/>
      <c r="O32" s="151"/>
      <c r="S32" s="551" t="s">
        <v>427</v>
      </c>
      <c r="T32" s="551"/>
      <c r="U32" s="552"/>
      <c r="V32" s="555">
        <f>IF(TITLE_DATE_PR_CHANGE="",IF(TITLE_DATE_PR="","",TITLE_DATE_PR),TITLE_DATE_PR_CHANGE)</f>
        <v>46212.428518518522</v>
      </c>
      <c r="W32" s="555"/>
      <c r="X32" s="555"/>
      <c r="Y32" s="555"/>
      <c r="Z32" s="555"/>
      <c r="AA32" s="555"/>
      <c r="AB32" s="50"/>
      <c r="AC32" s="555">
        <f>IF(TITLE_DATE_PR_CHANGE="",IF(TITLE_DATE_PR="","",TITLE_DATE_PR),TITLE_DATE_PR_CHANGE)</f>
        <v>46212.428518518522</v>
      </c>
      <c r="AD32" s="555"/>
      <c r="AE32" s="555"/>
      <c r="AF32" s="555"/>
      <c r="AG32" s="555"/>
      <c r="AH32" s="555"/>
      <c r="AI32" s="50"/>
      <c r="AJ32" s="50"/>
      <c r="AK32" s="554"/>
      <c r="AL32" s="129"/>
      <c r="AM32" s="129"/>
      <c r="AN32" s="129"/>
      <c r="AO32" s="129"/>
      <c r="AP32" s="129"/>
      <c r="AQ32" s="184">
        <v>0</v>
      </c>
    </row>
    <row r="33" s="184" customFormat="1" ht="18.75" customHeight="1">
      <c r="A33" s="151"/>
      <c r="B33" s="151"/>
      <c r="C33" s="151"/>
      <c r="D33" s="151"/>
      <c r="E33" s="151"/>
      <c r="F33" s="151"/>
      <c r="G33" s="151"/>
      <c r="H33" s="151"/>
      <c r="I33" s="151"/>
      <c r="J33" s="151"/>
      <c r="K33" s="151"/>
      <c r="L33" s="490"/>
      <c r="M33" s="151"/>
      <c r="N33" s="151"/>
      <c r="O33" s="151"/>
      <c r="S33" s="551" t="s">
        <v>428</v>
      </c>
      <c r="T33" s="551"/>
      <c r="U33" s="552"/>
      <c r="V33" s="553" t="str">
        <f>IF(TITLE_NUMBER_PR_CHANGE="",IF(TITLE_NUMBER_PR="","",TITLE_NUMBER_PR),TITLE_NUMBER_PR_CHANGE)</f>
        <v>Исх-260/1397</v>
      </c>
      <c r="W33" s="553"/>
      <c r="X33" s="553"/>
      <c r="Y33" s="553"/>
      <c r="Z33" s="553"/>
      <c r="AA33" s="553"/>
      <c r="AB33" s="50"/>
      <c r="AC33" s="553" t="str">
        <f>IF(TITLE_NUMBER_PR_CHANGE="",IF(TITLE_NUMBER_PR="","",TITLE_NUMBER_PR),TITLE_NUMBER_PR_CHANGE)</f>
        <v>Исх-260/1397</v>
      </c>
      <c r="AD33" s="553"/>
      <c r="AE33" s="553"/>
      <c r="AF33" s="553"/>
      <c r="AG33" s="553"/>
      <c r="AH33" s="553"/>
      <c r="AI33" s="50"/>
      <c r="AJ33" s="50"/>
      <c r="AK33" s="554"/>
      <c r="AL33" s="129"/>
      <c r="AM33" s="129"/>
      <c r="AN33" s="129"/>
      <c r="AO33" s="129"/>
      <c r="AP33" s="129"/>
      <c r="AQ33" s="184">
        <v>0</v>
      </c>
    </row>
    <row r="34" s="184" customFormat="1" ht="1.05" customHeight="1">
      <c r="A34" s="151"/>
      <c r="B34" s="151"/>
      <c r="C34" s="151"/>
      <c r="D34" s="151"/>
      <c r="E34" s="151"/>
      <c r="F34" s="151"/>
      <c r="G34" s="151"/>
      <c r="H34" s="151"/>
      <c r="I34" s="151"/>
      <c r="J34" s="151"/>
      <c r="K34" s="151"/>
      <c r="L34" s="490"/>
      <c r="M34" s="151"/>
      <c r="N34" s="151"/>
      <c r="O34" s="151"/>
      <c r="S34" s="50"/>
      <c r="T34" s="50"/>
      <c r="U34" s="140"/>
      <c r="V34" s="50"/>
      <c r="W34" s="50"/>
      <c r="X34" s="50"/>
      <c r="Y34" s="50"/>
      <c r="Z34" s="50"/>
      <c r="AA34" s="50"/>
      <c r="AB34" s="57" t="s">
        <v>429</v>
      </c>
      <c r="AC34" s="50"/>
      <c r="AD34" s="50"/>
      <c r="AE34" s="50"/>
      <c r="AF34" s="50"/>
      <c r="AG34" s="50"/>
      <c r="AH34" s="50"/>
      <c r="AI34" s="57" t="s">
        <v>429</v>
      </c>
      <c r="AL34" s="129"/>
      <c r="AM34" s="129"/>
      <c r="AN34" s="129"/>
      <c r="AO34" s="129"/>
      <c r="AP34" s="129"/>
      <c r="AQ34" s="184">
        <v>1</v>
      </c>
    </row>
    <row r="35" ht="14.65" customHeight="1">
      <c r="Q35" s="548"/>
      <c r="R35" s="548"/>
      <c r="S35" s="549"/>
      <c r="T35" s="91"/>
      <c r="U35" s="556"/>
      <c r="V35" s="557"/>
      <c r="W35" s="557"/>
      <c r="X35" s="557"/>
      <c r="Y35" s="557"/>
      <c r="Z35" s="557"/>
      <c r="AA35" s="557"/>
      <c r="AB35" s="557"/>
      <c r="AC35" s="557"/>
      <c r="AD35" s="557"/>
      <c r="AE35" s="557"/>
      <c r="AF35" s="557"/>
      <c r="AG35" s="557"/>
      <c r="AH35" s="557"/>
      <c r="AI35" s="557"/>
      <c r="AQ35" s="50">
        <v>14</v>
      </c>
    </row>
    <row r="36" ht="14.65" customHeight="1">
      <c r="Q36" s="548"/>
      <c r="R36" s="548"/>
      <c r="S36" s="157" t="s">
        <v>305</v>
      </c>
      <c r="T36" s="157"/>
      <c r="U36" s="157"/>
      <c r="V36" s="157"/>
      <c r="W36" s="157"/>
      <c r="X36" s="157"/>
      <c r="Y36" s="157"/>
      <c r="Z36" s="157"/>
      <c r="AA36" s="157"/>
      <c r="AB36" s="157"/>
      <c r="AC36" s="157"/>
      <c r="AD36" s="157"/>
      <c r="AE36" s="157"/>
      <c r="AF36" s="157"/>
      <c r="AG36" s="157"/>
      <c r="AH36" s="157"/>
      <c r="AI36" s="157"/>
      <c r="AJ36" s="157"/>
      <c r="AK36" s="157" t="s">
        <v>306</v>
      </c>
      <c r="AQ36" s="50">
        <v>14</v>
      </c>
    </row>
    <row r="37" ht="14.65" customHeight="1">
      <c r="Q37" s="548"/>
      <c r="R37" s="548"/>
      <c r="S37" s="493" t="s">
        <v>89</v>
      </c>
      <c r="T37" s="358" t="s">
        <v>430</v>
      </c>
      <c r="U37" s="558"/>
      <c r="V37" s="559" t="s">
        <v>431</v>
      </c>
      <c r="W37" s="560"/>
      <c r="X37" s="560"/>
      <c r="Y37" s="560"/>
      <c r="Z37" s="560"/>
      <c r="AA37" s="561"/>
      <c r="AB37" s="562" t="s">
        <v>432</v>
      </c>
      <c r="AC37" s="559" t="s">
        <v>431</v>
      </c>
      <c r="AD37" s="560"/>
      <c r="AE37" s="560"/>
      <c r="AF37" s="560"/>
      <c r="AG37" s="560"/>
      <c r="AH37" s="561"/>
      <c r="AI37" s="562" t="s">
        <v>433</v>
      </c>
      <c r="AJ37" s="563" t="s">
        <v>434</v>
      </c>
      <c r="AK37" s="157"/>
      <c r="AQ37" s="50">
        <v>14</v>
      </c>
    </row>
    <row r="38" ht="35.649999999999999" customHeight="1">
      <c r="Q38" s="548"/>
      <c r="R38" s="548"/>
      <c r="S38" s="493"/>
      <c r="T38" s="358"/>
      <c r="U38" s="564"/>
      <c r="V38" s="320" t="s">
        <v>490</v>
      </c>
      <c r="W38" s="73" t="s">
        <v>437</v>
      </c>
      <c r="X38" s="72"/>
      <c r="Y38" s="73" t="s">
        <v>438</v>
      </c>
      <c r="Z38" s="145"/>
      <c r="AA38" s="72"/>
      <c r="AB38" s="566"/>
      <c r="AC38" s="320" t="s">
        <v>490</v>
      </c>
      <c r="AD38" s="73" t="s">
        <v>437</v>
      </c>
      <c r="AE38" s="72"/>
      <c r="AF38" s="73" t="s">
        <v>438</v>
      </c>
      <c r="AG38" s="145"/>
      <c r="AH38" s="72"/>
      <c r="AI38" s="566"/>
      <c r="AJ38" s="567"/>
      <c r="AK38" s="157"/>
      <c r="AQ38" s="50">
        <v>34</v>
      </c>
    </row>
    <row r="39" ht="35.649999999999999" customHeight="1">
      <c r="A39" s="151"/>
      <c r="B39" s="151" t="s">
        <v>135</v>
      </c>
      <c r="C39" s="151" t="s">
        <v>136</v>
      </c>
      <c r="D39" s="151" t="s">
        <v>137</v>
      </c>
      <c r="E39" s="490" t="s">
        <v>439</v>
      </c>
      <c r="F39" s="490" t="s">
        <v>440</v>
      </c>
      <c r="G39" s="490" t="s">
        <v>441</v>
      </c>
      <c r="H39" s="490"/>
      <c r="I39" s="490" t="s">
        <v>491</v>
      </c>
      <c r="J39" s="490" t="s">
        <v>444</v>
      </c>
      <c r="K39" s="490" t="s">
        <v>492</v>
      </c>
      <c r="L39" s="490" t="s">
        <v>420</v>
      </c>
      <c r="Q39" s="548"/>
      <c r="R39" s="548"/>
      <c r="S39" s="493"/>
      <c r="T39" s="358"/>
      <c r="U39" s="568"/>
      <c r="V39" s="320" t="s">
        <v>493</v>
      </c>
      <c r="W39" s="246" t="s">
        <v>494</v>
      </c>
      <c r="X39" s="246" t="s">
        <v>495</v>
      </c>
      <c r="Y39" s="246" t="s">
        <v>448</v>
      </c>
      <c r="Z39" s="424" t="s">
        <v>449</v>
      </c>
      <c r="AA39" s="426"/>
      <c r="AB39" s="570"/>
      <c r="AC39" s="320" t="s">
        <v>493</v>
      </c>
      <c r="AD39" s="246" t="s">
        <v>494</v>
      </c>
      <c r="AE39" s="246" t="s">
        <v>495</v>
      </c>
      <c r="AF39" s="246" t="s">
        <v>448</v>
      </c>
      <c r="AG39" s="424" t="s">
        <v>449</v>
      </c>
      <c r="AH39" s="426"/>
      <c r="AI39" s="570"/>
      <c r="AJ39" s="571"/>
      <c r="AK39" s="157"/>
      <c r="AQ39" s="50">
        <v>34</v>
      </c>
    </row>
    <row r="40" s="131" customFormat="1" ht="0" customHeight="1">
      <c r="A40" s="151"/>
      <c r="B40" s="151"/>
      <c r="C40" s="151"/>
      <c r="D40" s="151"/>
      <c r="E40" s="151"/>
      <c r="F40" s="151"/>
      <c r="G40" s="151"/>
      <c r="H40" s="151"/>
      <c r="I40" s="151"/>
      <c r="J40" s="151"/>
      <c r="K40" s="151"/>
      <c r="L40" s="490"/>
      <c r="M40" s="61"/>
      <c r="N40" s="61"/>
      <c r="O40" s="61"/>
      <c r="P40" s="572"/>
      <c r="Q40" s="573"/>
      <c r="R40" s="574">
        <v>1</v>
      </c>
      <c r="S40" s="575" t="s">
        <v>109</v>
      </c>
      <c r="T40" s="576" t="s">
        <v>110</v>
      </c>
      <c r="U40" s="577" t="str">
        <f ca="1">OFFSET(U40,0,-1)</f>
        <v>2</v>
      </c>
      <c r="V40" s="578">
        <f ca="1">OFFSET(V40,0,-1)+1</f>
        <v>3</v>
      </c>
      <c r="W40" s="578">
        <f ca="1">OFFSET(W40,0,-1)+1</f>
        <v>4</v>
      </c>
      <c r="X40" s="578">
        <f ca="1">OFFSET(X40,0,-1)+1</f>
        <v>5</v>
      </c>
      <c r="Y40" s="578">
        <f ca="1">OFFSET(Y40,0,-1)+1</f>
        <v>6</v>
      </c>
      <c r="Z40" s="578">
        <f ca="1">OFFSET(Z40,0,-1)+1</f>
        <v>7</v>
      </c>
      <c r="AA40" s="578"/>
      <c r="AB40" s="578">
        <f ca="1">OFFSET(AB40,0,-2)+1</f>
        <v>8</v>
      </c>
      <c r="AC40" s="578">
        <f ca="1">OFFSET(AC40,0,-1)+1</f>
        <v>9</v>
      </c>
      <c r="AD40" s="578">
        <f ca="1">OFFSET(AD40,0,-1)+1</f>
        <v>10</v>
      </c>
      <c r="AE40" s="578">
        <f ca="1">OFFSET(AE40,0,-1)+1</f>
        <v>11</v>
      </c>
      <c r="AF40" s="578">
        <f ca="1">OFFSET(AF40,0,-1)+1</f>
        <v>12</v>
      </c>
      <c r="AG40" s="578">
        <f ca="1">OFFSET(AG40,0,-1)+1</f>
        <v>13</v>
      </c>
      <c r="AH40" s="578"/>
      <c r="AI40" s="578">
        <f ca="1">OFFSET(AI40,0,-2)+1</f>
        <v>14</v>
      </c>
      <c r="AJ40" s="577">
        <f ca="1">OFFSET(AJ40,0,-1)</f>
        <v>14</v>
      </c>
      <c r="AK40" s="578">
        <f ca="1">OFFSET(AK40,0,-1)+1</f>
        <v>15</v>
      </c>
      <c r="AL40" s="57"/>
      <c r="AM40" s="57"/>
      <c r="AN40" s="57"/>
      <c r="AO40" s="57"/>
      <c r="AP40" s="57"/>
      <c r="AQ40" s="131">
        <v>0</v>
      </c>
    </row>
    <row r="41" ht="24" customHeight="1">
      <c r="A41" s="488" t="s">
        <v>241</v>
      </c>
      <c r="B41" s="488"/>
      <c r="C41" s="488"/>
      <c r="D41" s="488"/>
      <c r="E41" s="489">
        <v>1</v>
      </c>
      <c r="F41" s="488"/>
      <c r="G41" s="488"/>
      <c r="H41" s="488"/>
      <c r="I41" s="488"/>
      <c r="J41" s="488"/>
      <c r="K41" s="488"/>
      <c r="L41" s="490"/>
      <c r="M41" s="491"/>
      <c r="N41" s="491"/>
      <c r="O41" s="491"/>
      <c r="P41" s="60"/>
      <c r="Q41" s="143"/>
      <c r="R41" s="492"/>
      <c r="S41" s="493">
        <f>INDEX(PT_DIFFERENTIATION_NUM_NTAR,MATCH(A41,PT_DIFFERENTIATION_NTAR_ID,0))</f>
        <v>0</v>
      </c>
      <c r="T41" s="494" t="s">
        <v>123</v>
      </c>
      <c r="U41" s="495"/>
      <c r="V41" s="496"/>
      <c r="W41" s="497"/>
      <c r="X41" s="497"/>
      <c r="Y41" s="497"/>
      <c r="Z41" s="497"/>
      <c r="AA41" s="497"/>
      <c r="AB41" s="498"/>
      <c r="AC41" s="496" t="str">
        <f>INDEX(PT_DIFFERENTIATION_NTAR,MATCH(A41,PT_DIFFERENTIATION_NTAR_ID,0))</f>
        <v/>
      </c>
      <c r="AD41" s="497"/>
      <c r="AE41" s="497"/>
      <c r="AF41" s="497"/>
      <c r="AG41" s="497"/>
      <c r="AH41" s="497"/>
      <c r="AI41" s="497"/>
      <c r="AJ41" s="498"/>
      <c r="AK41" s="4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129"/>
      <c r="AN41" s="129" t="str">
        <f t="shared" si="28"/>
        <v xml:space="preserve">Наименование тарифа</v>
      </c>
      <c r="AO41" s="129"/>
      <c r="AP41" s="129"/>
      <c r="AQ41" s="50">
        <v>23</v>
      </c>
    </row>
    <row r="42" ht="24" customHeight="1">
      <c r="A42" s="488" t="s">
        <v>241</v>
      </c>
      <c r="B42" s="488" t="s">
        <v>242</v>
      </c>
      <c r="C42" s="488"/>
      <c r="D42" s="488"/>
      <c r="E42" s="500"/>
      <c r="F42" s="489">
        <v>1</v>
      </c>
      <c r="G42" s="488"/>
      <c r="H42" s="488"/>
      <c r="I42" s="488"/>
      <c r="J42" s="488"/>
      <c r="K42" s="488"/>
      <c r="L42" s="490"/>
      <c r="M42" s="491"/>
      <c r="N42" s="491"/>
      <c r="O42" s="491"/>
      <c r="P42" s="51"/>
      <c r="Q42" s="501"/>
      <c r="R42" s="502"/>
      <c r="S42" s="493" t="str">
        <f>INDEX(PT_DIFFERENTIATION_NUM_TER,MATCH(B42,PT_DIFFERENTIATION_TER_ID,0))</f>
        <v>.</v>
      </c>
      <c r="T42" s="503" t="s">
        <v>402</v>
      </c>
      <c r="U42" s="495"/>
      <c r="V42" s="496"/>
      <c r="W42" s="497"/>
      <c r="X42" s="497"/>
      <c r="Y42" s="497"/>
      <c r="Z42" s="497"/>
      <c r="AA42" s="497"/>
      <c r="AB42" s="498"/>
      <c r="AC42" s="496" t="str">
        <f>INDEX(PT_DIFFERENTIATION_TER,MATCH(B42,PT_DIFFERENTIATION_TER_ID,0))</f>
        <v/>
      </c>
      <c r="AD42" s="497"/>
      <c r="AE42" s="497"/>
      <c r="AF42" s="497"/>
      <c r="AG42" s="497"/>
      <c r="AH42" s="497"/>
      <c r="AI42" s="497"/>
      <c r="AJ42" s="498"/>
      <c r="AK42" s="499" t="s">
        <v>403</v>
      </c>
      <c r="AM42" s="129"/>
      <c r="AN42" s="129" t="str">
        <f t="shared" si="28"/>
        <v xml:space="preserve">Территория действия тарифа</v>
      </c>
      <c r="AO42" s="129"/>
      <c r="AP42" s="129"/>
      <c r="AQ42" s="50">
        <v>23</v>
      </c>
    </row>
    <row r="43" ht="24" customHeight="1">
      <c r="A43" s="488" t="s">
        <v>241</v>
      </c>
      <c r="B43" s="488" t="s">
        <v>242</v>
      </c>
      <c r="C43" s="488" t="s">
        <v>243</v>
      </c>
      <c r="D43" s="488"/>
      <c r="E43" s="500"/>
      <c r="F43" s="500"/>
      <c r="G43" s="489">
        <v>1</v>
      </c>
      <c r="H43" s="488"/>
      <c r="I43" s="488"/>
      <c r="J43" s="488"/>
      <c r="K43" s="488"/>
      <c r="L43" s="490"/>
      <c r="M43" s="491"/>
      <c r="N43" s="491"/>
      <c r="O43" s="491"/>
      <c r="P43" s="504"/>
      <c r="Q43" s="501"/>
      <c r="R43" s="502"/>
      <c r="S43" s="493" t="str">
        <f>INDEX(PT_DIFFERENTIATION_NUM_CS,MATCH(C43,PT_DIFFERENTIATION_CS_ID,0))</f>
        <v>..</v>
      </c>
      <c r="T43" s="505" t="s">
        <v>482</v>
      </c>
      <c r="U43" s="495"/>
      <c r="V43" s="496"/>
      <c r="W43" s="497"/>
      <c r="X43" s="497"/>
      <c r="Y43" s="497"/>
      <c r="Z43" s="497"/>
      <c r="AA43" s="497"/>
      <c r="AB43" s="498"/>
      <c r="AC43" s="496" t="str">
        <f>INDEX(PT_DIFFERENTIATION_CS,MATCH(C43,PT_DIFFERENTIATION_CS_ID,0))</f>
        <v/>
      </c>
      <c r="AD43" s="497"/>
      <c r="AE43" s="497"/>
      <c r="AF43" s="497"/>
      <c r="AG43" s="497"/>
      <c r="AH43" s="497"/>
      <c r="AI43" s="497"/>
      <c r="AJ43" s="498"/>
      <c r="AK43" s="499" t="s">
        <v>483</v>
      </c>
      <c r="AM43" s="129"/>
      <c r="AN43" s="129" t="str">
        <f t="shared" si="28"/>
        <v xml:space="preserve">Наименование централизованной системы холодного водоснабжения</v>
      </c>
      <c r="AO43" s="129"/>
      <c r="AP43" s="129"/>
      <c r="AQ43" s="50">
        <v>23</v>
      </c>
    </row>
    <row r="44" ht="24" customHeight="1">
      <c r="A44" s="488" t="s">
        <v>241</v>
      </c>
      <c r="B44" s="488" t="s">
        <v>242</v>
      </c>
      <c r="C44" s="488" t="s">
        <v>243</v>
      </c>
      <c r="D44" s="488" t="s">
        <v>498</v>
      </c>
      <c r="E44" s="500"/>
      <c r="F44" s="500"/>
      <c r="G44" s="500"/>
      <c r="H44" s="500"/>
      <c r="I44" s="507" t="str">
        <f>S43&amp;".1"</f>
        <v>...1</v>
      </c>
      <c r="J44" s="488"/>
      <c r="K44" s="488"/>
      <c r="L44" s="490"/>
      <c r="P44" s="132">
        <v>1</v>
      </c>
      <c r="Q44" s="132"/>
      <c r="R44" s="508"/>
      <c r="S44" s="493" t="str">
        <f>$I44</f>
        <v>...1</v>
      </c>
      <c r="T44" s="509" t="s">
        <v>484</v>
      </c>
      <c r="U44" s="495"/>
      <c r="V44" s="685"/>
      <c r="W44" s="686"/>
      <c r="X44" s="686"/>
      <c r="Y44" s="686"/>
      <c r="Z44" s="686"/>
      <c r="AA44" s="686"/>
      <c r="AB44" s="687"/>
      <c r="AC44" s="688"/>
      <c r="AD44" s="689"/>
      <c r="AE44" s="689"/>
      <c r="AF44" s="689"/>
      <c r="AG44" s="689"/>
      <c r="AH44" s="689"/>
      <c r="AI44" s="689"/>
      <c r="AJ44" s="690"/>
      <c r="AK44" s="499" t="s">
        <v>485</v>
      </c>
      <c r="AM44" s="129"/>
      <c r="AN44" s="129" t="str">
        <f t="shared" si="28"/>
        <v xml:space="preserve">Наименование признака дифференциации</v>
      </c>
      <c r="AO44" s="129"/>
      <c r="AP44" s="129"/>
      <c r="AQ44" s="50">
        <v>23</v>
      </c>
    </row>
    <row r="45" ht="24" customHeight="1">
      <c r="A45" s="488" t="s">
        <v>241</v>
      </c>
      <c r="B45" s="488" t="s">
        <v>242</v>
      </c>
      <c r="C45" s="488" t="s">
        <v>243</v>
      </c>
      <c r="D45" s="488" t="s">
        <v>498</v>
      </c>
      <c r="E45" s="500"/>
      <c r="F45" s="500"/>
      <c r="G45" s="500"/>
      <c r="H45" s="500"/>
      <c r="I45" s="512"/>
      <c r="J45" s="507" t="str">
        <f>I44&amp;".1"</f>
        <v>...1.1</v>
      </c>
      <c r="K45" s="488"/>
      <c r="L45" s="490" t="s">
        <v>411</v>
      </c>
      <c r="P45" s="132"/>
      <c r="Q45" s="132">
        <v>1</v>
      </c>
      <c r="R45" s="513"/>
      <c r="S45" s="493" t="str">
        <f>$J45</f>
        <v>...1.1</v>
      </c>
      <c r="T45" s="514" t="s">
        <v>412</v>
      </c>
      <c r="U45" s="495"/>
      <c r="V45" s="440"/>
      <c r="W45" s="510"/>
      <c r="X45" s="510"/>
      <c r="Y45" s="510"/>
      <c r="Z45" s="510"/>
      <c r="AA45" s="510"/>
      <c r="AB45" s="511"/>
      <c r="AC45" s="440"/>
      <c r="AD45" s="510"/>
      <c r="AE45" s="510"/>
      <c r="AF45" s="510"/>
      <c r="AG45" s="510"/>
      <c r="AH45" s="510"/>
      <c r="AI45" s="510"/>
      <c r="AJ45" s="511"/>
      <c r="AK45" s="626" t="s">
        <v>486</v>
      </c>
      <c r="AM45" s="129"/>
      <c r="AN45" s="129" t="str">
        <f t="shared" si="28"/>
        <v xml:space="preserve">Группа потребителей</v>
      </c>
      <c r="AO45" s="129"/>
      <c r="AP45" s="129"/>
      <c r="AQ45" s="50">
        <v>23</v>
      </c>
    </row>
    <row r="46" ht="24" customHeight="1">
      <c r="A46" s="488" t="s">
        <v>241</v>
      </c>
      <c r="B46" s="488" t="s">
        <v>242</v>
      </c>
      <c r="C46" s="488" t="s">
        <v>243</v>
      </c>
      <c r="D46" s="488" t="s">
        <v>498</v>
      </c>
      <c r="E46" s="500"/>
      <c r="F46" s="500"/>
      <c r="G46" s="500"/>
      <c r="H46" s="500"/>
      <c r="I46" s="512"/>
      <c r="J46" s="512"/>
      <c r="K46" s="507" t="str">
        <f>J45&amp;".1"</f>
        <v>...1.1.1</v>
      </c>
      <c r="L46" s="490"/>
      <c r="P46" s="132"/>
      <c r="Q46" s="132"/>
      <c r="R46" s="513">
        <v>1</v>
      </c>
      <c r="S46" s="493" t="str">
        <f>$K46</f>
        <v>...1.1.1</v>
      </c>
      <c r="T46" s="691"/>
      <c r="U46" s="495"/>
      <c r="V46" s="516"/>
      <c r="W46" s="516"/>
      <c r="X46" s="518"/>
      <c r="Y46" s="519"/>
      <c r="Z46" s="224" t="s">
        <v>67</v>
      </c>
      <c r="AA46" s="519"/>
      <c r="AB46" s="224" t="s">
        <v>67</v>
      </c>
      <c r="AC46" s="516"/>
      <c r="AD46" s="516"/>
      <c r="AE46" s="518"/>
      <c r="AF46" s="519"/>
      <c r="AG46" s="224" t="s">
        <v>67</v>
      </c>
      <c r="AH46" s="579"/>
      <c r="AI46" s="224" t="s">
        <v>67</v>
      </c>
      <c r="AJ46" s="692"/>
      <c r="AK46" s="69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 t="e">
        <f>STRCHECKDATE(V47:AJ47)</f>
        <v>#NAME?</v>
      </c>
      <c r="AM46" s="129"/>
      <c r="AN46" s="129" t="str">
        <f t="shared" si="28"/>
        <v/>
      </c>
      <c r="AO46" s="129"/>
      <c r="AP46" s="129"/>
      <c r="AQ46" s="50">
        <v>23</v>
      </c>
    </row>
    <row r="47" ht="0" customHeight="1">
      <c r="A47" s="488" t="s">
        <v>241</v>
      </c>
      <c r="B47" s="488" t="s">
        <v>242</v>
      </c>
      <c r="C47" s="488" t="s">
        <v>243</v>
      </c>
      <c r="D47" s="488" t="s">
        <v>498</v>
      </c>
      <c r="E47" s="500"/>
      <c r="F47" s="500"/>
      <c r="G47" s="500"/>
      <c r="H47" s="500"/>
      <c r="I47" s="512"/>
      <c r="J47" s="512"/>
      <c r="K47" s="507"/>
      <c r="L47" s="490"/>
      <c r="P47" s="132"/>
      <c r="Q47" s="132"/>
      <c r="R47" s="513"/>
      <c r="S47" s="467"/>
      <c r="T47" s="495"/>
      <c r="U47" s="495"/>
      <c r="V47" s="517"/>
      <c r="W47" s="517"/>
      <c r="X47" s="521" t="str">
        <f>Y46&amp;"-"&amp;AA46</f>
        <v>-</v>
      </c>
      <c r="Y47" s="522"/>
      <c r="Z47" s="224"/>
      <c r="AA47" s="522"/>
      <c r="AB47" s="224"/>
      <c r="AC47" s="517"/>
      <c r="AD47" s="517"/>
      <c r="AE47" s="521" t="str">
        <f>AF46&amp;"-"&amp;AH46</f>
        <v>-</v>
      </c>
      <c r="AF47" s="522"/>
      <c r="AG47" s="224"/>
      <c r="AH47" s="581"/>
      <c r="AI47" s="224"/>
      <c r="AJ47" s="694"/>
      <c r="AK47" s="693"/>
      <c r="AM47" s="129"/>
      <c r="AN47" s="129" t="str">
        <f t="shared" si="28"/>
        <v/>
      </c>
      <c r="AO47" s="129"/>
      <c r="AP47" s="129"/>
      <c r="AQ47" s="50">
        <v>0</v>
      </c>
    </row>
    <row r="48" ht="21" customHeight="1">
      <c r="A48" s="488" t="s">
        <v>241</v>
      </c>
      <c r="B48" s="488" t="s">
        <v>242</v>
      </c>
      <c r="C48" s="488" t="s">
        <v>243</v>
      </c>
      <c r="D48" s="488" t="s">
        <v>498</v>
      </c>
      <c r="E48" s="500"/>
      <c r="F48" s="500"/>
      <c r="G48" s="500"/>
      <c r="H48" s="500"/>
      <c r="I48" s="512"/>
      <c r="J48" s="507"/>
      <c r="K48" s="488"/>
      <c r="L48" s="490"/>
      <c r="P48" s="132"/>
      <c r="Q48" s="132"/>
      <c r="R48" s="508"/>
      <c r="S48" s="524"/>
      <c r="T48" s="528" t="s">
        <v>487</v>
      </c>
      <c r="U48" s="214"/>
      <c r="V48" s="214"/>
      <c r="W48" s="214"/>
      <c r="X48" s="214"/>
      <c r="Y48" s="214"/>
      <c r="Z48" s="214"/>
      <c r="AA48" s="214"/>
      <c r="AB48" s="214"/>
      <c r="AC48" s="214"/>
      <c r="AD48" s="214"/>
      <c r="AE48" s="214"/>
      <c r="AF48" s="214"/>
      <c r="AG48" s="214"/>
      <c r="AH48" s="214"/>
      <c r="AI48" s="214"/>
      <c r="AJ48" s="214"/>
      <c r="AK48" s="499" t="s">
        <v>488</v>
      </c>
      <c r="AM48" s="129"/>
      <c r="AN48" s="129" t="str">
        <f t="shared" si="28"/>
        <v xml:space="preserve">Добавить значение признака дифференциации</v>
      </c>
      <c r="AO48" s="129"/>
      <c r="AP48" s="129"/>
      <c r="AQ48" s="50">
        <v>20</v>
      </c>
    </row>
    <row r="49" ht="22" customHeight="1">
      <c r="A49" s="488" t="s">
        <v>241</v>
      </c>
      <c r="B49" s="488" t="s">
        <v>242</v>
      </c>
      <c r="C49" s="488" t="s">
        <v>243</v>
      </c>
      <c r="D49" s="488" t="s">
        <v>498</v>
      </c>
      <c r="E49" s="500"/>
      <c r="F49" s="500"/>
      <c r="G49" s="500"/>
      <c r="H49" s="500"/>
      <c r="I49" s="507"/>
      <c r="J49" s="488"/>
      <c r="K49" s="488"/>
      <c r="L49" s="490"/>
      <c r="P49" s="132"/>
      <c r="Q49" s="132"/>
      <c r="R49" s="508"/>
      <c r="S49" s="524"/>
      <c r="T49" s="532" t="s">
        <v>417</v>
      </c>
      <c r="U49" s="214"/>
      <c r="V49" s="214"/>
      <c r="W49" s="214"/>
      <c r="X49" s="214"/>
      <c r="Y49" s="214"/>
      <c r="Z49" s="214"/>
      <c r="AA49" s="214"/>
      <c r="AB49" s="529"/>
      <c r="AC49" s="214"/>
      <c r="AD49" s="214"/>
      <c r="AE49" s="214"/>
      <c r="AF49" s="214"/>
      <c r="AG49" s="214"/>
      <c r="AH49" s="214"/>
      <c r="AI49" s="529"/>
      <c r="AJ49" s="214"/>
      <c r="AK49" s="695"/>
      <c r="AM49" s="129"/>
      <c r="AN49" s="129" t="str">
        <f t="shared" si="28"/>
        <v xml:space="preserve">Добавить группу потребителей</v>
      </c>
      <c r="AO49" s="129"/>
      <c r="AP49" s="129"/>
      <c r="AQ49" s="50">
        <v>21</v>
      </c>
    </row>
    <row r="50" ht="22" customHeight="1">
      <c r="A50" s="488" t="s">
        <v>241</v>
      </c>
      <c r="B50" s="488" t="s">
        <v>242</v>
      </c>
      <c r="C50" s="488" t="s">
        <v>243</v>
      </c>
      <c r="D50" s="488" t="s">
        <v>498</v>
      </c>
      <c r="E50" s="500"/>
      <c r="F50" s="500"/>
      <c r="G50" s="500"/>
      <c r="H50" s="489"/>
      <c r="I50" s="488"/>
      <c r="J50" s="488"/>
      <c r="K50" s="488"/>
      <c r="L50" s="490"/>
      <c r="M50" s="491"/>
      <c r="N50" s="491"/>
      <c r="O50" s="53"/>
      <c r="P50" s="143"/>
      <c r="Q50" s="531"/>
      <c r="R50" s="492"/>
      <c r="S50" s="524"/>
      <c r="T50" s="696" t="s">
        <v>489</v>
      </c>
      <c r="U50" s="214"/>
      <c r="V50" s="214"/>
      <c r="W50" s="214"/>
      <c r="X50" s="214"/>
      <c r="Y50" s="214"/>
      <c r="Z50" s="214"/>
      <c r="AA50" s="214"/>
      <c r="AB50" s="529"/>
      <c r="AC50" s="214"/>
      <c r="AD50" s="214"/>
      <c r="AE50" s="214"/>
      <c r="AF50" s="214"/>
      <c r="AG50" s="214"/>
      <c r="AH50" s="214"/>
      <c r="AI50" s="529"/>
      <c r="AJ50" s="214"/>
      <c r="AK50" s="530"/>
      <c r="AM50" s="129"/>
      <c r="AN50" s="129" t="str">
        <f t="shared" si="28"/>
        <v xml:space="preserve">Добавить наименование признака дифференциации</v>
      </c>
      <c r="AO50" s="129"/>
      <c r="AP50" s="129"/>
      <c r="AQ50" s="50">
        <v>21</v>
      </c>
    </row>
    <row r="51" s="57" customFormat="1" ht="0" customHeight="1">
      <c r="A51" s="133" t="s">
        <v>241</v>
      </c>
      <c r="B51" s="133" t="s">
        <v>242</v>
      </c>
      <c r="C51" s="133"/>
      <c r="D51" s="133"/>
      <c r="E51" s="500"/>
      <c r="F51" s="489"/>
      <c r="G51" s="133"/>
      <c r="H51" s="133"/>
      <c r="I51" s="133"/>
      <c r="J51" s="133"/>
      <c r="K51" s="133"/>
      <c r="L51" s="212"/>
      <c r="M51" s="537"/>
      <c r="N51" s="537"/>
      <c r="P51" s="167"/>
      <c r="Q51" s="533"/>
      <c r="R51" s="167"/>
      <c r="S51" s="538"/>
      <c r="T51" s="541" t="s">
        <v>212</v>
      </c>
      <c r="U51" s="540"/>
      <c r="V51" s="540"/>
      <c r="W51" s="540"/>
      <c r="X51" s="540"/>
      <c r="Y51" s="540"/>
      <c r="Z51" s="540"/>
      <c r="AA51" s="540"/>
      <c r="AB51" s="540"/>
      <c r="AC51" s="540"/>
      <c r="AD51" s="540"/>
      <c r="AE51" s="540"/>
      <c r="AF51" s="540"/>
      <c r="AG51" s="540"/>
      <c r="AH51" s="540"/>
      <c r="AI51" s="540"/>
      <c r="AJ51" s="540"/>
      <c r="AK51" s="540"/>
      <c r="AM51" s="129"/>
      <c r="AN51" s="129" t="str">
        <f t="shared" si="28"/>
        <v xml:space="preserve">Добавить централизованную систему для дифференциации</v>
      </c>
      <c r="AO51" s="129"/>
      <c r="AP51" s="129"/>
      <c r="AQ51" s="57">
        <v>0</v>
      </c>
    </row>
    <row r="52" s="57" customFormat="1" ht="0" customHeight="1">
      <c r="A52" s="133" t="s">
        <v>241</v>
      </c>
      <c r="B52" s="133"/>
      <c r="C52" s="133"/>
      <c r="D52" s="133"/>
      <c r="E52" s="489"/>
      <c r="F52" s="133"/>
      <c r="G52" s="133"/>
      <c r="H52" s="133"/>
      <c r="I52" s="133"/>
      <c r="J52" s="133"/>
      <c r="K52" s="133"/>
      <c r="L52" s="212"/>
      <c r="M52" s="537"/>
      <c r="N52" s="537"/>
      <c r="O52" s="57"/>
      <c r="P52" s="167"/>
      <c r="Q52" s="533"/>
      <c r="R52" s="167"/>
      <c r="S52" s="538"/>
      <c r="T52" s="541" t="s">
        <v>213</v>
      </c>
      <c r="U52" s="540"/>
      <c r="V52" s="540"/>
      <c r="W52" s="540"/>
      <c r="X52" s="540"/>
      <c r="Y52" s="540"/>
      <c r="Z52" s="540"/>
      <c r="AA52" s="540"/>
      <c r="AB52" s="540"/>
      <c r="AC52" s="540"/>
      <c r="AD52" s="540"/>
      <c r="AE52" s="540"/>
      <c r="AF52" s="540"/>
      <c r="AG52" s="540"/>
      <c r="AH52" s="540"/>
      <c r="AI52" s="540"/>
      <c r="AJ52" s="540"/>
      <c r="AK52" s="540"/>
      <c r="AM52" s="129"/>
      <c r="AN52" s="129" t="str">
        <f t="shared" si="28"/>
        <v xml:space="preserve">Добавить территорию для дифференциации</v>
      </c>
      <c r="AO52" s="129"/>
      <c r="AP52" s="129"/>
      <c r="AQ52" s="57">
        <v>0</v>
      </c>
    </row>
    <row r="53" s="57" customFormat="1" ht="0" customHeight="1">
      <c r="A53" s="133"/>
      <c r="B53" s="133"/>
      <c r="C53" s="133"/>
      <c r="D53" s="133"/>
      <c r="E53" s="133"/>
      <c r="F53" s="133"/>
      <c r="G53" s="133"/>
      <c r="H53" s="133"/>
      <c r="I53" s="133"/>
      <c r="J53" s="133"/>
      <c r="K53" s="133"/>
      <c r="L53" s="212"/>
      <c r="M53" s="537"/>
      <c r="N53" s="537"/>
      <c r="P53" s="167"/>
      <c r="Q53" s="533"/>
      <c r="R53" s="167"/>
      <c r="S53" s="538"/>
      <c r="T53" s="541" t="s">
        <v>214</v>
      </c>
      <c r="U53" s="540"/>
      <c r="V53" s="540"/>
      <c r="W53" s="540"/>
      <c r="X53" s="540"/>
      <c r="Y53" s="540"/>
      <c r="Z53" s="540"/>
      <c r="AA53" s="540"/>
      <c r="AB53" s="540"/>
      <c r="AC53" s="540"/>
      <c r="AD53" s="540"/>
      <c r="AE53" s="540"/>
      <c r="AF53" s="540"/>
      <c r="AG53" s="540"/>
      <c r="AH53" s="540"/>
      <c r="AI53" s="540"/>
      <c r="AJ53" s="540"/>
      <c r="AK53" s="540"/>
      <c r="AM53" s="129"/>
      <c r="AN53" s="129" t="str">
        <f t="shared" si="28"/>
        <v xml:space="preserve">Добавить наименование тарифа</v>
      </c>
      <c r="AO53" s="129"/>
      <c r="AP53" s="129"/>
      <c r="AQ53" s="57">
        <v>0</v>
      </c>
    </row>
    <row r="54" ht="11.5" customHeight="1">
      <c r="M54" s="53"/>
      <c r="N54" s="53"/>
      <c r="O54" s="53"/>
      <c r="P54" s="50"/>
      <c r="Q54" s="50"/>
      <c r="R54" s="50"/>
      <c r="S54" s="50"/>
      <c r="AL54" s="50"/>
      <c r="AM54" s="50"/>
      <c r="AN54" s="50"/>
      <c r="AO54" s="50"/>
      <c r="AP54" s="50"/>
      <c r="AQ54" s="50">
        <v>11</v>
      </c>
    </row>
    <row r="55" ht="14.65" customHeight="1">
      <c r="O55" s="53"/>
      <c r="S55" s="485"/>
      <c r="T55" s="583"/>
      <c r="U55" s="583"/>
      <c r="V55" s="583"/>
      <c r="W55" s="583"/>
      <c r="X55" s="583"/>
      <c r="Y55" s="583"/>
      <c r="Z55" s="583"/>
      <c r="AA55" s="583"/>
      <c r="AB55" s="583"/>
      <c r="AC55" s="583"/>
      <c r="AD55" s="583"/>
      <c r="AE55" s="583"/>
      <c r="AF55" s="583"/>
      <c r="AG55" s="583"/>
      <c r="AH55" s="583"/>
      <c r="AI55" s="583"/>
      <c r="AJ55" s="583"/>
      <c r="AK55" s="583"/>
      <c r="AQ55" s="50">
        <v>14</v>
      </c>
    </row>
    <row r="56" ht="14.65" customHeight="1">
      <c r="O56" s="53"/>
      <c r="AQ56" s="50">
        <v>14</v>
      </c>
    </row>
    <row r="57" ht="14.65" customHeight="1">
      <c r="O57" s="53"/>
      <c r="S57" s="485"/>
      <c r="T57" s="583"/>
      <c r="U57" s="583"/>
      <c r="V57" s="583"/>
      <c r="W57" s="583"/>
      <c r="X57" s="583"/>
      <c r="Y57" s="583"/>
      <c r="Z57" s="583"/>
      <c r="AA57" s="583"/>
      <c r="AB57" s="583"/>
      <c r="AC57" s="583"/>
      <c r="AD57" s="583"/>
      <c r="AE57" s="583"/>
      <c r="AF57" s="583"/>
      <c r="AG57" s="583"/>
      <c r="AH57" s="583"/>
      <c r="AI57" s="583"/>
      <c r="AJ57" s="583"/>
      <c r="AK57" s="583"/>
      <c r="AQ57" s="50">
        <v>14</v>
      </c>
    </row>
    <row r="58" ht="22.5" hidden="1" customHeight="1">
      <c r="A58" s="53" t="s">
        <v>83</v>
      </c>
      <c r="B58" s="53">
        <v>0</v>
      </c>
      <c r="C58" s="53">
        <v>0</v>
      </c>
      <c r="D58" s="53">
        <v>0</v>
      </c>
      <c r="E58" s="53">
        <v>0</v>
      </c>
      <c r="F58" s="53">
        <v>0</v>
      </c>
      <c r="G58" s="53">
        <v>0</v>
      </c>
      <c r="H58" s="53">
        <v>0</v>
      </c>
      <c r="I58" s="53">
        <v>0</v>
      </c>
      <c r="J58" s="53">
        <v>0</v>
      </c>
      <c r="K58" s="53">
        <v>0</v>
      </c>
      <c r="L58" s="113">
        <v>0</v>
      </c>
      <c r="M58" s="61">
        <v>0</v>
      </c>
      <c r="N58" s="61">
        <v>0</v>
      </c>
      <c r="O58" s="61">
        <v>0</v>
      </c>
      <c r="P58" s="60">
        <v>3</v>
      </c>
      <c r="Q58" s="487">
        <v>3</v>
      </c>
      <c r="R58" s="487">
        <v>3</v>
      </c>
      <c r="S58" s="86">
        <v>12</v>
      </c>
      <c r="T58" s="50">
        <v>35</v>
      </c>
      <c r="U58" s="50">
        <v>0</v>
      </c>
      <c r="V58" s="50">
        <v>0</v>
      </c>
      <c r="W58" s="50">
        <v>0</v>
      </c>
      <c r="X58" s="50">
        <v>0</v>
      </c>
      <c r="Y58" s="50">
        <v>0</v>
      </c>
      <c r="Z58" s="50">
        <v>0</v>
      </c>
      <c r="AA58" s="50">
        <v>0</v>
      </c>
      <c r="AB58" s="50">
        <v>0</v>
      </c>
      <c r="AC58" s="50">
        <v>24</v>
      </c>
      <c r="AD58" s="50">
        <v>24</v>
      </c>
      <c r="AE58" s="50">
        <v>24</v>
      </c>
      <c r="AF58" s="50">
        <v>11</v>
      </c>
      <c r="AG58" s="50">
        <v>3</v>
      </c>
      <c r="AH58" s="50">
        <v>11</v>
      </c>
      <c r="AI58" s="50">
        <v>0</v>
      </c>
      <c r="AJ58" s="50">
        <v>4</v>
      </c>
      <c r="AK58" s="50">
        <v>115</v>
      </c>
      <c r="AL58" s="57">
        <v>10</v>
      </c>
      <c r="AM58" s="57">
        <v>10</v>
      </c>
      <c r="AN58" s="57">
        <v>10</v>
      </c>
      <c r="AO58" s="57">
        <v>10</v>
      </c>
      <c r="AP58" s="57">
        <v>10</v>
      </c>
      <c r="AQ58" s="50">
        <v>23</v>
      </c>
    </row>
  </sheetData>
  <sheetProtection autoFilter="0" deleteColumns="1" deleteRows="1" formatCells="1" formatColumns="0" formatRows="0" insertColumns="1" insertHyperlinks="1" insertRows="1" objects="0" pivotTables="1" scenarios="0" selectLockedCells="0" selectUnlockedCells="0" sheet="1" sort="1"/>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Z7:Z8"/>
    <mergeCell ref="AA7:AA8"/>
    <mergeCell ref="AB7:AB8"/>
    <mergeCell ref="AF7:AF8"/>
    <mergeCell ref="AG7:AG8"/>
    <mergeCell ref="AH7:AH8"/>
    <mergeCell ref="AI7:AI8"/>
    <mergeCell ref="AK7:AK8"/>
    <mergeCell ref="AF15:AF16"/>
    <mergeCell ref="AG15:AG16"/>
    <mergeCell ref="AH15:AH16"/>
    <mergeCell ref="AI15:AI16"/>
    <mergeCell ref="S24:AH24"/>
    <mergeCell ref="S25:AH25"/>
    <mergeCell ref="S27:T27"/>
    <mergeCell ref="V27:AA27"/>
    <mergeCell ref="AC27:AH27"/>
    <mergeCell ref="S28:T28"/>
    <mergeCell ref="V28:AA28"/>
    <mergeCell ref="AC28:AH28"/>
    <mergeCell ref="S29:T29"/>
    <mergeCell ref="V29:AA29"/>
    <mergeCell ref="AC29:AH29"/>
    <mergeCell ref="S30:T30"/>
    <mergeCell ref="V30:AA30"/>
    <mergeCell ref="AC30:AH30"/>
    <mergeCell ref="S32:T32"/>
    <mergeCell ref="V32:AA32"/>
    <mergeCell ref="AC32:AH32"/>
    <mergeCell ref="S33:T33"/>
    <mergeCell ref="V33:AA33"/>
    <mergeCell ref="AC33:AH33"/>
    <mergeCell ref="V35:AB35"/>
    <mergeCell ref="AC35:AI35"/>
    <mergeCell ref="S36:AJ36"/>
    <mergeCell ref="AK36:AK39"/>
    <mergeCell ref="S37:S39"/>
    <mergeCell ref="T37:T39"/>
    <mergeCell ref="V37:AA37"/>
    <mergeCell ref="AB37:AB39"/>
    <mergeCell ref="AC37:AH37"/>
    <mergeCell ref="AI37:AI39"/>
    <mergeCell ref="AJ37:AJ39"/>
    <mergeCell ref="W38:X38"/>
    <mergeCell ref="Y38:AA38"/>
    <mergeCell ref="AD38:AE38"/>
    <mergeCell ref="AF38:AH38"/>
    <mergeCell ref="Z39:AA39"/>
    <mergeCell ref="AG39:AH39"/>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K46:K47"/>
    <mergeCell ref="Y46:Y47"/>
    <mergeCell ref="Z46:Z47"/>
    <mergeCell ref="AA46:AA47"/>
    <mergeCell ref="AB46:AB47"/>
    <mergeCell ref="AF46:AF47"/>
    <mergeCell ref="AG46:AG47"/>
    <mergeCell ref="AH46:AH47"/>
    <mergeCell ref="AI46:AI47"/>
    <mergeCell ref="AK46:AK47"/>
    <mergeCell ref="T55:AK55"/>
    <mergeCell ref="T57:AK57"/>
  </mergeCells>
  <dataValidations count="4" disablePrompts="0">
    <dataValidation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type="none" allowBlank="1" errorStyle="stop" imeMode="noControl" operator="between" promptTitle="checkPeriodRange" showDropDown="0" showErrorMessage="0" showInputMessage="0"/>
    <dataValidation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S131116:AK131122 S196652:AK196658 S262188:AK262194 S327724:AK327730 S393260:AK393266 S458796:AK458802 S524332:AK524338 S589868:AK589874 S655404:AK655410 S720940:AK720946 S786476:AK786482 S852012:AK852018 S917548:AK917554 S983084:AK983090 S65580:AK65586" type="none" allowBlank="1" errorStyle="stop" imeMode="noControl" operator="between"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E70009-00FA-4A58-A770-00AB001C00E2}" type="list" allowBlank="1" error="Выберите значение из списка" errorStyle="stop" errorTitle="Ошибка" imeMode="noControl" operator="between" showDropDown="0" showErrorMessage="1" showInputMessage="1">
          <x14:formula1>
            <xm:f>kind_of_scheme_in</xm:f>
          </x14:formula1>
          <xm:sqref>V983080 V65576 V131112 V196648 V262184 V327720 V393256 V458792 V524328 V589864 V655400 V720936 V786472 V852008 V917544 AC983080 AC65576 AC131112 AC196648 AC262184 AC327720 AC393256 AC458792 AC524328 AC589864 AC655400 AC720936 AC786472 AC852008 AC917544</xm:sqref>
        </x14:dataValidation>
        <x14:dataValidation xr:uid="{00DE0079-0049-48B5-B02A-009400B900C3}" type="textLength" allowBlank="1" error="Допускается ввод не более 900 символов!" errorStyle="stop" errorTitle="Ошибка" imeMode="noControl" operator="lessThanOrEqual" showDropDown="0" showErrorMessage="1" showInputMessage="1">
          <x14:formula1>
            <xm:f>900</xm:f>
          </x14:formula1>
          <xm: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xm:sqref>
        </x14:dataValidation>
        <x14:dataValidation xr:uid="{00290031-00E4-4400-A980-005900D400E9}" type="list" allowBlank="1" error="Выберите значение из списка" errorStyle="stop" errorTitle="Ошибка" imeMode="noControl" operator="between" showDropDown="0" showErrorMessage="1" showInputMessage="1">
          <x14:formula1>
            <xm:f>kind_of_heat_transfer</xm:f>
          </x14:formula1>
          <xm:sqref>T65578 T131114 T196650 T262186 T327722 T393258 T458794 T524330 T589866 T655402 T720938 T786474 T852010 T917546 T983082</xm:sqref>
        </x14:dataValidation>
        <x14:dataValidation xr:uid="{0008008E-0056-4D26-90EC-00F5000800D2}"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V983081:AJ983081 V65577:AJ65577 V131113:AJ131113 V196649:AJ196649 V262185:AJ262185 V327721:AJ327721 V393257:AJ393257 V458793:AJ458793 V524329:AJ524329 V589865:AJ589865 V655401:AJ655401 V720937:AJ720937 V786473:AJ786473 V852009:AJ852009 V917545:AJ917545</xm:sqref>
        </x14:dataValidation>
      </x14:dataValidations>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zoomScale="90" workbookViewId="0">
      <pane xSplit="28" ySplit="40" topLeftCell="AC41" activePane="bottomRight" state="frozen"/>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4.140625"/>
    <col customWidth="1" hidden="1" min="10" max="10" style="53" width="9.8515625"/>
    <col customWidth="1" hidden="1" min="11" max="11" style="53" width="14.7109375"/>
    <col customWidth="1" hidden="1" min="12" max="12" style="113" width="19.140625"/>
    <col customWidth="1" hidden="1" min="13" max="14" style="61" width="12.28125"/>
    <col customWidth="1" hidden="1" min="15" max="15" style="61" width="23.421875"/>
    <col customWidth="1" min="16" max="16" style="60" width="3.00390625"/>
    <col customWidth="1" min="17" max="18" style="487" width="3.00390625"/>
    <col customWidth="1" min="19" max="19" style="86" width="12.00390625"/>
    <col customWidth="1" min="20" max="20" style="50" width="35.00390625"/>
    <col customWidth="1" min="21" max="21" style="50" width="0.140625"/>
    <col customWidth="1" hidden="1" min="22" max="24" style="50" width="24.7109375"/>
    <col customWidth="1" hidden="1" min="25" max="25" style="50" width="11.7109375"/>
    <col customWidth="1" hidden="1" min="26" max="26" style="50" width="3.7109375"/>
    <col customWidth="1" hidden="1" min="27" max="27" style="50" width="11.7109375"/>
    <col customWidth="1" hidden="1" min="28" max="28" style="50" width="8.57421875"/>
    <col customWidth="1" min="29" max="29" style="50" width="24.7109375"/>
    <col customWidth="1" min="30" max="31" style="50" width="24.00390625"/>
    <col customWidth="1" min="32" max="32" style="50" width="11.00390625"/>
    <col customWidth="1" min="33" max="33" style="50" width="3.7109375"/>
    <col customWidth="1" min="34" max="34" style="50" width="11.00390625"/>
    <col customWidth="1" hidden="1" min="35" max="35" style="50" width="8.57421875"/>
    <col customWidth="1" min="36" max="36" style="50" width="4.00390625"/>
    <col customWidth="1" min="37" max="37" style="50" width="115.00390625"/>
    <col customWidth="1" min="38" max="42" style="57" width="10.00390625"/>
    <col hidden="1" min="43" max="43" style="50" width="10.57421875"/>
  </cols>
  <sheetData>
    <row r="1" ht="22.5" hidden="1" customHeight="1">
      <c r="X1" s="50"/>
      <c r="Y1" s="50"/>
      <c r="AE1" s="50"/>
      <c r="AF1" s="50"/>
      <c r="AQ1" s="50" t="s">
        <v>14</v>
      </c>
    </row>
    <row r="2" ht="23.25" hidden="1" customHeight="1">
      <c r="A2" s="488"/>
      <c r="B2" s="488"/>
      <c r="C2" s="488"/>
      <c r="D2" s="488"/>
      <c r="E2" s="489">
        <v>1</v>
      </c>
      <c r="F2" s="488"/>
      <c r="G2" s="488"/>
      <c r="H2" s="488"/>
      <c r="I2" s="488"/>
      <c r="J2" s="488"/>
      <c r="K2" s="488"/>
      <c r="L2" s="490"/>
      <c r="M2" s="491"/>
      <c r="N2" s="491"/>
      <c r="O2" s="491"/>
      <c r="P2" s="60"/>
      <c r="Q2" s="143"/>
      <c r="R2" s="492"/>
      <c r="S2" s="493" t="e">
        <f>INDEX(PT_DIFFERENTIATION_NUM_NTAR,MATCH(A2,PT_DIFFERENTIATION_NTAR_ID,0))</f>
        <v>#VALUE!</v>
      </c>
      <c r="T2" s="494" t="s">
        <v>123</v>
      </c>
      <c r="U2" s="495"/>
      <c r="V2" s="496"/>
      <c r="W2" s="497"/>
      <c r="X2" s="497"/>
      <c r="Y2" s="497"/>
      <c r="Z2" s="497"/>
      <c r="AA2" s="497"/>
      <c r="AB2" s="498"/>
      <c r="AC2" s="496" t="e">
        <f>INDEX(PT_DIFFERENTIATION_NTAR,MATCH(A2,PT_DIFFERENTIATION_NTAR_ID,0))</f>
        <v>#VALUE!</v>
      </c>
      <c r="AD2" s="497"/>
      <c r="AE2" s="497"/>
      <c r="AF2" s="497"/>
      <c r="AG2" s="497"/>
      <c r="AH2" s="497"/>
      <c r="AI2" s="497"/>
      <c r="AJ2" s="498"/>
      <c r="AK2" s="4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129"/>
      <c r="AN2" s="129" t="str">
        <f t="shared" ref="AN2:AN9" si="29">IF(T2="","",T2)</f>
        <v xml:space="preserve">Наименование тарифа</v>
      </c>
      <c r="AO2" s="129"/>
      <c r="AP2" s="129"/>
      <c r="AQ2" s="50">
        <v>0</v>
      </c>
    </row>
    <row r="3" ht="23.25" hidden="1" customHeight="1">
      <c r="A3" s="488"/>
      <c r="B3" s="488"/>
      <c r="C3" s="488"/>
      <c r="D3" s="488"/>
      <c r="E3" s="500"/>
      <c r="F3" s="489">
        <v>1</v>
      </c>
      <c r="G3" s="488"/>
      <c r="H3" s="488"/>
      <c r="I3" s="488"/>
      <c r="J3" s="488"/>
      <c r="K3" s="488"/>
      <c r="L3" s="490"/>
      <c r="M3" s="491"/>
      <c r="N3" s="491"/>
      <c r="O3" s="491"/>
      <c r="P3" s="51"/>
      <c r="Q3" s="501"/>
      <c r="R3" s="502"/>
      <c r="S3" s="493" t="e">
        <f>INDEX(PT_DIFFERENTIATION_NUM_TER,MATCH(B3,PT_DIFFERENTIATION_TER_ID,0))</f>
        <v>#VALUE!</v>
      </c>
      <c r="T3" s="503" t="s">
        <v>402</v>
      </c>
      <c r="U3" s="495"/>
      <c r="V3" s="496"/>
      <c r="W3" s="497"/>
      <c r="X3" s="497"/>
      <c r="Y3" s="497"/>
      <c r="Z3" s="497"/>
      <c r="AA3" s="497"/>
      <c r="AB3" s="498"/>
      <c r="AC3" s="496" t="e">
        <f>INDEX(PT_DIFFERENTIATION_TER,MATCH(B3,PT_DIFFERENTIATION_TER_ID,0))</f>
        <v>#VALUE!</v>
      </c>
      <c r="AD3" s="497"/>
      <c r="AE3" s="497"/>
      <c r="AF3" s="497"/>
      <c r="AG3" s="497"/>
      <c r="AH3" s="497"/>
      <c r="AI3" s="497"/>
      <c r="AJ3" s="498"/>
      <c r="AK3" s="499" t="s">
        <v>403</v>
      </c>
      <c r="AM3" s="129"/>
      <c r="AN3" s="129" t="str">
        <f t="shared" si="29"/>
        <v xml:space="preserve">Территория действия тарифа</v>
      </c>
      <c r="AO3" s="129"/>
      <c r="AP3" s="129"/>
      <c r="AQ3" s="50">
        <v>0</v>
      </c>
    </row>
    <row r="4" ht="23.25" hidden="1" customHeight="1">
      <c r="A4" s="488"/>
      <c r="B4" s="488"/>
      <c r="C4" s="488"/>
      <c r="D4" s="488"/>
      <c r="E4" s="500"/>
      <c r="F4" s="500"/>
      <c r="G4" s="489">
        <v>1</v>
      </c>
      <c r="H4" s="488"/>
      <c r="I4" s="488"/>
      <c r="J4" s="488"/>
      <c r="K4" s="488"/>
      <c r="L4" s="490"/>
      <c r="M4" s="491"/>
      <c r="N4" s="491"/>
      <c r="O4" s="491"/>
      <c r="P4" s="504"/>
      <c r="Q4" s="501"/>
      <c r="R4" s="502"/>
      <c r="S4" s="493" t="e">
        <f>INDEX(PT_DIFFERENTIATION_NUM_CS,MATCH(C4,PT_DIFFERENTIATION_CS_ID,0))</f>
        <v>#VALUE!</v>
      </c>
      <c r="T4" s="505" t="s">
        <v>482</v>
      </c>
      <c r="U4" s="495"/>
      <c r="V4" s="496"/>
      <c r="W4" s="497"/>
      <c r="X4" s="497"/>
      <c r="Y4" s="497"/>
      <c r="Z4" s="497"/>
      <c r="AA4" s="497"/>
      <c r="AB4" s="498"/>
      <c r="AC4" s="496" t="e">
        <f>INDEX(PT_DIFFERENTIATION_CS,MATCH(C4,PT_DIFFERENTIATION_CS_ID,0))</f>
        <v>#VALUE!</v>
      </c>
      <c r="AD4" s="497"/>
      <c r="AE4" s="497"/>
      <c r="AF4" s="497"/>
      <c r="AG4" s="497"/>
      <c r="AH4" s="497"/>
      <c r="AI4" s="497"/>
      <c r="AJ4" s="498"/>
      <c r="AK4" s="499" t="s">
        <v>483</v>
      </c>
      <c r="AM4" s="129"/>
      <c r="AN4" s="129" t="str">
        <f t="shared" si="29"/>
        <v xml:space="preserve">Наименование централизованной системы холодного водоснабжения</v>
      </c>
      <c r="AO4" s="129"/>
      <c r="AP4" s="129"/>
      <c r="AQ4" s="50">
        <v>0</v>
      </c>
    </row>
    <row r="5" ht="23.25" hidden="1" customHeight="1">
      <c r="A5" s="488"/>
      <c r="B5" s="488"/>
      <c r="C5" s="488"/>
      <c r="D5" s="488"/>
      <c r="E5" s="500"/>
      <c r="F5" s="500"/>
      <c r="G5" s="500"/>
      <c r="H5" s="500"/>
      <c r="I5" s="507" t="e">
        <f>S4&amp;".1"</f>
        <v>#VALUE!</v>
      </c>
      <c r="J5" s="488"/>
      <c r="K5" s="488"/>
      <c r="L5" s="490"/>
      <c r="P5" s="132">
        <v>1</v>
      </c>
      <c r="Q5" s="132"/>
      <c r="R5" s="508"/>
      <c r="S5" s="493" t="e">
        <f>$I5</f>
        <v>#VALUE!</v>
      </c>
      <c r="T5" s="509" t="s">
        <v>484</v>
      </c>
      <c r="U5" s="495"/>
      <c r="V5" s="685"/>
      <c r="W5" s="686"/>
      <c r="X5" s="686"/>
      <c r="Y5" s="686"/>
      <c r="Z5" s="686"/>
      <c r="AA5" s="686"/>
      <c r="AB5" s="687"/>
      <c r="AC5" s="688"/>
      <c r="AD5" s="689"/>
      <c r="AE5" s="689"/>
      <c r="AF5" s="689"/>
      <c r="AG5" s="689"/>
      <c r="AH5" s="689"/>
      <c r="AI5" s="689"/>
      <c r="AJ5" s="690"/>
      <c r="AK5" s="499" t="s">
        <v>485</v>
      </c>
      <c r="AM5" s="129"/>
      <c r="AN5" s="129" t="str">
        <f t="shared" si="29"/>
        <v xml:space="preserve">Наименование признака дифференциации</v>
      </c>
      <c r="AO5" s="129"/>
      <c r="AP5" s="129"/>
      <c r="AQ5" s="50">
        <v>0</v>
      </c>
    </row>
    <row r="6" ht="23.25" hidden="1" customHeight="1">
      <c r="A6" s="488"/>
      <c r="B6" s="488"/>
      <c r="C6" s="488"/>
      <c r="D6" s="488"/>
      <c r="E6" s="500"/>
      <c r="F6" s="500"/>
      <c r="G6" s="500"/>
      <c r="H6" s="500"/>
      <c r="I6" s="512"/>
      <c r="J6" s="507" t="e">
        <f>I5&amp;".1"</f>
        <v>#VALUE!</v>
      </c>
      <c r="K6" s="488"/>
      <c r="L6" s="490" t="s">
        <v>411</v>
      </c>
      <c r="P6" s="132"/>
      <c r="Q6" s="132">
        <v>1</v>
      </c>
      <c r="R6" s="513"/>
      <c r="S6" s="493" t="e">
        <f>$J6</f>
        <v>#VALUE!</v>
      </c>
      <c r="T6" s="514" t="s">
        <v>412</v>
      </c>
      <c r="U6" s="495"/>
      <c r="V6" s="440"/>
      <c r="W6" s="510"/>
      <c r="X6" s="510"/>
      <c r="Y6" s="510"/>
      <c r="Z6" s="510"/>
      <c r="AA6" s="510"/>
      <c r="AB6" s="511"/>
      <c r="AC6" s="440"/>
      <c r="AD6" s="510"/>
      <c r="AE6" s="510"/>
      <c r="AF6" s="510"/>
      <c r="AG6" s="510"/>
      <c r="AH6" s="510"/>
      <c r="AI6" s="510"/>
      <c r="AJ6" s="511"/>
      <c r="AK6" s="626" t="s">
        <v>486</v>
      </c>
      <c r="AM6" s="129"/>
      <c r="AN6" s="129" t="str">
        <f t="shared" si="29"/>
        <v xml:space="preserve">Группа потребителей</v>
      </c>
      <c r="AO6" s="129"/>
      <c r="AP6" s="129"/>
      <c r="AQ6" s="50">
        <v>0</v>
      </c>
    </row>
    <row r="7" ht="23.25" hidden="1" customHeight="1">
      <c r="A7" s="488"/>
      <c r="B7" s="488"/>
      <c r="C7" s="488"/>
      <c r="D7" s="488"/>
      <c r="E7" s="500"/>
      <c r="F7" s="500"/>
      <c r="G7" s="500"/>
      <c r="H7" s="500"/>
      <c r="I7" s="512"/>
      <c r="J7" s="512"/>
      <c r="K7" s="507" t="e">
        <f>J6&amp;".1"</f>
        <v>#VALUE!</v>
      </c>
      <c r="L7" s="490"/>
      <c r="P7" s="132"/>
      <c r="Q7" s="132"/>
      <c r="R7" s="513">
        <v>1</v>
      </c>
      <c r="S7" s="493" t="e">
        <f>$K7</f>
        <v>#VALUE!</v>
      </c>
      <c r="T7" s="691"/>
      <c r="U7" s="495"/>
      <c r="V7" s="516"/>
      <c r="W7" s="516"/>
      <c r="X7" s="518"/>
      <c r="Y7" s="519"/>
      <c r="Z7" s="224" t="s">
        <v>67</v>
      </c>
      <c r="AA7" s="519"/>
      <c r="AB7" s="224" t="s">
        <v>67</v>
      </c>
      <c r="AC7" s="516"/>
      <c r="AD7" s="516"/>
      <c r="AE7" s="518"/>
      <c r="AF7" s="519"/>
      <c r="AG7" s="224" t="s">
        <v>67</v>
      </c>
      <c r="AH7" s="579"/>
      <c r="AI7" s="224" t="s">
        <v>67</v>
      </c>
      <c r="AJ7" s="692"/>
      <c r="AK7" s="69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 t="e">
        <f>STRCHECKDATE(V8:AJ8)</f>
        <v>#NAME?</v>
      </c>
      <c r="AM7" s="129"/>
      <c r="AN7" s="129" t="str">
        <f t="shared" si="29"/>
        <v/>
      </c>
      <c r="AO7" s="129"/>
      <c r="AP7" s="129"/>
      <c r="AQ7" s="50">
        <v>0</v>
      </c>
    </row>
    <row r="8" ht="14.25" hidden="1" customHeight="1">
      <c r="A8" s="488"/>
      <c r="B8" s="488"/>
      <c r="C8" s="488"/>
      <c r="D8" s="488"/>
      <c r="E8" s="500"/>
      <c r="F8" s="500"/>
      <c r="G8" s="500"/>
      <c r="H8" s="500"/>
      <c r="I8" s="512"/>
      <c r="J8" s="512"/>
      <c r="K8" s="507"/>
      <c r="L8" s="490"/>
      <c r="P8" s="132"/>
      <c r="Q8" s="132"/>
      <c r="R8" s="513"/>
      <c r="S8" s="467"/>
      <c r="T8" s="495"/>
      <c r="U8" s="495"/>
      <c r="V8" s="517"/>
      <c r="W8" s="517"/>
      <c r="X8" s="521" t="str">
        <f>Y7&amp;"-"&amp;AA7</f>
        <v>-</v>
      </c>
      <c r="Y8" s="522"/>
      <c r="Z8" s="224"/>
      <c r="AA8" s="522"/>
      <c r="AB8" s="224"/>
      <c r="AC8" s="517"/>
      <c r="AD8" s="517"/>
      <c r="AE8" s="521" t="str">
        <f>AF7&amp;"-"&amp;AH7</f>
        <v>-</v>
      </c>
      <c r="AF8" s="522"/>
      <c r="AG8" s="224"/>
      <c r="AH8" s="581"/>
      <c r="AI8" s="224"/>
      <c r="AJ8" s="694"/>
      <c r="AK8" s="693"/>
      <c r="AM8" s="129"/>
      <c r="AN8" s="129" t="str">
        <f t="shared" si="29"/>
        <v/>
      </c>
      <c r="AO8" s="129"/>
      <c r="AP8" s="129"/>
      <c r="AQ8" s="50">
        <v>0</v>
      </c>
    </row>
    <row r="9" ht="21" hidden="1" customHeight="1">
      <c r="A9" s="488"/>
      <c r="B9" s="488"/>
      <c r="C9" s="488"/>
      <c r="D9" s="488"/>
      <c r="E9" s="500"/>
      <c r="F9" s="500"/>
      <c r="G9" s="500"/>
      <c r="H9" s="500"/>
      <c r="I9" s="512"/>
      <c r="J9" s="507"/>
      <c r="K9" s="488"/>
      <c r="L9" s="490"/>
      <c r="P9" s="132"/>
      <c r="Q9" s="132"/>
      <c r="R9" s="508"/>
      <c r="S9" s="524"/>
      <c r="T9" s="528" t="s">
        <v>487</v>
      </c>
      <c r="U9" s="214"/>
      <c r="V9" s="214"/>
      <c r="W9" s="214"/>
      <c r="X9" s="214"/>
      <c r="Y9" s="214"/>
      <c r="Z9" s="214"/>
      <c r="AA9" s="214"/>
      <c r="AB9" s="214"/>
      <c r="AC9" s="214"/>
      <c r="AD9" s="214"/>
      <c r="AE9" s="214"/>
      <c r="AF9" s="214"/>
      <c r="AG9" s="214"/>
      <c r="AH9" s="214"/>
      <c r="AI9" s="214"/>
      <c r="AJ9" s="214"/>
      <c r="AK9" s="499" t="s">
        <v>488</v>
      </c>
      <c r="AM9" s="129"/>
      <c r="AN9" s="129" t="str">
        <f t="shared" si="29"/>
        <v xml:space="preserve">Добавить значение признака дифференциации</v>
      </c>
      <c r="AO9" s="129"/>
      <c r="AP9" s="129"/>
      <c r="AQ9" s="50">
        <v>0</v>
      </c>
    </row>
    <row r="10" ht="21" hidden="1" customHeight="1">
      <c r="A10" s="488"/>
      <c r="B10" s="488"/>
      <c r="C10" s="488"/>
      <c r="D10" s="488"/>
      <c r="E10" s="500"/>
      <c r="F10" s="500"/>
      <c r="G10" s="500"/>
      <c r="H10" s="500"/>
      <c r="I10" s="507"/>
      <c r="J10" s="488"/>
      <c r="K10" s="488"/>
      <c r="L10" s="490"/>
      <c r="P10" s="132"/>
      <c r="Q10" s="132"/>
      <c r="R10" s="508"/>
      <c r="S10" s="524"/>
      <c r="T10" s="532" t="s">
        <v>417</v>
      </c>
      <c r="U10" s="214"/>
      <c r="V10" s="214"/>
      <c r="W10" s="214"/>
      <c r="X10" s="214"/>
      <c r="Y10" s="214"/>
      <c r="Z10" s="214"/>
      <c r="AA10" s="214"/>
      <c r="AB10" s="529"/>
      <c r="AC10" s="214"/>
      <c r="AD10" s="214"/>
      <c r="AE10" s="214"/>
      <c r="AF10" s="214"/>
      <c r="AG10" s="214"/>
      <c r="AH10" s="214"/>
      <c r="AI10" s="529"/>
      <c r="AJ10" s="214"/>
      <c r="AK10" s="695"/>
      <c r="AM10" s="129"/>
      <c r="AN10" s="129" t="str">
        <f t="shared" ref="AN10:AN53" si="30">IF(T10="","",T10)</f>
        <v xml:space="preserve">Добавить группу потребителей</v>
      </c>
      <c r="AO10" s="129"/>
      <c r="AP10" s="129"/>
      <c r="AQ10" s="50">
        <v>0</v>
      </c>
    </row>
    <row r="11" ht="21" hidden="1" customHeight="1">
      <c r="A11" s="488"/>
      <c r="B11" s="488"/>
      <c r="C11" s="488"/>
      <c r="D11" s="488"/>
      <c r="E11" s="500"/>
      <c r="F11" s="500"/>
      <c r="G11" s="500"/>
      <c r="H11" s="489"/>
      <c r="I11" s="488"/>
      <c r="J11" s="488"/>
      <c r="K11" s="488"/>
      <c r="L11" s="490"/>
      <c r="M11" s="491"/>
      <c r="N11" s="491"/>
      <c r="O11" s="53"/>
      <c r="P11" s="143"/>
      <c r="Q11" s="531"/>
      <c r="R11" s="492"/>
      <c r="S11" s="524"/>
      <c r="T11" s="696" t="s">
        <v>489</v>
      </c>
      <c r="U11" s="214"/>
      <c r="V11" s="214"/>
      <c r="W11" s="214"/>
      <c r="X11" s="214"/>
      <c r="Y11" s="214"/>
      <c r="Z11" s="214"/>
      <c r="AA11" s="214"/>
      <c r="AB11" s="529"/>
      <c r="AC11" s="214"/>
      <c r="AD11" s="214"/>
      <c r="AE11" s="214"/>
      <c r="AF11" s="214"/>
      <c r="AG11" s="214"/>
      <c r="AH11" s="214"/>
      <c r="AI11" s="529"/>
      <c r="AJ11" s="214"/>
      <c r="AK11" s="530"/>
      <c r="AM11" s="129"/>
      <c r="AN11" s="129" t="str">
        <f t="shared" si="30"/>
        <v xml:space="preserve">Добавить наименование признака дифференциации</v>
      </c>
      <c r="AO11" s="129"/>
      <c r="AP11" s="129"/>
      <c r="AQ11" s="50">
        <v>0</v>
      </c>
    </row>
    <row r="12" s="57" customFormat="1" ht="14.25" hidden="1" customHeight="1">
      <c r="A12" s="133"/>
      <c r="B12" s="133"/>
      <c r="C12" s="133"/>
      <c r="D12" s="133"/>
      <c r="E12" s="500"/>
      <c r="F12" s="489"/>
      <c r="G12" s="133"/>
      <c r="H12" s="133"/>
      <c r="I12" s="133"/>
      <c r="J12" s="133"/>
      <c r="K12" s="133"/>
      <c r="L12" s="212"/>
      <c r="M12" s="537"/>
      <c r="N12" s="537"/>
      <c r="P12" s="167"/>
      <c r="Q12" s="533"/>
      <c r="R12" s="167"/>
      <c r="S12" s="538"/>
      <c r="T12" s="541" t="s">
        <v>212</v>
      </c>
      <c r="U12" s="540"/>
      <c r="V12" s="540"/>
      <c r="W12" s="540"/>
      <c r="X12" s="540"/>
      <c r="Y12" s="540"/>
      <c r="Z12" s="540"/>
      <c r="AA12" s="540"/>
      <c r="AB12" s="540"/>
      <c r="AC12" s="540"/>
      <c r="AD12" s="540"/>
      <c r="AE12" s="540"/>
      <c r="AF12" s="540"/>
      <c r="AG12" s="540"/>
      <c r="AH12" s="540"/>
      <c r="AI12" s="540"/>
      <c r="AJ12" s="540"/>
      <c r="AK12" s="540"/>
      <c r="AM12" s="129"/>
      <c r="AN12" s="129" t="str">
        <f t="shared" si="30"/>
        <v xml:space="preserve">Добавить централизованную систему для дифференциации</v>
      </c>
      <c r="AO12" s="129"/>
      <c r="AP12" s="129"/>
      <c r="AQ12" s="57">
        <v>0</v>
      </c>
    </row>
    <row r="13" s="57" customFormat="1" ht="14.25" hidden="1" customHeight="1">
      <c r="A13" s="133"/>
      <c r="B13" s="133"/>
      <c r="C13" s="133"/>
      <c r="D13" s="133"/>
      <c r="E13" s="489"/>
      <c r="F13" s="133"/>
      <c r="G13" s="133"/>
      <c r="H13" s="133"/>
      <c r="I13" s="133"/>
      <c r="J13" s="133"/>
      <c r="K13" s="133"/>
      <c r="L13" s="212"/>
      <c r="M13" s="537"/>
      <c r="N13" s="537"/>
      <c r="O13" s="57"/>
      <c r="P13" s="167"/>
      <c r="Q13" s="533"/>
      <c r="R13" s="167"/>
      <c r="S13" s="538"/>
      <c r="T13" s="541" t="s">
        <v>213</v>
      </c>
      <c r="U13" s="540"/>
      <c r="V13" s="540"/>
      <c r="W13" s="540"/>
      <c r="X13" s="540"/>
      <c r="Y13" s="540"/>
      <c r="Z13" s="540"/>
      <c r="AA13" s="540"/>
      <c r="AB13" s="540"/>
      <c r="AC13" s="540"/>
      <c r="AD13" s="540"/>
      <c r="AE13" s="540"/>
      <c r="AF13" s="540"/>
      <c r="AG13" s="540"/>
      <c r="AH13" s="540"/>
      <c r="AI13" s="540"/>
      <c r="AJ13" s="540"/>
      <c r="AK13" s="540"/>
      <c r="AM13" s="129"/>
      <c r="AN13" s="129" t="str">
        <f t="shared" si="30"/>
        <v xml:space="preserve">Добавить территорию для дифференциации</v>
      </c>
      <c r="AO13" s="129"/>
      <c r="AP13" s="129"/>
      <c r="AQ13" s="57">
        <v>0</v>
      </c>
    </row>
    <row r="14" ht="14.25" hidden="1" customHeight="1">
      <c r="AB14" s="50"/>
      <c r="AI14" s="50"/>
      <c r="AQ14" s="50">
        <v>0</v>
      </c>
    </row>
    <row r="15" ht="14.25" hidden="1" customHeight="1">
      <c r="AC15" s="542"/>
      <c r="AD15" s="542"/>
      <c r="AE15" s="543"/>
      <c r="AF15" s="544"/>
      <c r="AG15" s="545" t="s">
        <v>67</v>
      </c>
      <c r="AH15" s="544"/>
      <c r="AI15" s="545" t="s">
        <v>67</v>
      </c>
      <c r="AQ15" s="50">
        <v>0</v>
      </c>
    </row>
    <row r="16" ht="14.25" hidden="1" customHeight="1">
      <c r="AC16" s="542"/>
      <c r="AD16" s="542"/>
      <c r="AE16" s="521" t="str">
        <f>AF15&amp;"-"&amp;AH15</f>
        <v>-</v>
      </c>
      <c r="AF16" s="545"/>
      <c r="AG16" s="545"/>
      <c r="AH16" s="545"/>
      <c r="AI16" s="545"/>
      <c r="AQ16" s="50">
        <v>0</v>
      </c>
    </row>
    <row r="17" ht="14.25" hidden="1" customHeight="1">
      <c r="AI17" s="50"/>
      <c r="AQ17" s="50">
        <v>0</v>
      </c>
    </row>
    <row r="18" s="53" customFormat="1" ht="22.5" hidden="1" customHeight="1">
      <c r="L18" s="113"/>
      <c r="M18" s="61"/>
      <c r="N18" s="61"/>
      <c r="O18" s="546" t="s">
        <v>419</v>
      </c>
      <c r="P18" s="61"/>
      <c r="Q18" s="547"/>
      <c r="R18" s="547"/>
      <c r="S18" s="491"/>
      <c r="Y18" s="546"/>
      <c r="AA18" s="546"/>
      <c r="AB18" s="53"/>
      <c r="AF18" s="546"/>
      <c r="AH18" s="546"/>
      <c r="AI18" s="53"/>
      <c r="AL18" s="57"/>
      <c r="AM18" s="57"/>
      <c r="AN18" s="57"/>
      <c r="AO18" s="57"/>
      <c r="AP18" s="57"/>
      <c r="AQ18" s="53">
        <v>0</v>
      </c>
    </row>
    <row r="19" s="53" customFormat="1" ht="14.25" hidden="1" customHeight="1">
      <c r="L19" s="113"/>
      <c r="M19" s="61"/>
      <c r="N19" s="61"/>
      <c r="O19" s="61"/>
      <c r="P19" s="61"/>
      <c r="Q19" s="547"/>
      <c r="R19" s="547"/>
      <c r="S19" s="491"/>
      <c r="AB19" s="53"/>
      <c r="AI19" s="53"/>
      <c r="AL19" s="57"/>
      <c r="AM19" s="57"/>
      <c r="AN19" s="57"/>
      <c r="AO19" s="57"/>
      <c r="AP19" s="57"/>
      <c r="AQ19" s="53">
        <v>0</v>
      </c>
    </row>
    <row r="20" s="53" customFormat="1" ht="12" hidden="1" customHeight="1">
      <c r="L20" s="113"/>
      <c r="M20" s="61"/>
      <c r="N20" s="61"/>
      <c r="O20" s="490" t="s">
        <v>420</v>
      </c>
      <c r="P20" s="61"/>
      <c r="Q20" s="697"/>
      <c r="R20" s="697"/>
      <c r="S20" s="491"/>
      <c r="T20" s="53" t="s">
        <v>421</v>
      </c>
      <c r="Z20" s="151" t="s">
        <v>422</v>
      </c>
      <c r="AB20" s="151" t="s">
        <v>423</v>
      </c>
      <c r="AC20" s="53" t="s">
        <v>421</v>
      </c>
      <c r="AG20" s="151" t="s">
        <v>424</v>
      </c>
      <c r="AI20" s="151" t="s">
        <v>423</v>
      </c>
      <c r="AQ20" s="53">
        <v>0</v>
      </c>
    </row>
    <row r="21" ht="14.25" hidden="1" customHeight="1">
      <c r="O21" s="490"/>
      <c r="AQ21" s="50">
        <v>0</v>
      </c>
    </row>
    <row r="22" ht="14.25" hidden="1" customHeight="1">
      <c r="O22" s="490"/>
      <c r="AQ22" s="50">
        <v>0</v>
      </c>
    </row>
    <row r="23" ht="14.65" customHeight="1">
      <c r="Q23" s="548"/>
      <c r="R23" s="548"/>
      <c r="S23" s="549"/>
      <c r="T23" s="91"/>
      <c r="U23" s="91"/>
      <c r="V23" s="50"/>
      <c r="W23" s="50"/>
      <c r="X23" s="50"/>
      <c r="Y23" s="50"/>
      <c r="Z23" s="50"/>
      <c r="AA23" s="50"/>
      <c r="AB23" s="50"/>
      <c r="AC23" s="50"/>
      <c r="AD23" s="50"/>
      <c r="AE23" s="50"/>
      <c r="AF23" s="50"/>
      <c r="AG23" s="50"/>
      <c r="AH23" s="50"/>
      <c r="AI23" s="50"/>
      <c r="AQ23" s="50">
        <v>14</v>
      </c>
    </row>
    <row r="24" ht="14.65" customHeight="1">
      <c r="Q24" s="548"/>
      <c r="R24" s="548"/>
      <c r="S24" s="461" t="str">
        <f>IF(TEMPLATE_GROUP="P",PT_P_FORM_COLDVSNA_4_NAME_FORM,PT_R_FORM_COLDVSNA_16_NAME_FORM)</f>
        <v xml:space="preserve">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461"/>
      <c r="U24" s="461"/>
      <c r="V24" s="461"/>
      <c r="W24" s="461"/>
      <c r="X24" s="461"/>
      <c r="Y24" s="461"/>
      <c r="Z24" s="461"/>
      <c r="AA24" s="461"/>
      <c r="AB24" s="461"/>
      <c r="AC24" s="461"/>
      <c r="AD24" s="461"/>
      <c r="AE24" s="461"/>
      <c r="AF24" s="461"/>
      <c r="AG24" s="461"/>
      <c r="AH24" s="461"/>
      <c r="AI24" s="240"/>
      <c r="AQ24" s="50">
        <v>14</v>
      </c>
    </row>
    <row r="25" ht="14.65" customHeight="1">
      <c r="Q25" s="548"/>
      <c r="R25" s="548"/>
      <c r="S25" s="316" t="str">
        <f>IF(org=0,"Не определено",org)</f>
        <v xml:space="preserve">АО "ДГК"</v>
      </c>
      <c r="T25" s="316"/>
      <c r="U25" s="316"/>
      <c r="V25" s="316"/>
      <c r="W25" s="316"/>
      <c r="X25" s="316"/>
      <c r="Y25" s="316"/>
      <c r="Z25" s="316"/>
      <c r="AA25" s="316"/>
      <c r="AB25" s="316"/>
      <c r="AC25" s="316"/>
      <c r="AD25" s="316"/>
      <c r="AE25" s="316"/>
      <c r="AF25" s="316"/>
      <c r="AG25" s="316"/>
      <c r="AH25" s="316"/>
      <c r="AI25" s="240"/>
      <c r="AQ25" s="50">
        <v>14</v>
      </c>
    </row>
    <row r="26" ht="14.25" hidden="1" customHeight="1">
      <c r="Q26" s="548"/>
      <c r="R26" s="548"/>
      <c r="S26" s="549"/>
      <c r="T26" s="91"/>
      <c r="U26" s="91"/>
      <c r="V26" s="550"/>
      <c r="W26" s="550"/>
      <c r="X26" s="550"/>
      <c r="Y26" s="550"/>
      <c r="Z26" s="550"/>
      <c r="AA26" s="550"/>
      <c r="AB26" s="550"/>
      <c r="AC26" s="550"/>
      <c r="AD26" s="550"/>
      <c r="AE26" s="550"/>
      <c r="AF26" s="550"/>
      <c r="AG26" s="550"/>
      <c r="AH26" s="550"/>
      <c r="AI26" s="550"/>
      <c r="AJ26" s="50"/>
      <c r="AQ26" s="50">
        <v>0</v>
      </c>
    </row>
    <row r="27" s="184" customFormat="1" ht="25.5" hidden="1" customHeight="1">
      <c r="A27" s="151"/>
      <c r="B27" s="151"/>
      <c r="C27" s="151"/>
      <c r="D27" s="151"/>
      <c r="E27" s="151"/>
      <c r="F27" s="151"/>
      <c r="G27" s="151"/>
      <c r="H27" s="151"/>
      <c r="I27" s="151"/>
      <c r="J27" s="151"/>
      <c r="K27" s="151"/>
      <c r="L27" s="490"/>
      <c r="M27" s="151"/>
      <c r="N27" s="151"/>
      <c r="O27" s="151"/>
      <c r="S27" s="551" t="s">
        <v>42</v>
      </c>
      <c r="T27" s="551"/>
      <c r="U27" s="552"/>
      <c r="V27" s="553" t="str">
        <f>IF(TITLE_NAME_OR_PR_CHANGE="",IF(TITLE_NAME_OR_PR="","",TITLE_NAME_OR_PR),TITLE_NAME_OR_PR_CHANGE)</f>
        <v/>
      </c>
      <c r="W27" s="553"/>
      <c r="X27" s="553"/>
      <c r="Y27" s="553"/>
      <c r="Z27" s="553"/>
      <c r="AA27" s="553"/>
      <c r="AB27" s="50"/>
      <c r="AC27" s="553" t="str">
        <f>IF(TITLE_NAME_OR_PR_CHANGE="",IF(TITLE_NAME_OR_PR="","",TITLE_NAME_OR_PR),TITLE_NAME_OR_PR_CHANGE)</f>
        <v/>
      </c>
      <c r="AD27" s="553"/>
      <c r="AE27" s="553"/>
      <c r="AF27" s="553"/>
      <c r="AG27" s="553"/>
      <c r="AH27" s="553"/>
      <c r="AI27" s="50"/>
      <c r="AJ27" s="50"/>
      <c r="AK27" s="554"/>
      <c r="AL27" s="129"/>
      <c r="AM27" s="129"/>
      <c r="AN27" s="129"/>
      <c r="AO27" s="129"/>
      <c r="AP27" s="129"/>
      <c r="AQ27" s="184">
        <v>0</v>
      </c>
    </row>
    <row r="28" s="184" customFormat="1" ht="18.75" hidden="1" customHeight="1">
      <c r="A28" s="151"/>
      <c r="B28" s="151"/>
      <c r="C28" s="151"/>
      <c r="D28" s="151"/>
      <c r="E28" s="151"/>
      <c r="F28" s="151"/>
      <c r="G28" s="151"/>
      <c r="H28" s="151"/>
      <c r="I28" s="151"/>
      <c r="J28" s="151"/>
      <c r="K28" s="151"/>
      <c r="L28" s="490"/>
      <c r="M28" s="151"/>
      <c r="N28" s="151"/>
      <c r="O28" s="151"/>
      <c r="S28" s="551" t="s">
        <v>425</v>
      </c>
      <c r="T28" s="551"/>
      <c r="U28" s="552"/>
      <c r="V28" s="555">
        <f>IF(TITLE_DATE_PR_CHANGE="",IF(TITLE_DATE_PR="","",TITLE_DATE_PR),TITLE_DATE_PR_CHANGE)</f>
        <v>46212.428518518522</v>
      </c>
      <c r="W28" s="555"/>
      <c r="X28" s="555"/>
      <c r="Y28" s="555"/>
      <c r="Z28" s="555"/>
      <c r="AA28" s="555"/>
      <c r="AB28" s="50"/>
      <c r="AC28" s="555">
        <f>IF(TITLE_DATE_PR_CHANGE="",IF(TITLE_DATE_PR="","",TITLE_DATE_PR),TITLE_DATE_PR_CHANGE)</f>
        <v>46212.428518518522</v>
      </c>
      <c r="AD28" s="555"/>
      <c r="AE28" s="555"/>
      <c r="AF28" s="555"/>
      <c r="AG28" s="555"/>
      <c r="AH28" s="555"/>
      <c r="AI28" s="50"/>
      <c r="AJ28" s="50"/>
      <c r="AK28" s="554"/>
      <c r="AL28" s="129"/>
      <c r="AM28" s="129"/>
      <c r="AN28" s="129"/>
      <c r="AO28" s="129"/>
      <c r="AP28" s="129"/>
      <c r="AQ28" s="184">
        <v>0</v>
      </c>
    </row>
    <row r="29" s="184" customFormat="1" ht="18.75" hidden="1" customHeight="1">
      <c r="A29" s="151"/>
      <c r="B29" s="151"/>
      <c r="C29" s="151"/>
      <c r="D29" s="151"/>
      <c r="E29" s="151"/>
      <c r="F29" s="151"/>
      <c r="G29" s="151"/>
      <c r="H29" s="151"/>
      <c r="I29" s="151"/>
      <c r="J29" s="151"/>
      <c r="K29" s="151"/>
      <c r="L29" s="490"/>
      <c r="M29" s="151"/>
      <c r="N29" s="151"/>
      <c r="O29" s="151"/>
      <c r="S29" s="551" t="s">
        <v>426</v>
      </c>
      <c r="T29" s="551"/>
      <c r="U29" s="552"/>
      <c r="V29" s="553" t="str">
        <f>IF(TITLE_NUMBER_PR_CHANGE="",IF(TITLE_NUMBER_PR="","",TITLE_NUMBER_PR),TITLE_NUMBER_PR_CHANGE)</f>
        <v>Исх-260/1397</v>
      </c>
      <c r="W29" s="553"/>
      <c r="X29" s="553"/>
      <c r="Y29" s="553"/>
      <c r="Z29" s="553"/>
      <c r="AA29" s="553"/>
      <c r="AB29" s="50"/>
      <c r="AC29" s="553" t="str">
        <f>IF(TITLE_NUMBER_PR_CHANGE="",IF(TITLE_NUMBER_PR="","",TITLE_NUMBER_PR),TITLE_NUMBER_PR_CHANGE)</f>
        <v>Исх-260/1397</v>
      </c>
      <c r="AD29" s="553"/>
      <c r="AE29" s="553"/>
      <c r="AF29" s="553"/>
      <c r="AG29" s="553"/>
      <c r="AH29" s="553"/>
      <c r="AI29" s="50"/>
      <c r="AJ29" s="50"/>
      <c r="AK29" s="554"/>
      <c r="AL29" s="129"/>
      <c r="AM29" s="129"/>
      <c r="AN29" s="129"/>
      <c r="AO29" s="129"/>
      <c r="AP29" s="129"/>
      <c r="AQ29" s="184">
        <v>0</v>
      </c>
    </row>
    <row r="30" s="184" customFormat="1" ht="18.75" hidden="1" customHeight="1">
      <c r="A30" s="151"/>
      <c r="B30" s="151"/>
      <c r="C30" s="151"/>
      <c r="D30" s="151"/>
      <c r="E30" s="151"/>
      <c r="F30" s="151"/>
      <c r="G30" s="151"/>
      <c r="H30" s="151"/>
      <c r="I30" s="151"/>
      <c r="J30" s="151"/>
      <c r="K30" s="151"/>
      <c r="L30" s="490"/>
      <c r="M30" s="151"/>
      <c r="N30" s="151"/>
      <c r="O30" s="151"/>
      <c r="S30" s="551" t="s">
        <v>43</v>
      </c>
      <c r="T30" s="551"/>
      <c r="U30" s="552"/>
      <c r="V30" s="553" t="str">
        <f>IF(TITLE_IST_PUB_CHANGE="",IF(TITLE_IST_PUB="","",TITLE_IST_PUB),TITLE_IST_PUB_CHANGE)</f>
        <v/>
      </c>
      <c r="W30" s="553"/>
      <c r="X30" s="553"/>
      <c r="Y30" s="553"/>
      <c r="Z30" s="553"/>
      <c r="AA30" s="553"/>
      <c r="AB30" s="50"/>
      <c r="AC30" s="553" t="str">
        <f>IF(TITLE_IST_PUB_CHANGE="",IF(TITLE_IST_PUB="","",TITLE_IST_PUB),TITLE_IST_PUB_CHANGE)</f>
        <v/>
      </c>
      <c r="AD30" s="553"/>
      <c r="AE30" s="553"/>
      <c r="AF30" s="553"/>
      <c r="AG30" s="553"/>
      <c r="AH30" s="553"/>
      <c r="AI30" s="50"/>
      <c r="AJ30" s="50"/>
      <c r="AK30" s="554"/>
      <c r="AL30" s="129"/>
      <c r="AM30" s="129"/>
      <c r="AN30" s="129"/>
      <c r="AO30" s="129"/>
      <c r="AP30" s="129"/>
      <c r="AQ30" s="184">
        <v>0</v>
      </c>
    </row>
    <row r="31" ht="14.25" customHeight="1">
      <c r="Q31" s="548"/>
      <c r="R31" s="548"/>
      <c r="S31" s="549"/>
      <c r="T31" s="91"/>
      <c r="U31" s="91"/>
      <c r="V31" s="550"/>
      <c r="W31" s="550"/>
      <c r="X31" s="550"/>
      <c r="Y31" s="550"/>
      <c r="Z31" s="550"/>
      <c r="AA31" s="550"/>
      <c r="AB31" s="550"/>
      <c r="AC31" s="550"/>
      <c r="AD31" s="550"/>
      <c r="AE31" s="550"/>
      <c r="AF31" s="550"/>
      <c r="AG31" s="550"/>
      <c r="AH31" s="550"/>
      <c r="AI31" s="550"/>
      <c r="AJ31" s="50"/>
      <c r="AQ31" s="50">
        <v>0</v>
      </c>
    </row>
    <row r="32" s="184" customFormat="1" ht="18.75" customHeight="1">
      <c r="A32" s="151"/>
      <c r="B32" s="151"/>
      <c r="C32" s="151"/>
      <c r="D32" s="151"/>
      <c r="E32" s="151"/>
      <c r="F32" s="151"/>
      <c r="G32" s="151"/>
      <c r="H32" s="151"/>
      <c r="I32" s="151"/>
      <c r="J32" s="151"/>
      <c r="K32" s="151"/>
      <c r="L32" s="490"/>
      <c r="M32" s="151"/>
      <c r="N32" s="151"/>
      <c r="O32" s="151"/>
      <c r="S32" s="551" t="s">
        <v>427</v>
      </c>
      <c r="T32" s="551"/>
      <c r="U32" s="552"/>
      <c r="V32" s="555">
        <f>IF(TITLE_DATE_PR_CHANGE="",IF(TITLE_DATE_PR="","",TITLE_DATE_PR),TITLE_DATE_PR_CHANGE)</f>
        <v>46212.428518518522</v>
      </c>
      <c r="W32" s="555"/>
      <c r="X32" s="555"/>
      <c r="Y32" s="555"/>
      <c r="Z32" s="555"/>
      <c r="AA32" s="555"/>
      <c r="AB32" s="50"/>
      <c r="AC32" s="555">
        <f>IF(TITLE_DATE_PR_CHANGE="",IF(TITLE_DATE_PR="","",TITLE_DATE_PR),TITLE_DATE_PR_CHANGE)</f>
        <v>46212.428518518522</v>
      </c>
      <c r="AD32" s="555"/>
      <c r="AE32" s="555"/>
      <c r="AF32" s="555"/>
      <c r="AG32" s="555"/>
      <c r="AH32" s="555"/>
      <c r="AI32" s="50"/>
      <c r="AJ32" s="50"/>
      <c r="AK32" s="554"/>
      <c r="AL32" s="129"/>
      <c r="AM32" s="129"/>
      <c r="AN32" s="129"/>
      <c r="AO32" s="129"/>
      <c r="AP32" s="129"/>
      <c r="AQ32" s="184">
        <v>0</v>
      </c>
    </row>
    <row r="33" s="184" customFormat="1" ht="18.75" customHeight="1">
      <c r="A33" s="151"/>
      <c r="B33" s="151"/>
      <c r="C33" s="151"/>
      <c r="D33" s="151"/>
      <c r="E33" s="151"/>
      <c r="F33" s="151"/>
      <c r="G33" s="151"/>
      <c r="H33" s="151"/>
      <c r="I33" s="151"/>
      <c r="J33" s="151"/>
      <c r="K33" s="151"/>
      <c r="L33" s="490"/>
      <c r="M33" s="151"/>
      <c r="N33" s="151"/>
      <c r="O33" s="151"/>
      <c r="S33" s="551" t="s">
        <v>428</v>
      </c>
      <c r="T33" s="551"/>
      <c r="U33" s="552"/>
      <c r="V33" s="553" t="str">
        <f>IF(TITLE_NUMBER_PR_CHANGE="",IF(TITLE_NUMBER_PR="","",TITLE_NUMBER_PR),TITLE_NUMBER_PR_CHANGE)</f>
        <v>Исх-260/1397</v>
      </c>
      <c r="W33" s="553"/>
      <c r="X33" s="553"/>
      <c r="Y33" s="553"/>
      <c r="Z33" s="553"/>
      <c r="AA33" s="553"/>
      <c r="AB33" s="50"/>
      <c r="AC33" s="553" t="str">
        <f>IF(TITLE_NUMBER_PR_CHANGE="",IF(TITLE_NUMBER_PR="","",TITLE_NUMBER_PR),TITLE_NUMBER_PR_CHANGE)</f>
        <v>Исх-260/1397</v>
      </c>
      <c r="AD33" s="553"/>
      <c r="AE33" s="553"/>
      <c r="AF33" s="553"/>
      <c r="AG33" s="553"/>
      <c r="AH33" s="553"/>
      <c r="AI33" s="50"/>
      <c r="AJ33" s="50"/>
      <c r="AK33" s="554"/>
      <c r="AL33" s="129"/>
      <c r="AM33" s="129"/>
      <c r="AN33" s="129"/>
      <c r="AO33" s="129"/>
      <c r="AP33" s="129"/>
      <c r="AQ33" s="184">
        <v>0</v>
      </c>
    </row>
    <row r="34" s="184" customFormat="1" ht="1.05" customHeight="1">
      <c r="A34" s="151"/>
      <c r="B34" s="151"/>
      <c r="C34" s="151"/>
      <c r="D34" s="151"/>
      <c r="E34" s="151"/>
      <c r="F34" s="151"/>
      <c r="G34" s="151"/>
      <c r="H34" s="151"/>
      <c r="I34" s="151"/>
      <c r="J34" s="151"/>
      <c r="K34" s="151"/>
      <c r="L34" s="490"/>
      <c r="M34" s="151"/>
      <c r="N34" s="151"/>
      <c r="O34" s="151"/>
      <c r="S34" s="50"/>
      <c r="T34" s="50"/>
      <c r="U34" s="140"/>
      <c r="V34" s="50"/>
      <c r="W34" s="50"/>
      <c r="X34" s="50"/>
      <c r="Y34" s="50"/>
      <c r="Z34" s="50"/>
      <c r="AA34" s="50"/>
      <c r="AB34" s="57" t="s">
        <v>429</v>
      </c>
      <c r="AC34" s="50"/>
      <c r="AD34" s="50"/>
      <c r="AE34" s="50"/>
      <c r="AF34" s="50"/>
      <c r="AG34" s="50"/>
      <c r="AH34" s="50"/>
      <c r="AI34" s="57" t="s">
        <v>429</v>
      </c>
      <c r="AL34" s="129"/>
      <c r="AM34" s="129"/>
      <c r="AN34" s="129"/>
      <c r="AO34" s="129"/>
      <c r="AP34" s="129"/>
      <c r="AQ34" s="184">
        <v>1</v>
      </c>
    </row>
    <row r="35" ht="14.65" customHeight="1">
      <c r="Q35" s="548"/>
      <c r="R35" s="548"/>
      <c r="S35" s="549"/>
      <c r="T35" s="91"/>
      <c r="U35" s="556"/>
      <c r="V35" s="557"/>
      <c r="W35" s="557"/>
      <c r="X35" s="557"/>
      <c r="Y35" s="557"/>
      <c r="Z35" s="557"/>
      <c r="AA35" s="557"/>
      <c r="AB35" s="557"/>
      <c r="AC35" s="557"/>
      <c r="AD35" s="557"/>
      <c r="AE35" s="557"/>
      <c r="AF35" s="557"/>
      <c r="AG35" s="557"/>
      <c r="AH35" s="557"/>
      <c r="AI35" s="557"/>
      <c r="AQ35" s="50">
        <v>14</v>
      </c>
    </row>
    <row r="36" ht="14.65" customHeight="1">
      <c r="Q36" s="548"/>
      <c r="R36" s="548"/>
      <c r="S36" s="157" t="s">
        <v>305</v>
      </c>
      <c r="T36" s="157"/>
      <c r="U36" s="157"/>
      <c r="V36" s="157"/>
      <c r="W36" s="157"/>
      <c r="X36" s="157"/>
      <c r="Y36" s="157"/>
      <c r="Z36" s="157"/>
      <c r="AA36" s="157"/>
      <c r="AB36" s="157"/>
      <c r="AC36" s="157"/>
      <c r="AD36" s="157"/>
      <c r="AE36" s="157"/>
      <c r="AF36" s="157"/>
      <c r="AG36" s="157"/>
      <c r="AH36" s="157"/>
      <c r="AI36" s="157"/>
      <c r="AJ36" s="157"/>
      <c r="AK36" s="157" t="s">
        <v>306</v>
      </c>
      <c r="AQ36" s="50">
        <v>14</v>
      </c>
    </row>
    <row r="37" ht="14.65" customHeight="1">
      <c r="Q37" s="548"/>
      <c r="R37" s="548"/>
      <c r="S37" s="493" t="s">
        <v>89</v>
      </c>
      <c r="T37" s="358" t="s">
        <v>430</v>
      </c>
      <c r="U37" s="558"/>
      <c r="V37" s="559" t="s">
        <v>431</v>
      </c>
      <c r="W37" s="560"/>
      <c r="X37" s="560"/>
      <c r="Y37" s="560"/>
      <c r="Z37" s="560"/>
      <c r="AA37" s="561"/>
      <c r="AB37" s="562" t="s">
        <v>432</v>
      </c>
      <c r="AC37" s="559" t="s">
        <v>431</v>
      </c>
      <c r="AD37" s="560"/>
      <c r="AE37" s="560"/>
      <c r="AF37" s="560"/>
      <c r="AG37" s="560"/>
      <c r="AH37" s="561"/>
      <c r="AI37" s="562" t="s">
        <v>433</v>
      </c>
      <c r="AJ37" s="563" t="s">
        <v>434</v>
      </c>
      <c r="AK37" s="157"/>
      <c r="AQ37" s="50">
        <v>14</v>
      </c>
    </row>
    <row r="38" ht="35.649999999999999" customHeight="1">
      <c r="Q38" s="548"/>
      <c r="R38" s="548"/>
      <c r="S38" s="493"/>
      <c r="T38" s="358"/>
      <c r="U38" s="564"/>
      <c r="V38" s="320" t="s">
        <v>490</v>
      </c>
      <c r="W38" s="73" t="s">
        <v>437</v>
      </c>
      <c r="X38" s="72"/>
      <c r="Y38" s="73" t="s">
        <v>438</v>
      </c>
      <c r="Z38" s="145"/>
      <c r="AA38" s="72"/>
      <c r="AB38" s="566"/>
      <c r="AC38" s="320" t="s">
        <v>490</v>
      </c>
      <c r="AD38" s="73" t="s">
        <v>437</v>
      </c>
      <c r="AE38" s="72"/>
      <c r="AF38" s="73" t="s">
        <v>438</v>
      </c>
      <c r="AG38" s="145"/>
      <c r="AH38" s="72"/>
      <c r="AI38" s="566"/>
      <c r="AJ38" s="567"/>
      <c r="AK38" s="157"/>
      <c r="AQ38" s="50">
        <v>34</v>
      </c>
    </row>
    <row r="39" ht="35.649999999999999" customHeight="1">
      <c r="A39" s="151"/>
      <c r="B39" s="151" t="s">
        <v>135</v>
      </c>
      <c r="C39" s="151" t="s">
        <v>136</v>
      </c>
      <c r="D39" s="151" t="s">
        <v>137</v>
      </c>
      <c r="E39" s="490" t="s">
        <v>439</v>
      </c>
      <c r="F39" s="490" t="s">
        <v>440</v>
      </c>
      <c r="G39" s="490" t="s">
        <v>441</v>
      </c>
      <c r="H39" s="490"/>
      <c r="I39" s="490" t="s">
        <v>491</v>
      </c>
      <c r="J39" s="490" t="s">
        <v>444</v>
      </c>
      <c r="K39" s="490" t="s">
        <v>492</v>
      </c>
      <c r="L39" s="490" t="s">
        <v>420</v>
      </c>
      <c r="Q39" s="548"/>
      <c r="R39" s="548"/>
      <c r="S39" s="493"/>
      <c r="T39" s="358"/>
      <c r="U39" s="568"/>
      <c r="V39" s="320" t="s">
        <v>493</v>
      </c>
      <c r="W39" s="246" t="s">
        <v>494</v>
      </c>
      <c r="X39" s="246" t="s">
        <v>495</v>
      </c>
      <c r="Y39" s="246" t="s">
        <v>448</v>
      </c>
      <c r="Z39" s="424" t="s">
        <v>449</v>
      </c>
      <c r="AA39" s="426"/>
      <c r="AB39" s="570"/>
      <c r="AC39" s="320" t="s">
        <v>493</v>
      </c>
      <c r="AD39" s="246" t="s">
        <v>494</v>
      </c>
      <c r="AE39" s="246" t="s">
        <v>495</v>
      </c>
      <c r="AF39" s="246" t="s">
        <v>448</v>
      </c>
      <c r="AG39" s="424" t="s">
        <v>449</v>
      </c>
      <c r="AH39" s="426"/>
      <c r="AI39" s="570"/>
      <c r="AJ39" s="571"/>
      <c r="AK39" s="157"/>
      <c r="AQ39" s="50">
        <v>34</v>
      </c>
    </row>
    <row r="40" s="131" customFormat="1" ht="0" customHeight="1">
      <c r="A40" s="151"/>
      <c r="B40" s="151"/>
      <c r="C40" s="151"/>
      <c r="D40" s="151"/>
      <c r="E40" s="151"/>
      <c r="F40" s="151"/>
      <c r="G40" s="151"/>
      <c r="H40" s="151"/>
      <c r="I40" s="151"/>
      <c r="J40" s="151"/>
      <c r="K40" s="151"/>
      <c r="L40" s="490"/>
      <c r="M40" s="61"/>
      <c r="N40" s="61"/>
      <c r="O40" s="61"/>
      <c r="P40" s="572"/>
      <c r="Q40" s="573"/>
      <c r="R40" s="574">
        <v>1</v>
      </c>
      <c r="S40" s="575" t="s">
        <v>109</v>
      </c>
      <c r="T40" s="576" t="s">
        <v>110</v>
      </c>
      <c r="U40" s="577" t="str">
        <f ca="1">OFFSET(U40,0,-1)</f>
        <v>2</v>
      </c>
      <c r="V40" s="578">
        <f ca="1">OFFSET(V40,0,-1)+1</f>
        <v>3</v>
      </c>
      <c r="W40" s="578">
        <f ca="1">OFFSET(W40,0,-1)+1</f>
        <v>4</v>
      </c>
      <c r="X40" s="578">
        <f ca="1">OFFSET(X40,0,-1)+1</f>
        <v>5</v>
      </c>
      <c r="Y40" s="578">
        <f ca="1">OFFSET(Y40,0,-1)+1</f>
        <v>6</v>
      </c>
      <c r="Z40" s="578">
        <f ca="1">OFFSET(Z40,0,-1)+1</f>
        <v>7</v>
      </c>
      <c r="AA40" s="578"/>
      <c r="AB40" s="578">
        <f ca="1">OFFSET(AB40,0,-2)+1</f>
        <v>8</v>
      </c>
      <c r="AC40" s="578">
        <f ca="1">OFFSET(AC40,0,-1)+1</f>
        <v>9</v>
      </c>
      <c r="AD40" s="578">
        <f ca="1">OFFSET(AD40,0,-1)+1</f>
        <v>10</v>
      </c>
      <c r="AE40" s="578">
        <f ca="1">OFFSET(AE40,0,-1)+1</f>
        <v>11</v>
      </c>
      <c r="AF40" s="578">
        <f ca="1">OFFSET(AF40,0,-1)+1</f>
        <v>12</v>
      </c>
      <c r="AG40" s="578">
        <f ca="1">OFFSET(AG40,0,-1)+1</f>
        <v>13</v>
      </c>
      <c r="AH40" s="578"/>
      <c r="AI40" s="578">
        <f ca="1">OFFSET(AI40,0,-2)+1</f>
        <v>14</v>
      </c>
      <c r="AJ40" s="577">
        <f ca="1">OFFSET(AJ40,0,-1)</f>
        <v>14</v>
      </c>
      <c r="AK40" s="578">
        <f ca="1">OFFSET(AK40,0,-1)+1</f>
        <v>15</v>
      </c>
      <c r="AL40" s="57"/>
      <c r="AM40" s="57"/>
      <c r="AN40" s="57"/>
      <c r="AO40" s="57"/>
      <c r="AP40" s="57"/>
      <c r="AQ40" s="131">
        <v>0</v>
      </c>
    </row>
    <row r="41" ht="24" customHeight="1">
      <c r="A41" s="488" t="s">
        <v>246</v>
      </c>
      <c r="B41" s="488"/>
      <c r="C41" s="488"/>
      <c r="D41" s="488"/>
      <c r="E41" s="489">
        <v>1</v>
      </c>
      <c r="F41" s="488"/>
      <c r="G41" s="488"/>
      <c r="H41" s="488"/>
      <c r="I41" s="488"/>
      <c r="J41" s="488"/>
      <c r="K41" s="488"/>
      <c r="L41" s="490"/>
      <c r="M41" s="491"/>
      <c r="N41" s="491"/>
      <c r="O41" s="491"/>
      <c r="P41" s="60"/>
      <c r="Q41" s="143"/>
      <c r="R41" s="492"/>
      <c r="S41" s="493">
        <f>INDEX(PT_DIFFERENTIATION_NUM_NTAR,MATCH(A41,PT_DIFFERENTIATION_NTAR_ID,0))</f>
        <v>0</v>
      </c>
      <c r="T41" s="494" t="s">
        <v>123</v>
      </c>
      <c r="U41" s="495"/>
      <c r="V41" s="496"/>
      <c r="W41" s="497"/>
      <c r="X41" s="497"/>
      <c r="Y41" s="497"/>
      <c r="Z41" s="497"/>
      <c r="AA41" s="497"/>
      <c r="AB41" s="498"/>
      <c r="AC41" s="496" t="str">
        <f>INDEX(PT_DIFFERENTIATION_NTAR,MATCH(A41,PT_DIFFERENTIATION_NTAR_ID,0))</f>
        <v/>
      </c>
      <c r="AD41" s="497"/>
      <c r="AE41" s="497"/>
      <c r="AF41" s="497"/>
      <c r="AG41" s="497"/>
      <c r="AH41" s="497"/>
      <c r="AI41" s="497"/>
      <c r="AJ41" s="498"/>
      <c r="AK41" s="4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129"/>
      <c r="AN41" s="129" t="str">
        <f t="shared" si="30"/>
        <v xml:space="preserve">Наименование тарифа</v>
      </c>
      <c r="AO41" s="129"/>
      <c r="AP41" s="129"/>
      <c r="AQ41" s="50">
        <v>23</v>
      </c>
    </row>
    <row r="42" ht="24" customHeight="1">
      <c r="A42" s="488" t="s">
        <v>246</v>
      </c>
      <c r="B42" s="488" t="s">
        <v>247</v>
      </c>
      <c r="C42" s="488"/>
      <c r="D42" s="488"/>
      <c r="E42" s="500"/>
      <c r="F42" s="489">
        <v>1</v>
      </c>
      <c r="G42" s="488"/>
      <c r="H42" s="488"/>
      <c r="I42" s="488"/>
      <c r="J42" s="488"/>
      <c r="K42" s="488"/>
      <c r="L42" s="490"/>
      <c r="M42" s="491"/>
      <c r="N42" s="491"/>
      <c r="O42" s="491"/>
      <c r="P42" s="51"/>
      <c r="Q42" s="501"/>
      <c r="R42" s="502"/>
      <c r="S42" s="493" t="str">
        <f>INDEX(PT_DIFFERENTIATION_NUM_TER,MATCH(B42,PT_DIFFERENTIATION_TER_ID,0))</f>
        <v>.</v>
      </c>
      <c r="T42" s="503" t="s">
        <v>402</v>
      </c>
      <c r="U42" s="495"/>
      <c r="V42" s="496"/>
      <c r="W42" s="497"/>
      <c r="X42" s="497"/>
      <c r="Y42" s="497"/>
      <c r="Z42" s="497"/>
      <c r="AA42" s="497"/>
      <c r="AB42" s="498"/>
      <c r="AC42" s="496" t="str">
        <f>INDEX(PT_DIFFERENTIATION_TER,MATCH(B42,PT_DIFFERENTIATION_TER_ID,0))</f>
        <v/>
      </c>
      <c r="AD42" s="497"/>
      <c r="AE42" s="497"/>
      <c r="AF42" s="497"/>
      <c r="AG42" s="497"/>
      <c r="AH42" s="497"/>
      <c r="AI42" s="497"/>
      <c r="AJ42" s="498"/>
      <c r="AK42" s="499" t="s">
        <v>403</v>
      </c>
      <c r="AM42" s="129"/>
      <c r="AN42" s="129" t="str">
        <f t="shared" si="30"/>
        <v xml:space="preserve">Территория действия тарифа</v>
      </c>
      <c r="AO42" s="129"/>
      <c r="AP42" s="129"/>
      <c r="AQ42" s="50">
        <v>23</v>
      </c>
    </row>
    <row r="43" ht="24" customHeight="1">
      <c r="A43" s="488" t="s">
        <v>246</v>
      </c>
      <c r="B43" s="488" t="s">
        <v>247</v>
      </c>
      <c r="C43" s="488" t="s">
        <v>248</v>
      </c>
      <c r="D43" s="488"/>
      <c r="E43" s="500"/>
      <c r="F43" s="500"/>
      <c r="G43" s="489">
        <v>1</v>
      </c>
      <c r="H43" s="488"/>
      <c r="I43" s="488"/>
      <c r="J43" s="488"/>
      <c r="K43" s="488"/>
      <c r="L43" s="490"/>
      <c r="M43" s="491"/>
      <c r="N43" s="491"/>
      <c r="O43" s="491"/>
      <c r="P43" s="504"/>
      <c r="Q43" s="501"/>
      <c r="R43" s="502"/>
      <c r="S43" s="493" t="str">
        <f>INDEX(PT_DIFFERENTIATION_NUM_CS,MATCH(C43,PT_DIFFERENTIATION_CS_ID,0))</f>
        <v>..</v>
      </c>
      <c r="T43" s="505" t="s">
        <v>482</v>
      </c>
      <c r="U43" s="495"/>
      <c r="V43" s="496"/>
      <c r="W43" s="497"/>
      <c r="X43" s="497"/>
      <c r="Y43" s="497"/>
      <c r="Z43" s="497"/>
      <c r="AA43" s="497"/>
      <c r="AB43" s="498"/>
      <c r="AC43" s="496" t="str">
        <f>INDEX(PT_DIFFERENTIATION_CS,MATCH(C43,PT_DIFFERENTIATION_CS_ID,0))</f>
        <v/>
      </c>
      <c r="AD43" s="497"/>
      <c r="AE43" s="497"/>
      <c r="AF43" s="497"/>
      <c r="AG43" s="497"/>
      <c r="AH43" s="497"/>
      <c r="AI43" s="497"/>
      <c r="AJ43" s="498"/>
      <c r="AK43" s="499" t="s">
        <v>483</v>
      </c>
      <c r="AM43" s="129"/>
      <c r="AN43" s="129" t="str">
        <f t="shared" si="30"/>
        <v xml:space="preserve">Наименование централизованной системы холодного водоснабжения</v>
      </c>
      <c r="AO43" s="129"/>
      <c r="AP43" s="129"/>
      <c r="AQ43" s="50">
        <v>23</v>
      </c>
    </row>
    <row r="44" ht="24" customHeight="1">
      <c r="A44" s="488" t="s">
        <v>246</v>
      </c>
      <c r="B44" s="488" t="s">
        <v>247</v>
      </c>
      <c r="C44" s="488" t="s">
        <v>248</v>
      </c>
      <c r="D44" s="488" t="s">
        <v>499</v>
      </c>
      <c r="E44" s="500"/>
      <c r="F44" s="500"/>
      <c r="G44" s="500"/>
      <c r="H44" s="500"/>
      <c r="I44" s="507" t="str">
        <f>S43&amp;".1"</f>
        <v>...1</v>
      </c>
      <c r="J44" s="488"/>
      <c r="K44" s="488"/>
      <c r="L44" s="490"/>
      <c r="P44" s="132">
        <v>1</v>
      </c>
      <c r="Q44" s="132"/>
      <c r="R44" s="508"/>
      <c r="S44" s="493" t="str">
        <f>$I44</f>
        <v>...1</v>
      </c>
      <c r="T44" s="509" t="s">
        <v>484</v>
      </c>
      <c r="U44" s="495"/>
      <c r="V44" s="685"/>
      <c r="W44" s="686"/>
      <c r="X44" s="686"/>
      <c r="Y44" s="686"/>
      <c r="Z44" s="686"/>
      <c r="AA44" s="686"/>
      <c r="AB44" s="687"/>
      <c r="AC44" s="688"/>
      <c r="AD44" s="689"/>
      <c r="AE44" s="689"/>
      <c r="AF44" s="689"/>
      <c r="AG44" s="689"/>
      <c r="AH44" s="689"/>
      <c r="AI44" s="689"/>
      <c r="AJ44" s="690"/>
      <c r="AK44" s="499" t="s">
        <v>485</v>
      </c>
      <c r="AM44" s="129"/>
      <c r="AN44" s="129" t="str">
        <f t="shared" si="30"/>
        <v xml:space="preserve">Наименование признака дифференциации</v>
      </c>
      <c r="AO44" s="129"/>
      <c r="AP44" s="129"/>
      <c r="AQ44" s="50">
        <v>23</v>
      </c>
    </row>
    <row r="45" ht="24" customHeight="1">
      <c r="A45" s="488" t="s">
        <v>246</v>
      </c>
      <c r="B45" s="488" t="s">
        <v>247</v>
      </c>
      <c r="C45" s="488" t="s">
        <v>248</v>
      </c>
      <c r="D45" s="488" t="s">
        <v>499</v>
      </c>
      <c r="E45" s="500"/>
      <c r="F45" s="500"/>
      <c r="G45" s="500"/>
      <c r="H45" s="500"/>
      <c r="I45" s="512"/>
      <c r="J45" s="507" t="str">
        <f>I44&amp;".1"</f>
        <v>...1.1</v>
      </c>
      <c r="K45" s="488"/>
      <c r="L45" s="490" t="s">
        <v>411</v>
      </c>
      <c r="P45" s="132"/>
      <c r="Q45" s="132">
        <v>1</v>
      </c>
      <c r="R45" s="513"/>
      <c r="S45" s="493" t="str">
        <f>$J45</f>
        <v>...1.1</v>
      </c>
      <c r="T45" s="514" t="s">
        <v>412</v>
      </c>
      <c r="U45" s="495"/>
      <c r="V45" s="440"/>
      <c r="W45" s="510"/>
      <c r="X45" s="510"/>
      <c r="Y45" s="510"/>
      <c r="Z45" s="510"/>
      <c r="AA45" s="510"/>
      <c r="AB45" s="511"/>
      <c r="AC45" s="440"/>
      <c r="AD45" s="510"/>
      <c r="AE45" s="510"/>
      <c r="AF45" s="510"/>
      <c r="AG45" s="510"/>
      <c r="AH45" s="510"/>
      <c r="AI45" s="510"/>
      <c r="AJ45" s="511"/>
      <c r="AK45" s="626" t="s">
        <v>486</v>
      </c>
      <c r="AM45" s="129"/>
      <c r="AN45" s="129" t="str">
        <f t="shared" si="30"/>
        <v xml:space="preserve">Группа потребителей</v>
      </c>
      <c r="AO45" s="129"/>
      <c r="AP45" s="129"/>
      <c r="AQ45" s="50">
        <v>23</v>
      </c>
    </row>
    <row r="46" ht="24" customHeight="1">
      <c r="A46" s="488" t="s">
        <v>246</v>
      </c>
      <c r="B46" s="488" t="s">
        <v>247</v>
      </c>
      <c r="C46" s="488" t="s">
        <v>248</v>
      </c>
      <c r="D46" s="488" t="s">
        <v>499</v>
      </c>
      <c r="E46" s="500"/>
      <c r="F46" s="500"/>
      <c r="G46" s="500"/>
      <c r="H46" s="500"/>
      <c r="I46" s="512"/>
      <c r="J46" s="512"/>
      <c r="K46" s="507" t="str">
        <f>J45&amp;".1"</f>
        <v>...1.1.1</v>
      </c>
      <c r="L46" s="490"/>
      <c r="P46" s="132"/>
      <c r="Q46" s="132"/>
      <c r="R46" s="513">
        <v>1</v>
      </c>
      <c r="S46" s="493" t="str">
        <f>$K46</f>
        <v>...1.1.1</v>
      </c>
      <c r="T46" s="691"/>
      <c r="U46" s="495"/>
      <c r="V46" s="516"/>
      <c r="W46" s="516"/>
      <c r="X46" s="518"/>
      <c r="Y46" s="519"/>
      <c r="Z46" s="224" t="s">
        <v>67</v>
      </c>
      <c r="AA46" s="519"/>
      <c r="AB46" s="224" t="s">
        <v>67</v>
      </c>
      <c r="AC46" s="516"/>
      <c r="AD46" s="516"/>
      <c r="AE46" s="518"/>
      <c r="AF46" s="519"/>
      <c r="AG46" s="224" t="s">
        <v>67</v>
      </c>
      <c r="AH46" s="579"/>
      <c r="AI46" s="224" t="s">
        <v>67</v>
      </c>
      <c r="AJ46" s="692"/>
      <c r="AK46" s="69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 t="e">
        <f>STRCHECKDATE(V47:AJ47)</f>
        <v>#NAME?</v>
      </c>
      <c r="AM46" s="129"/>
      <c r="AN46" s="129" t="str">
        <f t="shared" si="30"/>
        <v/>
      </c>
      <c r="AO46" s="129"/>
      <c r="AP46" s="129"/>
      <c r="AQ46" s="50">
        <v>23</v>
      </c>
    </row>
    <row r="47" ht="0" customHeight="1">
      <c r="A47" s="488" t="s">
        <v>246</v>
      </c>
      <c r="B47" s="488" t="s">
        <v>247</v>
      </c>
      <c r="C47" s="488" t="s">
        <v>248</v>
      </c>
      <c r="D47" s="488" t="s">
        <v>499</v>
      </c>
      <c r="E47" s="500"/>
      <c r="F47" s="500"/>
      <c r="G47" s="500"/>
      <c r="H47" s="500"/>
      <c r="I47" s="512"/>
      <c r="J47" s="512"/>
      <c r="K47" s="507"/>
      <c r="L47" s="490"/>
      <c r="P47" s="132"/>
      <c r="Q47" s="132"/>
      <c r="R47" s="513"/>
      <c r="S47" s="467"/>
      <c r="T47" s="495"/>
      <c r="U47" s="495"/>
      <c r="V47" s="517"/>
      <c r="W47" s="517"/>
      <c r="X47" s="521" t="str">
        <f>Y46&amp;"-"&amp;AA46</f>
        <v>-</v>
      </c>
      <c r="Y47" s="522"/>
      <c r="Z47" s="224"/>
      <c r="AA47" s="522"/>
      <c r="AB47" s="224"/>
      <c r="AC47" s="517"/>
      <c r="AD47" s="517"/>
      <c r="AE47" s="521" t="str">
        <f>AF46&amp;"-"&amp;AH46</f>
        <v>-</v>
      </c>
      <c r="AF47" s="522"/>
      <c r="AG47" s="224"/>
      <c r="AH47" s="581"/>
      <c r="AI47" s="224"/>
      <c r="AJ47" s="694"/>
      <c r="AK47" s="693"/>
      <c r="AM47" s="129"/>
      <c r="AN47" s="129" t="str">
        <f t="shared" si="30"/>
        <v/>
      </c>
      <c r="AO47" s="129"/>
      <c r="AP47" s="129"/>
      <c r="AQ47" s="50">
        <v>0</v>
      </c>
    </row>
    <row r="48" ht="21" customHeight="1">
      <c r="A48" s="488" t="s">
        <v>246</v>
      </c>
      <c r="B48" s="488" t="s">
        <v>247</v>
      </c>
      <c r="C48" s="488" t="s">
        <v>248</v>
      </c>
      <c r="D48" s="488" t="s">
        <v>499</v>
      </c>
      <c r="E48" s="500"/>
      <c r="F48" s="500"/>
      <c r="G48" s="500"/>
      <c r="H48" s="500"/>
      <c r="I48" s="512"/>
      <c r="J48" s="507"/>
      <c r="K48" s="488"/>
      <c r="L48" s="490"/>
      <c r="P48" s="132"/>
      <c r="Q48" s="132"/>
      <c r="R48" s="508"/>
      <c r="S48" s="524"/>
      <c r="T48" s="528" t="s">
        <v>487</v>
      </c>
      <c r="U48" s="214"/>
      <c r="V48" s="214"/>
      <c r="W48" s="214"/>
      <c r="X48" s="214"/>
      <c r="Y48" s="214"/>
      <c r="Z48" s="214"/>
      <c r="AA48" s="214"/>
      <c r="AB48" s="214"/>
      <c r="AC48" s="214"/>
      <c r="AD48" s="214"/>
      <c r="AE48" s="214"/>
      <c r="AF48" s="214"/>
      <c r="AG48" s="214"/>
      <c r="AH48" s="214"/>
      <c r="AI48" s="214"/>
      <c r="AJ48" s="214"/>
      <c r="AK48" s="499" t="s">
        <v>488</v>
      </c>
      <c r="AM48" s="129"/>
      <c r="AN48" s="129" t="str">
        <f t="shared" si="30"/>
        <v xml:space="preserve">Добавить значение признака дифференциации</v>
      </c>
      <c r="AO48" s="129"/>
      <c r="AP48" s="129"/>
      <c r="AQ48" s="50">
        <v>20</v>
      </c>
    </row>
    <row r="49" ht="22" customHeight="1">
      <c r="A49" s="488" t="s">
        <v>246</v>
      </c>
      <c r="B49" s="488" t="s">
        <v>247</v>
      </c>
      <c r="C49" s="488" t="s">
        <v>248</v>
      </c>
      <c r="D49" s="488" t="s">
        <v>499</v>
      </c>
      <c r="E49" s="500"/>
      <c r="F49" s="500"/>
      <c r="G49" s="500"/>
      <c r="H49" s="500"/>
      <c r="I49" s="507"/>
      <c r="J49" s="488"/>
      <c r="K49" s="488"/>
      <c r="L49" s="490"/>
      <c r="P49" s="132"/>
      <c r="Q49" s="132"/>
      <c r="R49" s="508"/>
      <c r="S49" s="524"/>
      <c r="T49" s="532" t="s">
        <v>417</v>
      </c>
      <c r="U49" s="214"/>
      <c r="V49" s="214"/>
      <c r="W49" s="214"/>
      <c r="X49" s="214"/>
      <c r="Y49" s="214"/>
      <c r="Z49" s="214"/>
      <c r="AA49" s="214"/>
      <c r="AB49" s="529"/>
      <c r="AC49" s="214"/>
      <c r="AD49" s="214"/>
      <c r="AE49" s="214"/>
      <c r="AF49" s="214"/>
      <c r="AG49" s="214"/>
      <c r="AH49" s="214"/>
      <c r="AI49" s="529"/>
      <c r="AJ49" s="214"/>
      <c r="AK49" s="695"/>
      <c r="AM49" s="129"/>
      <c r="AN49" s="129" t="str">
        <f t="shared" si="30"/>
        <v xml:space="preserve">Добавить группу потребителей</v>
      </c>
      <c r="AO49" s="129"/>
      <c r="AP49" s="129"/>
      <c r="AQ49" s="50">
        <v>21</v>
      </c>
    </row>
    <row r="50" ht="22" customHeight="1">
      <c r="A50" s="488" t="s">
        <v>246</v>
      </c>
      <c r="B50" s="488" t="s">
        <v>247</v>
      </c>
      <c r="C50" s="488" t="s">
        <v>248</v>
      </c>
      <c r="D50" s="488" t="s">
        <v>499</v>
      </c>
      <c r="E50" s="500"/>
      <c r="F50" s="500"/>
      <c r="G50" s="500"/>
      <c r="H50" s="489"/>
      <c r="I50" s="488"/>
      <c r="J50" s="488"/>
      <c r="K50" s="488"/>
      <c r="L50" s="490"/>
      <c r="M50" s="491"/>
      <c r="N50" s="491"/>
      <c r="O50" s="53"/>
      <c r="P50" s="143"/>
      <c r="Q50" s="531"/>
      <c r="R50" s="492"/>
      <c r="S50" s="524"/>
      <c r="T50" s="696" t="s">
        <v>489</v>
      </c>
      <c r="U50" s="214"/>
      <c r="V50" s="214"/>
      <c r="W50" s="214"/>
      <c r="X50" s="214"/>
      <c r="Y50" s="214"/>
      <c r="Z50" s="214"/>
      <c r="AA50" s="214"/>
      <c r="AB50" s="529"/>
      <c r="AC50" s="214"/>
      <c r="AD50" s="214"/>
      <c r="AE50" s="214"/>
      <c r="AF50" s="214"/>
      <c r="AG50" s="214"/>
      <c r="AH50" s="214"/>
      <c r="AI50" s="529"/>
      <c r="AJ50" s="214"/>
      <c r="AK50" s="530"/>
      <c r="AM50" s="129"/>
      <c r="AN50" s="129" t="str">
        <f t="shared" si="30"/>
        <v xml:space="preserve">Добавить наименование признака дифференциации</v>
      </c>
      <c r="AO50" s="129"/>
      <c r="AP50" s="129"/>
      <c r="AQ50" s="50">
        <v>21</v>
      </c>
    </row>
    <row r="51" s="57" customFormat="1" ht="0" customHeight="1">
      <c r="A51" s="133" t="s">
        <v>246</v>
      </c>
      <c r="B51" s="133" t="s">
        <v>247</v>
      </c>
      <c r="C51" s="133"/>
      <c r="D51" s="133"/>
      <c r="E51" s="500"/>
      <c r="F51" s="489"/>
      <c r="G51" s="133"/>
      <c r="H51" s="133"/>
      <c r="I51" s="133"/>
      <c r="J51" s="133"/>
      <c r="K51" s="133"/>
      <c r="L51" s="212"/>
      <c r="M51" s="537"/>
      <c r="N51" s="537"/>
      <c r="P51" s="167"/>
      <c r="Q51" s="533"/>
      <c r="R51" s="167"/>
      <c r="S51" s="538"/>
      <c r="T51" s="541" t="s">
        <v>212</v>
      </c>
      <c r="U51" s="540"/>
      <c r="V51" s="540"/>
      <c r="W51" s="540"/>
      <c r="X51" s="540"/>
      <c r="Y51" s="540"/>
      <c r="Z51" s="540"/>
      <c r="AA51" s="540"/>
      <c r="AB51" s="540"/>
      <c r="AC51" s="540"/>
      <c r="AD51" s="540"/>
      <c r="AE51" s="540"/>
      <c r="AF51" s="540"/>
      <c r="AG51" s="540"/>
      <c r="AH51" s="540"/>
      <c r="AI51" s="540"/>
      <c r="AJ51" s="540"/>
      <c r="AK51" s="540"/>
      <c r="AM51" s="129"/>
      <c r="AN51" s="129" t="str">
        <f t="shared" si="30"/>
        <v xml:space="preserve">Добавить централизованную систему для дифференциации</v>
      </c>
      <c r="AO51" s="129"/>
      <c r="AP51" s="129"/>
      <c r="AQ51" s="57">
        <v>0</v>
      </c>
    </row>
    <row r="52" s="57" customFormat="1" ht="0" customHeight="1">
      <c r="A52" s="133" t="s">
        <v>246</v>
      </c>
      <c r="B52" s="133"/>
      <c r="C52" s="133"/>
      <c r="D52" s="133"/>
      <c r="E52" s="489"/>
      <c r="F52" s="133"/>
      <c r="G52" s="133"/>
      <c r="H52" s="133"/>
      <c r="I52" s="133"/>
      <c r="J52" s="133"/>
      <c r="K52" s="133"/>
      <c r="L52" s="212"/>
      <c r="M52" s="537"/>
      <c r="N52" s="537"/>
      <c r="O52" s="57"/>
      <c r="P52" s="167"/>
      <c r="Q52" s="533"/>
      <c r="R52" s="167"/>
      <c r="S52" s="538"/>
      <c r="T52" s="541" t="s">
        <v>213</v>
      </c>
      <c r="U52" s="540"/>
      <c r="V52" s="540"/>
      <c r="W52" s="540"/>
      <c r="X52" s="540"/>
      <c r="Y52" s="540"/>
      <c r="Z52" s="540"/>
      <c r="AA52" s="540"/>
      <c r="AB52" s="540"/>
      <c r="AC52" s="540"/>
      <c r="AD52" s="540"/>
      <c r="AE52" s="540"/>
      <c r="AF52" s="540"/>
      <c r="AG52" s="540"/>
      <c r="AH52" s="540"/>
      <c r="AI52" s="540"/>
      <c r="AJ52" s="540"/>
      <c r="AK52" s="540"/>
      <c r="AM52" s="129"/>
      <c r="AN52" s="129" t="str">
        <f t="shared" si="30"/>
        <v xml:space="preserve">Добавить территорию для дифференциации</v>
      </c>
      <c r="AO52" s="129"/>
      <c r="AP52" s="129"/>
      <c r="AQ52" s="57">
        <v>0</v>
      </c>
    </row>
    <row r="53" s="57" customFormat="1" ht="0" customHeight="1">
      <c r="A53" s="133"/>
      <c r="B53" s="133"/>
      <c r="C53" s="133"/>
      <c r="D53" s="133"/>
      <c r="E53" s="133"/>
      <c r="F53" s="133"/>
      <c r="G53" s="133"/>
      <c r="H53" s="133"/>
      <c r="I53" s="133"/>
      <c r="J53" s="133"/>
      <c r="K53" s="133"/>
      <c r="L53" s="212"/>
      <c r="M53" s="537"/>
      <c r="N53" s="537"/>
      <c r="P53" s="167"/>
      <c r="Q53" s="533"/>
      <c r="R53" s="167"/>
      <c r="S53" s="538"/>
      <c r="T53" s="541" t="s">
        <v>214</v>
      </c>
      <c r="U53" s="540"/>
      <c r="V53" s="540"/>
      <c r="W53" s="540"/>
      <c r="X53" s="540"/>
      <c r="Y53" s="540"/>
      <c r="Z53" s="540"/>
      <c r="AA53" s="540"/>
      <c r="AB53" s="540"/>
      <c r="AC53" s="540"/>
      <c r="AD53" s="540"/>
      <c r="AE53" s="540"/>
      <c r="AF53" s="540"/>
      <c r="AG53" s="540"/>
      <c r="AH53" s="540"/>
      <c r="AI53" s="540"/>
      <c r="AJ53" s="540"/>
      <c r="AK53" s="540"/>
      <c r="AM53" s="129"/>
      <c r="AN53" s="129" t="str">
        <f t="shared" si="30"/>
        <v xml:space="preserve">Добавить наименование тарифа</v>
      </c>
      <c r="AO53" s="129"/>
      <c r="AP53" s="129"/>
      <c r="AQ53" s="57">
        <v>0</v>
      </c>
    </row>
    <row r="54" ht="11.5" customHeight="1">
      <c r="M54" s="53"/>
      <c r="N54" s="53"/>
      <c r="O54" s="53"/>
      <c r="P54" s="50"/>
      <c r="Q54" s="50"/>
      <c r="R54" s="50"/>
      <c r="S54" s="50"/>
      <c r="AL54" s="50"/>
      <c r="AM54" s="50"/>
      <c r="AN54" s="50"/>
      <c r="AO54" s="50"/>
      <c r="AP54" s="50"/>
      <c r="AQ54" s="50">
        <v>11</v>
      </c>
    </row>
    <row r="55" ht="14.65" customHeight="1">
      <c r="O55" s="53"/>
      <c r="S55" s="485"/>
      <c r="T55" s="583"/>
      <c r="U55" s="583"/>
      <c r="V55" s="583"/>
      <c r="W55" s="583"/>
      <c r="X55" s="583"/>
      <c r="Y55" s="583"/>
      <c r="Z55" s="583"/>
      <c r="AA55" s="583"/>
      <c r="AB55" s="583"/>
      <c r="AC55" s="583"/>
      <c r="AD55" s="583"/>
      <c r="AE55" s="583"/>
      <c r="AF55" s="583"/>
      <c r="AG55" s="583"/>
      <c r="AH55" s="583"/>
      <c r="AI55" s="583"/>
      <c r="AJ55" s="583"/>
      <c r="AK55" s="583"/>
      <c r="AQ55" s="50">
        <v>14</v>
      </c>
    </row>
    <row r="56" ht="14.65" customHeight="1">
      <c r="O56" s="53"/>
      <c r="AQ56" s="50">
        <v>14</v>
      </c>
    </row>
    <row r="57" ht="14.65" customHeight="1">
      <c r="O57" s="53"/>
      <c r="S57" s="485"/>
      <c r="T57" s="583"/>
      <c r="U57" s="583"/>
      <c r="V57" s="583"/>
      <c r="W57" s="583"/>
      <c r="X57" s="583"/>
      <c r="Y57" s="583"/>
      <c r="Z57" s="583"/>
      <c r="AA57" s="583"/>
      <c r="AB57" s="583"/>
      <c r="AC57" s="583"/>
      <c r="AD57" s="583"/>
      <c r="AE57" s="583"/>
      <c r="AF57" s="583"/>
      <c r="AG57" s="583"/>
      <c r="AH57" s="583"/>
      <c r="AI57" s="583"/>
      <c r="AJ57" s="583"/>
      <c r="AK57" s="583"/>
      <c r="AQ57" s="50">
        <v>14</v>
      </c>
    </row>
    <row r="58" ht="22.5" hidden="1" customHeight="1">
      <c r="A58" s="53" t="s">
        <v>83</v>
      </c>
      <c r="B58" s="53">
        <v>0</v>
      </c>
      <c r="C58" s="53">
        <v>0</v>
      </c>
      <c r="D58" s="53">
        <v>0</v>
      </c>
      <c r="E58" s="53">
        <v>0</v>
      </c>
      <c r="F58" s="53">
        <v>0</v>
      </c>
      <c r="G58" s="53">
        <v>0</v>
      </c>
      <c r="H58" s="53">
        <v>0</v>
      </c>
      <c r="I58" s="53">
        <v>0</v>
      </c>
      <c r="J58" s="53">
        <v>0</v>
      </c>
      <c r="K58" s="53">
        <v>0</v>
      </c>
      <c r="L58" s="113">
        <v>0</v>
      </c>
      <c r="M58" s="61">
        <v>0</v>
      </c>
      <c r="N58" s="61">
        <v>0</v>
      </c>
      <c r="O58" s="61">
        <v>0</v>
      </c>
      <c r="P58" s="60">
        <v>3</v>
      </c>
      <c r="Q58" s="487">
        <v>3</v>
      </c>
      <c r="R58" s="487">
        <v>3</v>
      </c>
      <c r="S58" s="86">
        <v>12</v>
      </c>
      <c r="T58" s="50">
        <v>35</v>
      </c>
      <c r="U58" s="50">
        <v>0</v>
      </c>
      <c r="V58" s="50">
        <v>0</v>
      </c>
      <c r="W58" s="50">
        <v>0</v>
      </c>
      <c r="X58" s="50">
        <v>0</v>
      </c>
      <c r="Y58" s="50">
        <v>0</v>
      </c>
      <c r="Z58" s="50">
        <v>0</v>
      </c>
      <c r="AA58" s="50">
        <v>0</v>
      </c>
      <c r="AB58" s="50">
        <v>0</v>
      </c>
      <c r="AC58" s="50">
        <v>24</v>
      </c>
      <c r="AD58" s="50">
        <v>24</v>
      </c>
      <c r="AE58" s="50">
        <v>24</v>
      </c>
      <c r="AF58" s="50">
        <v>11</v>
      </c>
      <c r="AG58" s="50">
        <v>3</v>
      </c>
      <c r="AH58" s="50">
        <v>11</v>
      </c>
      <c r="AI58" s="50">
        <v>0</v>
      </c>
      <c r="AJ58" s="50">
        <v>4</v>
      </c>
      <c r="AK58" s="50">
        <v>115</v>
      </c>
      <c r="AL58" s="57">
        <v>10</v>
      </c>
      <c r="AM58" s="57">
        <v>10</v>
      </c>
      <c r="AN58" s="57">
        <v>10</v>
      </c>
      <c r="AO58" s="57">
        <v>10</v>
      </c>
      <c r="AP58" s="57">
        <v>10</v>
      </c>
      <c r="AQ58" s="50">
        <v>23</v>
      </c>
    </row>
  </sheetData>
  <sheetProtection autoFilter="0" deleteColumns="1" deleteRows="1" formatCells="1" formatColumns="0" formatRows="0" insertColumns="1" insertHyperlinks="1" insertRows="1" objects="0" pivotTables="1" scenarios="0" selectLockedCells="0" selectUnlockedCells="0" sheet="1" sort="1"/>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Z7:Z8"/>
    <mergeCell ref="AA7:AA8"/>
    <mergeCell ref="AB7:AB8"/>
    <mergeCell ref="AF7:AF8"/>
    <mergeCell ref="AG7:AG8"/>
    <mergeCell ref="AH7:AH8"/>
    <mergeCell ref="AI7:AI8"/>
    <mergeCell ref="AK7:AK8"/>
    <mergeCell ref="AF15:AF16"/>
    <mergeCell ref="AG15:AG16"/>
    <mergeCell ref="AH15:AH16"/>
    <mergeCell ref="AI15:AI16"/>
    <mergeCell ref="S24:AH24"/>
    <mergeCell ref="S25:AH25"/>
    <mergeCell ref="S27:T27"/>
    <mergeCell ref="V27:AA27"/>
    <mergeCell ref="AC27:AH27"/>
    <mergeCell ref="S28:T28"/>
    <mergeCell ref="V28:AA28"/>
    <mergeCell ref="AC28:AH28"/>
    <mergeCell ref="S29:T29"/>
    <mergeCell ref="V29:AA29"/>
    <mergeCell ref="AC29:AH29"/>
    <mergeCell ref="S30:T30"/>
    <mergeCell ref="V30:AA30"/>
    <mergeCell ref="AC30:AH30"/>
    <mergeCell ref="S32:T32"/>
    <mergeCell ref="V32:AA32"/>
    <mergeCell ref="AC32:AH32"/>
    <mergeCell ref="S33:T33"/>
    <mergeCell ref="V33:AA33"/>
    <mergeCell ref="AC33:AH33"/>
    <mergeCell ref="V35:AB35"/>
    <mergeCell ref="AC35:AI35"/>
    <mergeCell ref="S36:AJ36"/>
    <mergeCell ref="AK36:AK39"/>
    <mergeCell ref="S37:S39"/>
    <mergeCell ref="T37:T39"/>
    <mergeCell ref="V37:AA37"/>
    <mergeCell ref="AB37:AB39"/>
    <mergeCell ref="AC37:AH37"/>
    <mergeCell ref="AI37:AI39"/>
    <mergeCell ref="AJ37:AJ39"/>
    <mergeCell ref="W38:X38"/>
    <mergeCell ref="Y38:AA38"/>
    <mergeCell ref="AD38:AE38"/>
    <mergeCell ref="AF38:AH38"/>
    <mergeCell ref="Z39:AA39"/>
    <mergeCell ref="AG39:AH39"/>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K46:K47"/>
    <mergeCell ref="Y46:Y47"/>
    <mergeCell ref="Z46:Z47"/>
    <mergeCell ref="AA46:AA47"/>
    <mergeCell ref="AB46:AB47"/>
    <mergeCell ref="AF46:AF47"/>
    <mergeCell ref="AG46:AG47"/>
    <mergeCell ref="AH46:AH47"/>
    <mergeCell ref="AI46:AI47"/>
    <mergeCell ref="AK46:AK47"/>
    <mergeCell ref="T55:AK55"/>
    <mergeCell ref="T57:AK57"/>
  </mergeCells>
  <dataValidations count="4" disablePrompts="0">
    <dataValidation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type="none" allowBlank="1" errorStyle="stop" imeMode="noControl" operator="between" promptTitle="checkPeriodRange" showDropDown="0" showErrorMessage="0" showInputMessage="0"/>
    <dataValidation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S131116:AK131122 S196652:AK196658 S262188:AK262194 S327724:AK327730 S393260:AK393266 S458796:AK458802 S524332:AK524338 S589868:AK589874 S655404:AK655410 S720940:AK720946 S786476:AK786482 S852012:AK852018 S917548:AK917554 S983084:AK983090 S65580:AK65586" type="none" allowBlank="1" errorStyle="stop" imeMode="noControl" operator="between"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F700B2-003E-4634-AA0A-003500390073}" type="list" allowBlank="1" error="Выберите значение из списка" errorStyle="stop" errorTitle="Ошибка" imeMode="noControl" operator="between" showDropDown="0" showErrorMessage="1" showInputMessage="1">
          <x14:formula1>
            <xm:f>kind_of_scheme_in</xm:f>
          </x14:formula1>
          <xm:sqref>V983080 V65576 V131112 V196648 V262184 V327720 V393256 V458792 V524328 V589864 V655400 V720936 V786472 V852008 V917544 AC983080 AC65576 AC131112 AC196648 AC262184 AC327720 AC393256 AC458792 AC524328 AC589864 AC655400 AC720936 AC786472 AC852008 AC917544</xm:sqref>
        </x14:dataValidation>
        <x14:dataValidation xr:uid="{0079008B-00CC-458F-A6A3-0053004600F7}" type="textLength" allowBlank="1" error="Допускается ввод не более 900 символов!" errorStyle="stop" errorTitle="Ошибка" imeMode="noControl" operator="lessThanOrEqual" showDropDown="0" showErrorMessage="1" showInputMessage="1">
          <x14:formula1>
            <xm:f>900</xm:f>
          </x14:formula1>
          <xm: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xm:sqref>
        </x14:dataValidation>
        <x14:dataValidation xr:uid="{009A00CA-00CD-43C8-9F34-009C00E400A0}" type="list" allowBlank="1" error="Выберите значение из списка" errorStyle="stop" errorTitle="Ошибка" imeMode="noControl" operator="between" showDropDown="0" showErrorMessage="1" showInputMessage="1">
          <x14:formula1>
            <xm:f>kind_of_heat_transfer</xm:f>
          </x14:formula1>
          <xm:sqref>T65578 T131114 T196650 T262186 T327722 T393258 T458794 T524330 T589866 T655402 T720938 T786474 T852010 T917546 T983082</xm:sqref>
        </x14:dataValidation>
        <x14:dataValidation xr:uid="{00880004-00D9-4315-B576-004B00BF00D5}"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V983081:AJ983081 V65577:AJ65577 V131113:AJ131113 V196649:AJ196649 V262185:AJ262185 V327721:AJ327721 V393257:AJ393257 V458793:AJ458793 V524329:AJ524329 V589865:AJ589865 V655401:AJ655401 V720937:AJ720937 V786473:AJ786473 V852009:AJ852009 V917545:AJ917545</xm:sqref>
        </x14:dataValidation>
      </x14:dataValidations>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zoomScale="90" workbookViewId="0">
      <pane xSplit="27" ySplit="41" topLeftCell="AB42" activePane="bottomRight" state="frozen"/>
      <selection activeCell="AH48" activeCellId="0" sqref="AH48"/>
    </sheetView>
  </sheetViews>
  <sheetFormatPr defaultColWidth="10.57421875" defaultRowHeight="14.25" customHeight="1"/>
  <cols>
    <col customWidth="1" hidden="1" min="1" max="3" style="50" width="10.140625"/>
    <col customWidth="1" hidden="1" min="4" max="4" style="50" width="11.8515625"/>
    <col customWidth="1" hidden="1" min="5" max="11" style="50" width="10.140625"/>
    <col customWidth="1" hidden="1" min="12" max="12" style="51" width="10.140625"/>
    <col customWidth="1" hidden="1" min="13" max="15" style="60" width="10.140625"/>
    <col customWidth="1" min="16" max="16" style="61" width="3.00390625"/>
    <col customWidth="1" min="17" max="17" style="547" width="3.00390625"/>
    <col customWidth="1" min="18" max="18" style="487" width="3.00390625"/>
    <col customWidth="1" min="19" max="19" style="86" width="12.00390625"/>
    <col customWidth="1" min="20" max="20" style="50" width="32.7109375"/>
    <col customWidth="1" min="21" max="21" style="50" width="0.140625"/>
    <col customWidth="1" hidden="1" min="22" max="23" style="50" width="21.7109375"/>
    <col customWidth="1" hidden="1" min="24" max="24" style="50" width="11.7109375"/>
    <col customWidth="1" hidden="1" min="25" max="25" style="50" width="3.7109375"/>
    <col customWidth="1" hidden="1" min="26" max="26" style="50" width="11.7109375"/>
    <col customWidth="1" hidden="1" min="27" max="27" style="50" width="8.57421875"/>
    <col customWidth="1" min="28" max="28" style="50" width="44.421875"/>
    <col customWidth="1" min="29" max="29" style="50" width="37.57421875"/>
    <col customWidth="1" min="30" max="31" style="50" width="21.00390625"/>
    <col customWidth="1" min="32" max="32" style="50" width="12.421875"/>
    <col customWidth="1" min="33" max="33" style="50" width="3.7109375"/>
    <col customWidth="1" min="34" max="34" style="50" width="11.00390625"/>
    <col customWidth="1" hidden="1" min="35" max="35" style="50" width="8.57421875"/>
    <col customWidth="1" min="36" max="36" style="50" width="4.00390625"/>
    <col customWidth="1" min="37" max="37" style="50" width="115.00390625"/>
    <col customWidth="1" min="38" max="42" style="57" width="10.00390625"/>
    <col hidden="1" min="43" max="43" style="50" width="10.57421875"/>
  </cols>
  <sheetData>
    <row r="1" ht="0.75" hidden="1" customHeight="1">
      <c r="AQ1" s="50" t="s">
        <v>14</v>
      </c>
    </row>
    <row r="2" ht="21" hidden="1" customHeight="1">
      <c r="A2" s="264"/>
      <c r="B2" s="264"/>
      <c r="C2" s="264"/>
      <c r="D2" s="264"/>
      <c r="E2" s="584">
        <v>1</v>
      </c>
      <c r="F2" s="264"/>
      <c r="G2" s="264"/>
      <c r="H2" s="264"/>
      <c r="I2" s="264"/>
      <c r="J2" s="264"/>
      <c r="K2" s="264"/>
      <c r="L2" s="333"/>
      <c r="M2" s="86"/>
      <c r="N2" s="86"/>
      <c r="O2" s="86"/>
      <c r="P2" s="61"/>
      <c r="Q2" s="64"/>
      <c r="R2" s="492"/>
      <c r="S2" s="493" t="e">
        <f>INDEX(PT_DIFFERENTIATION_NUM_NTAR,MATCH(A2,PT_DIFFERENTIATION_NTAR_ID,0))</f>
        <v>#VALUE!</v>
      </c>
      <c r="T2" s="494" t="s">
        <v>123</v>
      </c>
      <c r="U2" s="495"/>
      <c r="V2" s="497"/>
      <c r="W2" s="497"/>
      <c r="X2" s="497"/>
      <c r="Y2" s="497"/>
      <c r="Z2" s="497"/>
      <c r="AA2" s="498"/>
      <c r="AB2" s="497"/>
      <c r="AC2" s="497" t="e">
        <f>INDEX(PT_DIFFERENTIATION_NTAR,MATCH(A2,PT_DIFFERENTIATION_NTAR_ID,0))</f>
        <v>#VALUE!</v>
      </c>
      <c r="AD2" s="497"/>
      <c r="AE2" s="497"/>
      <c r="AF2" s="497"/>
      <c r="AG2" s="497"/>
      <c r="AH2" s="497"/>
      <c r="AI2" s="497"/>
      <c r="AJ2" s="498"/>
      <c r="AK2" s="499" t="s">
        <v>401</v>
      </c>
      <c r="AM2" s="129"/>
      <c r="AN2" s="129" t="str">
        <f t="shared" ref="AN2:AN9" si="31">IF(T2="","",T2)</f>
        <v xml:space="preserve">Наименование тарифа</v>
      </c>
      <c r="AO2" s="129"/>
      <c r="AP2" s="129"/>
      <c r="AQ2" s="50">
        <v>0</v>
      </c>
    </row>
    <row r="3" ht="21" hidden="1" customHeight="1">
      <c r="A3" s="264"/>
      <c r="B3" s="264"/>
      <c r="C3" s="264"/>
      <c r="D3" s="264"/>
      <c r="E3" s="585"/>
      <c r="F3" s="584">
        <v>1</v>
      </c>
      <c r="G3" s="264"/>
      <c r="H3" s="264"/>
      <c r="I3" s="264"/>
      <c r="J3" s="264"/>
      <c r="K3" s="264"/>
      <c r="L3" s="333"/>
      <c r="M3" s="86"/>
      <c r="N3" s="86"/>
      <c r="O3" s="86"/>
      <c r="P3" s="113"/>
      <c r="Q3" s="638"/>
      <c r="R3" s="502"/>
      <c r="S3" s="493" t="e">
        <f>INDEX(PT_DIFFERENTIATION_NUM_TER,MATCH(B3,PT_DIFFERENTIATION_TER_ID,0))</f>
        <v>#VALUE!</v>
      </c>
      <c r="T3" s="503" t="s">
        <v>402</v>
      </c>
      <c r="U3" s="495"/>
      <c r="V3" s="497"/>
      <c r="W3" s="497"/>
      <c r="X3" s="497"/>
      <c r="Y3" s="497"/>
      <c r="Z3" s="497"/>
      <c r="AA3" s="498"/>
      <c r="AB3" s="497"/>
      <c r="AC3" s="497" t="e">
        <f>INDEX(PT_DIFFERENTIATION_TER,MATCH(B3,PT_DIFFERENTIATION_TER_ID,0))</f>
        <v>#VALUE!</v>
      </c>
      <c r="AD3" s="497"/>
      <c r="AE3" s="497"/>
      <c r="AF3" s="497"/>
      <c r="AG3" s="497"/>
      <c r="AH3" s="497"/>
      <c r="AI3" s="497"/>
      <c r="AJ3" s="498"/>
      <c r="AK3" s="499" t="s">
        <v>403</v>
      </c>
      <c r="AM3" s="129"/>
      <c r="AN3" s="129" t="str">
        <f t="shared" si="31"/>
        <v xml:space="preserve">Территория действия тарифа</v>
      </c>
      <c r="AO3" s="129"/>
      <c r="AP3" s="129"/>
      <c r="AQ3" s="50">
        <v>0</v>
      </c>
    </row>
    <row r="4" ht="22.5" hidden="1" customHeight="1">
      <c r="A4" s="264"/>
      <c r="B4" s="264"/>
      <c r="C4" s="264"/>
      <c r="D4" s="264"/>
      <c r="E4" s="585"/>
      <c r="F4" s="585"/>
      <c r="G4" s="584">
        <v>1</v>
      </c>
      <c r="H4" s="264"/>
      <c r="I4" s="264"/>
      <c r="J4" s="264"/>
      <c r="K4" s="264"/>
      <c r="L4" s="333"/>
      <c r="M4" s="86"/>
      <c r="N4" s="86"/>
      <c r="O4" s="86"/>
      <c r="P4" s="135"/>
      <c r="Q4" s="638"/>
      <c r="R4" s="502"/>
      <c r="S4" s="493" t="e">
        <f>INDEX(PT_DIFFERENTIATION_NUM_CS,MATCH(C4,PT_DIFFERENTIATION_CS_ID,0))</f>
        <v>#VALUE!</v>
      </c>
      <c r="T4" s="505" t="s">
        <v>404</v>
      </c>
      <c r="U4" s="495"/>
      <c r="V4" s="497"/>
      <c r="W4" s="497"/>
      <c r="X4" s="497"/>
      <c r="Y4" s="497"/>
      <c r="Z4" s="497"/>
      <c r="AA4" s="498"/>
      <c r="AB4" s="497"/>
      <c r="AC4" s="497" t="e">
        <f>INDEX(PT_DIFFERENTIATION_CS,MATCH(C4,PT_DIFFERENTIATION_CS_ID,0))</f>
        <v>#VALUE!</v>
      </c>
      <c r="AD4" s="497"/>
      <c r="AE4" s="497"/>
      <c r="AF4" s="497"/>
      <c r="AG4" s="497"/>
      <c r="AH4" s="497"/>
      <c r="AI4" s="497"/>
      <c r="AJ4" s="498"/>
      <c r="AK4" s="499" t="s">
        <v>405</v>
      </c>
      <c r="AM4" s="129"/>
      <c r="AN4" s="129" t="str">
        <f t="shared" si="31"/>
        <v xml:space="preserve">Наименование системы теплоснабжения </v>
      </c>
      <c r="AO4" s="129"/>
      <c r="AP4" s="129"/>
      <c r="AQ4" s="50">
        <v>0</v>
      </c>
    </row>
    <row r="5" ht="21" hidden="1" customHeight="1">
      <c r="A5" s="264"/>
      <c r="B5" s="264"/>
      <c r="C5" s="264"/>
      <c r="D5" s="264"/>
      <c r="E5" s="585"/>
      <c r="F5" s="585"/>
      <c r="G5" s="585"/>
      <c r="H5" s="584">
        <v>1</v>
      </c>
      <c r="I5" s="264"/>
      <c r="J5" s="264"/>
      <c r="K5" s="264"/>
      <c r="L5" s="333"/>
      <c r="M5" s="86"/>
      <c r="N5" s="86"/>
      <c r="O5" s="86"/>
      <c r="P5" s="135"/>
      <c r="Q5" s="638"/>
      <c r="R5" s="502"/>
      <c r="S5" s="493" t="e">
        <f>INDEX(PT_DIFFERENTIATION_NUM_IST_TE,MATCH(D5,PT_DIFFERENTIATION_IST_TE_ID,0))</f>
        <v>#VALUE!</v>
      </c>
      <c r="T5" s="506" t="s">
        <v>406</v>
      </c>
      <c r="U5" s="495"/>
      <c r="V5" s="497"/>
      <c r="W5" s="497"/>
      <c r="X5" s="497"/>
      <c r="Y5" s="497"/>
      <c r="Z5" s="497"/>
      <c r="AA5" s="498"/>
      <c r="AB5" s="497"/>
      <c r="AC5" s="497" t="e">
        <f>INDEX(PT_DIFFERENTIATION_IST_TE,MATCH(D5,PT_DIFFERENTIATION_IST_TE_ID,0))</f>
        <v>#VALUE!</v>
      </c>
      <c r="AD5" s="497"/>
      <c r="AE5" s="497"/>
      <c r="AF5" s="497"/>
      <c r="AG5" s="497"/>
      <c r="AH5" s="497"/>
      <c r="AI5" s="497"/>
      <c r="AJ5" s="498"/>
      <c r="AK5" s="499" t="s">
        <v>407</v>
      </c>
      <c r="AM5" s="129"/>
      <c r="AN5" s="129" t="str">
        <f t="shared" si="31"/>
        <v xml:space="preserve">Источник тепловой энергии  </v>
      </c>
      <c r="AO5" s="129"/>
      <c r="AP5" s="129"/>
      <c r="AQ5" s="50">
        <v>0</v>
      </c>
    </row>
    <row r="6" s="57" customFormat="1" ht="0.75" hidden="1" customHeight="1">
      <c r="A6" s="586"/>
      <c r="B6" s="586"/>
      <c r="C6" s="586"/>
      <c r="D6" s="586"/>
      <c r="E6" s="585"/>
      <c r="F6" s="585"/>
      <c r="G6" s="585"/>
      <c r="H6" s="585"/>
      <c r="I6" s="157" t="e">
        <f>S5&amp;".1"</f>
        <v>#VALUE!</v>
      </c>
      <c r="J6" s="586"/>
      <c r="K6" s="586"/>
      <c r="L6" s="587" t="s">
        <v>408</v>
      </c>
      <c r="M6" s="572"/>
      <c r="N6" s="572"/>
      <c r="O6" s="572"/>
      <c r="P6" s="132">
        <v>1</v>
      </c>
      <c r="Q6" s="132"/>
      <c r="R6" s="508"/>
      <c r="S6" s="362"/>
      <c r="T6" s="595"/>
      <c r="U6" s="596"/>
      <c r="V6" s="598"/>
      <c r="W6" s="598"/>
      <c r="X6" s="598"/>
      <c r="Y6" s="598"/>
      <c r="Z6" s="598"/>
      <c r="AA6" s="599"/>
      <c r="AB6" s="598"/>
      <c r="AC6" s="598"/>
      <c r="AD6" s="598"/>
      <c r="AE6" s="598"/>
      <c r="AF6" s="598"/>
      <c r="AG6" s="598"/>
      <c r="AH6" s="598"/>
      <c r="AI6" s="598"/>
      <c r="AJ6" s="599"/>
      <c r="AK6" s="600"/>
      <c r="AM6" s="129"/>
      <c r="AN6" s="129" t="str">
        <f t="shared" si="31"/>
        <v/>
      </c>
      <c r="AO6" s="129"/>
      <c r="AP6" s="129"/>
      <c r="AQ6" s="57">
        <v>0</v>
      </c>
    </row>
    <row r="7" s="57" customFormat="1" ht="0.75" hidden="1" customHeight="1">
      <c r="A7" s="586"/>
      <c r="B7" s="586"/>
      <c r="C7" s="586"/>
      <c r="D7" s="586"/>
      <c r="E7" s="585"/>
      <c r="F7" s="585"/>
      <c r="G7" s="585"/>
      <c r="H7" s="585"/>
      <c r="I7" s="73"/>
      <c r="J7" s="157" t="e">
        <f>S5&amp;".1"</f>
        <v>#VALUE!</v>
      </c>
      <c r="K7" s="586"/>
      <c r="L7" s="587"/>
      <c r="M7" s="572"/>
      <c r="N7" s="572"/>
      <c r="O7" s="572"/>
      <c r="P7" s="132"/>
      <c r="Q7" s="132">
        <v>1</v>
      </c>
      <c r="R7" s="513"/>
      <c r="S7" s="362"/>
      <c r="T7" s="639"/>
      <c r="U7" s="596"/>
      <c r="V7" s="598"/>
      <c r="W7" s="598"/>
      <c r="X7" s="598"/>
      <c r="Y7" s="598"/>
      <c r="Z7" s="598"/>
      <c r="AA7" s="599"/>
      <c r="AB7" s="598"/>
      <c r="AC7" s="598"/>
      <c r="AD7" s="598"/>
      <c r="AE7" s="598"/>
      <c r="AF7" s="598"/>
      <c r="AG7" s="598"/>
      <c r="AH7" s="598"/>
      <c r="AI7" s="598"/>
      <c r="AJ7" s="599"/>
      <c r="AK7" s="600"/>
      <c r="AM7" s="129"/>
      <c r="AN7" s="129" t="str">
        <f t="shared" si="31"/>
        <v/>
      </c>
      <c r="AO7" s="129"/>
      <c r="AP7" s="129"/>
      <c r="AQ7" s="57">
        <v>0</v>
      </c>
    </row>
    <row r="8" ht="21" hidden="1" customHeight="1">
      <c r="A8" s="264"/>
      <c r="B8" s="264"/>
      <c r="C8" s="264"/>
      <c r="D8" s="264"/>
      <c r="E8" s="585"/>
      <c r="F8" s="585"/>
      <c r="G8" s="585"/>
      <c r="H8" s="585"/>
      <c r="I8" s="73"/>
      <c r="J8" s="73"/>
      <c r="K8" s="157" t="e">
        <f>S5&amp;".1"</f>
        <v>#VALUE!</v>
      </c>
      <c r="L8" s="333"/>
      <c r="P8" s="132"/>
      <c r="Q8" s="132"/>
      <c r="R8" s="640">
        <v>1</v>
      </c>
      <c r="S8" s="607" t="e">
        <f>$K8</f>
        <v>#VALUE!</v>
      </c>
      <c r="T8" s="641"/>
      <c r="U8" s="495"/>
      <c r="V8" s="516"/>
      <c r="W8" s="518"/>
      <c r="X8" s="519"/>
      <c r="Y8" s="224" t="s">
        <v>67</v>
      </c>
      <c r="Z8" s="519"/>
      <c r="AA8" s="224" t="s">
        <v>67</v>
      </c>
      <c r="AB8" s="698"/>
      <c r="AC8" s="699" t="s">
        <v>28</v>
      </c>
      <c r="AD8" s="516"/>
      <c r="AE8" s="518"/>
      <c r="AF8" s="519"/>
      <c r="AG8" s="224" t="s">
        <v>67</v>
      </c>
      <c r="AH8" s="519"/>
      <c r="AI8" s="224" t="s">
        <v>67</v>
      </c>
      <c r="AJ8" s="580"/>
      <c r="AK8" s="520" t="s">
        <v>465</v>
      </c>
      <c r="AL8" s="57" t="e">
        <f>STRCHECKDATE(#REF!)</f>
        <v>#NAME?</v>
      </c>
      <c r="AM8" s="129"/>
      <c r="AN8" s="129" t="str">
        <f t="shared" si="31"/>
        <v/>
      </c>
      <c r="AO8" s="129"/>
      <c r="AP8" s="129"/>
      <c r="AQ8" s="50">
        <v>0</v>
      </c>
    </row>
    <row r="9" ht="11.25" hidden="1" customHeight="1">
      <c r="A9" s="264"/>
      <c r="B9" s="264"/>
      <c r="C9" s="264"/>
      <c r="D9" s="264"/>
      <c r="E9" s="585"/>
      <c r="F9" s="585"/>
      <c r="G9" s="585"/>
      <c r="H9" s="585"/>
      <c r="I9" s="73"/>
      <c r="J9" s="157"/>
      <c r="K9" s="264"/>
      <c r="L9" s="333"/>
      <c r="P9" s="132"/>
      <c r="Q9" s="132"/>
      <c r="R9" s="508"/>
      <c r="S9" s="524"/>
      <c r="T9" s="528" t="s">
        <v>469</v>
      </c>
      <c r="U9" s="214"/>
      <c r="V9" s="214"/>
      <c r="W9" s="214"/>
      <c r="X9" s="214"/>
      <c r="Y9" s="214"/>
      <c r="Z9" s="214"/>
      <c r="AA9" s="214"/>
      <c r="AB9" s="214"/>
      <c r="AC9" s="214"/>
      <c r="AD9" s="214"/>
      <c r="AE9" s="214"/>
      <c r="AF9" s="214"/>
      <c r="AG9" s="214"/>
      <c r="AH9" s="214"/>
      <c r="AI9" s="214"/>
      <c r="AJ9" s="526"/>
      <c r="AK9" s="527"/>
      <c r="AM9" s="129"/>
      <c r="AN9" s="129" t="str">
        <f t="shared" si="31"/>
        <v xml:space="preserve">Добавить строку</v>
      </c>
      <c r="AO9" s="129"/>
      <c r="AP9" s="129"/>
      <c r="AQ9" s="50">
        <v>0</v>
      </c>
    </row>
    <row r="10" s="57" customFormat="1" ht="0.75" hidden="1" customHeight="1">
      <c r="A10" s="586"/>
      <c r="B10" s="586"/>
      <c r="C10" s="586"/>
      <c r="D10" s="586"/>
      <c r="E10" s="585"/>
      <c r="F10" s="585"/>
      <c r="G10" s="585"/>
      <c r="H10" s="585"/>
      <c r="I10" s="157"/>
      <c r="J10" s="586"/>
      <c r="K10" s="586"/>
      <c r="L10" s="587"/>
      <c r="M10" s="572"/>
      <c r="N10" s="572"/>
      <c r="O10" s="572"/>
      <c r="P10" s="132"/>
      <c r="Q10" s="132"/>
      <c r="R10" s="508"/>
      <c r="S10" s="601"/>
      <c r="T10" s="602"/>
      <c r="U10" s="603"/>
      <c r="V10" s="603"/>
      <c r="W10" s="603"/>
      <c r="X10" s="603"/>
      <c r="Y10" s="603"/>
      <c r="Z10" s="603"/>
      <c r="AA10" s="603"/>
      <c r="AB10" s="603"/>
      <c r="AC10" s="603"/>
      <c r="AD10" s="603"/>
      <c r="AE10" s="603"/>
      <c r="AF10" s="603"/>
      <c r="AG10" s="603"/>
      <c r="AH10" s="603"/>
      <c r="AI10" s="603"/>
      <c r="AJ10" s="603"/>
      <c r="AK10" s="604"/>
      <c r="AM10" s="129"/>
      <c r="AN10" s="129" t="str">
        <f t="shared" ref="AN10:AN56" si="32">IF(T10="","",T10)</f>
        <v/>
      </c>
      <c r="AO10" s="129"/>
      <c r="AP10" s="129"/>
      <c r="AQ10" s="57">
        <v>0</v>
      </c>
    </row>
    <row r="11" s="57" customFormat="1" ht="0.75" hidden="1" customHeight="1">
      <c r="A11" s="586"/>
      <c r="B11" s="586"/>
      <c r="C11" s="586"/>
      <c r="D11" s="586"/>
      <c r="E11" s="585"/>
      <c r="F11" s="585"/>
      <c r="G11" s="585"/>
      <c r="H11" s="584"/>
      <c r="I11" s="586"/>
      <c r="J11" s="586"/>
      <c r="K11" s="586"/>
      <c r="L11" s="587"/>
      <c r="M11" s="588"/>
      <c r="N11" s="588"/>
      <c r="O11" s="131"/>
      <c r="P11" s="167"/>
      <c r="Q11" s="533"/>
      <c r="R11" s="655"/>
      <c r="S11" s="601"/>
      <c r="T11" s="602"/>
      <c r="U11" s="603"/>
      <c r="V11" s="603"/>
      <c r="W11" s="603"/>
      <c r="X11" s="603"/>
      <c r="Y11" s="603"/>
      <c r="Z11" s="603"/>
      <c r="AA11" s="603"/>
      <c r="AB11" s="603"/>
      <c r="AC11" s="603"/>
      <c r="AD11" s="603"/>
      <c r="AE11" s="603"/>
      <c r="AF11" s="603"/>
      <c r="AG11" s="603"/>
      <c r="AH11" s="603"/>
      <c r="AI11" s="603"/>
      <c r="AJ11" s="603"/>
      <c r="AK11" s="604"/>
      <c r="AM11" s="129"/>
      <c r="AN11" s="129" t="str">
        <f t="shared" si="32"/>
        <v/>
      </c>
      <c r="AO11" s="129"/>
      <c r="AP11" s="129"/>
      <c r="AQ11" s="57">
        <v>0</v>
      </c>
    </row>
    <row r="12" s="57" customFormat="1" ht="0.75" hidden="1" customHeight="1">
      <c r="A12" s="586"/>
      <c r="B12" s="586"/>
      <c r="C12" s="586"/>
      <c r="D12" s="586"/>
      <c r="E12" s="585"/>
      <c r="F12" s="585"/>
      <c r="G12" s="584"/>
      <c r="H12" s="586"/>
      <c r="I12" s="586"/>
      <c r="J12" s="586"/>
      <c r="K12" s="586"/>
      <c r="L12" s="587"/>
      <c r="M12" s="588"/>
      <c r="N12" s="588"/>
      <c r="O12" s="131"/>
      <c r="P12" s="167"/>
      <c r="Q12" s="533"/>
      <c r="R12" s="167"/>
      <c r="S12" s="538"/>
      <c r="T12" s="541" t="s">
        <v>211</v>
      </c>
      <c r="U12" s="540"/>
      <c r="V12" s="540"/>
      <c r="W12" s="540"/>
      <c r="X12" s="540"/>
      <c r="Y12" s="540"/>
      <c r="Z12" s="540"/>
      <c r="AA12" s="540"/>
      <c r="AB12" s="540"/>
      <c r="AC12" s="540"/>
      <c r="AD12" s="540"/>
      <c r="AE12" s="540"/>
      <c r="AF12" s="540"/>
      <c r="AG12" s="540"/>
      <c r="AH12" s="540"/>
      <c r="AI12" s="540"/>
      <c r="AJ12" s="540"/>
      <c r="AK12" s="540"/>
      <c r="AM12" s="129"/>
      <c r="AN12" s="129" t="str">
        <f t="shared" si="32"/>
        <v xml:space="preserve">Добавить источник для дифференциации</v>
      </c>
      <c r="AO12" s="129"/>
      <c r="AP12" s="129"/>
      <c r="AQ12" s="57">
        <v>0</v>
      </c>
    </row>
    <row r="13" s="57" customFormat="1" ht="0.75" hidden="1" customHeight="1">
      <c r="A13" s="586"/>
      <c r="B13" s="586"/>
      <c r="C13" s="586"/>
      <c r="D13" s="586"/>
      <c r="E13" s="585"/>
      <c r="F13" s="584"/>
      <c r="G13" s="586"/>
      <c r="H13" s="586"/>
      <c r="I13" s="586"/>
      <c r="J13" s="586"/>
      <c r="K13" s="586"/>
      <c r="L13" s="587"/>
      <c r="M13" s="589"/>
      <c r="N13" s="589"/>
      <c r="O13" s="131"/>
      <c r="P13" s="167"/>
      <c r="Q13" s="533"/>
      <c r="R13" s="167"/>
      <c r="S13" s="538"/>
      <c r="T13" s="541" t="s">
        <v>212</v>
      </c>
      <c r="U13" s="540"/>
      <c r="V13" s="540"/>
      <c r="W13" s="540"/>
      <c r="X13" s="540"/>
      <c r="Y13" s="540"/>
      <c r="Z13" s="540"/>
      <c r="AA13" s="540"/>
      <c r="AB13" s="540"/>
      <c r="AC13" s="540"/>
      <c r="AD13" s="540"/>
      <c r="AE13" s="540"/>
      <c r="AF13" s="540"/>
      <c r="AG13" s="540"/>
      <c r="AH13" s="540"/>
      <c r="AI13" s="540"/>
      <c r="AJ13" s="540"/>
      <c r="AK13" s="540"/>
      <c r="AM13" s="129"/>
      <c r="AN13" s="129" t="str">
        <f t="shared" si="32"/>
        <v xml:space="preserve">Добавить централизованную систему для дифференциации</v>
      </c>
      <c r="AO13" s="129"/>
      <c r="AP13" s="129"/>
      <c r="AQ13" s="57">
        <v>0</v>
      </c>
    </row>
    <row r="14" s="57" customFormat="1" ht="0.75" hidden="1" customHeight="1">
      <c r="A14" s="586"/>
      <c r="B14" s="586"/>
      <c r="C14" s="586"/>
      <c r="D14" s="586"/>
      <c r="E14" s="584"/>
      <c r="F14" s="586"/>
      <c r="G14" s="586"/>
      <c r="H14" s="586"/>
      <c r="I14" s="586"/>
      <c r="J14" s="586"/>
      <c r="K14" s="586"/>
      <c r="L14" s="587"/>
      <c r="M14" s="589"/>
      <c r="N14" s="589"/>
      <c r="O14" s="131"/>
      <c r="P14" s="167"/>
      <c r="Q14" s="533"/>
      <c r="R14" s="167"/>
      <c r="S14" s="538"/>
      <c r="T14" s="541" t="s">
        <v>213</v>
      </c>
      <c r="U14" s="540"/>
      <c r="V14" s="540"/>
      <c r="W14" s="540"/>
      <c r="X14" s="540"/>
      <c r="Y14" s="540"/>
      <c r="Z14" s="540"/>
      <c r="AA14" s="540"/>
      <c r="AB14" s="540"/>
      <c r="AC14" s="540"/>
      <c r="AD14" s="540"/>
      <c r="AE14" s="540"/>
      <c r="AF14" s="540"/>
      <c r="AG14" s="540"/>
      <c r="AH14" s="540"/>
      <c r="AI14" s="540"/>
      <c r="AJ14" s="540"/>
      <c r="AK14" s="540"/>
      <c r="AM14" s="129"/>
      <c r="AN14" s="129" t="str">
        <f t="shared" si="32"/>
        <v xml:space="preserve">Добавить территорию для дифференциации</v>
      </c>
      <c r="AO14" s="129"/>
      <c r="AP14" s="129"/>
      <c r="AQ14" s="57">
        <v>0</v>
      </c>
    </row>
    <row r="15" ht="14.25" hidden="1" customHeight="1">
      <c r="AQ15" s="50">
        <v>0</v>
      </c>
    </row>
    <row r="16" ht="14.25" hidden="1" customHeight="1">
      <c r="AC16" s="657"/>
      <c r="AD16" s="660"/>
      <c r="AE16" s="661"/>
      <c r="AF16" s="662"/>
      <c r="AG16" s="663" t="s">
        <v>67</v>
      </c>
      <c r="AH16" s="662"/>
      <c r="AI16" s="663" t="s">
        <v>67</v>
      </c>
      <c r="AQ16" s="50">
        <v>0</v>
      </c>
    </row>
    <row r="17" ht="14.25" hidden="1" customHeight="1">
      <c r="AL17" s="131"/>
      <c r="AM17" s="131"/>
      <c r="AN17" s="131"/>
      <c r="AO17" s="131"/>
      <c r="AP17" s="131"/>
      <c r="AQ17" s="50">
        <v>0</v>
      </c>
    </row>
    <row r="18" ht="14.25" hidden="1" customHeight="1">
      <c r="O18" s="590" t="s">
        <v>419</v>
      </c>
      <c r="X18" s="590"/>
      <c r="Z18" s="590"/>
      <c r="AF18" s="590"/>
      <c r="AH18" s="590"/>
      <c r="AL18" s="131"/>
      <c r="AM18" s="131"/>
      <c r="AN18" s="131"/>
      <c r="AO18" s="131"/>
      <c r="AP18" s="131"/>
      <c r="AQ18" s="50">
        <v>0</v>
      </c>
    </row>
    <row r="19" ht="14.25" hidden="1" customHeight="1">
      <c r="AL19" s="131"/>
      <c r="AM19" s="131"/>
      <c r="AN19" s="131"/>
      <c r="AO19" s="131"/>
      <c r="AP19" s="131"/>
      <c r="AQ19" s="50">
        <v>0</v>
      </c>
    </row>
    <row r="20" s="664" customFormat="1" ht="14.25" hidden="1" customHeight="1">
      <c r="A20" s="700"/>
      <c r="B20" s="700"/>
      <c r="C20" s="700"/>
      <c r="D20" s="700"/>
      <c r="E20" s="700"/>
      <c r="F20" s="700"/>
      <c r="G20" s="700"/>
      <c r="H20" s="700"/>
      <c r="I20" s="700"/>
      <c r="J20" s="700"/>
      <c r="K20" s="700"/>
      <c r="L20" s="700"/>
      <c r="M20" s="591"/>
      <c r="N20" s="591"/>
      <c r="O20" s="700" t="s">
        <v>420</v>
      </c>
      <c r="P20" s="665"/>
      <c r="Q20" s="666"/>
      <c r="R20" s="666"/>
      <c r="Y20" s="664" t="s">
        <v>422</v>
      </c>
      <c r="AA20" s="664" t="s">
        <v>423</v>
      </c>
      <c r="AC20" s="664" t="s">
        <v>471</v>
      </c>
      <c r="AG20" s="664" t="s">
        <v>422</v>
      </c>
      <c r="AI20" s="664" t="s">
        <v>423</v>
      </c>
      <c r="AL20" s="667"/>
      <c r="AM20" s="667"/>
      <c r="AN20" s="667"/>
      <c r="AO20" s="667"/>
      <c r="AP20" s="667"/>
      <c r="AQ20" s="664">
        <v>0</v>
      </c>
    </row>
    <row r="21" ht="14.25" hidden="1" customHeight="1">
      <c r="O21" s="333"/>
      <c r="AL21" s="131"/>
      <c r="AM21" s="131"/>
      <c r="AN21" s="131"/>
      <c r="AO21" s="131"/>
      <c r="AP21" s="131"/>
      <c r="AQ21" s="50">
        <v>0</v>
      </c>
    </row>
    <row r="22" ht="14.25" hidden="1" customHeight="1">
      <c r="O22" s="333"/>
      <c r="AL22" s="131"/>
      <c r="AM22" s="131"/>
      <c r="AN22" s="131"/>
      <c r="AO22" s="131"/>
      <c r="AP22" s="131"/>
      <c r="AQ22" s="50">
        <v>0</v>
      </c>
    </row>
    <row r="23" ht="14.65" customHeight="1">
      <c r="Q23" s="668"/>
      <c r="R23" s="548"/>
      <c r="S23" s="549"/>
      <c r="T23" s="91"/>
      <c r="U23" s="91"/>
      <c r="V23" s="50"/>
      <c r="W23" s="50"/>
      <c r="X23" s="50"/>
      <c r="Y23" s="50"/>
      <c r="Z23" s="50"/>
      <c r="AA23" s="50"/>
      <c r="AB23" s="50"/>
      <c r="AC23" s="50"/>
      <c r="AD23" s="50"/>
      <c r="AE23" s="50"/>
      <c r="AF23" s="50"/>
      <c r="AG23" s="50"/>
      <c r="AH23" s="50"/>
      <c r="AI23" s="50"/>
      <c r="AQ23" s="50">
        <v>14</v>
      </c>
    </row>
    <row r="24" ht="39.75" customHeight="1">
      <c r="Q24" s="668"/>
      <c r="R24" s="548"/>
      <c r="S24" s="461" t="str">
        <f>IF(TEMPLATE_GROUP="P",PT_P_FORM_HEAT_7_NAME_FORM,PT_R_FORM_HEAT_24_NAME_FORM)</f>
        <v xml:space="preserve">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461"/>
      <c r="U24" s="461"/>
      <c r="V24" s="461"/>
      <c r="W24" s="461"/>
      <c r="X24" s="461"/>
      <c r="Y24" s="461"/>
      <c r="Z24" s="461"/>
      <c r="AA24" s="461"/>
      <c r="AB24" s="461"/>
      <c r="AC24" s="461"/>
      <c r="AD24" s="461"/>
      <c r="AE24" s="461"/>
      <c r="AF24" s="461"/>
      <c r="AG24" s="461"/>
      <c r="AH24" s="461"/>
      <c r="AI24" s="240"/>
      <c r="AQ24" s="50">
        <v>38</v>
      </c>
    </row>
    <row r="25" ht="14.65" customHeight="1">
      <c r="Q25" s="668"/>
      <c r="R25" s="548"/>
      <c r="S25" s="316" t="str">
        <f>IF(org=0,"Не определено",org)</f>
        <v xml:space="preserve">АО "ДГК"</v>
      </c>
      <c r="T25" s="316"/>
      <c r="U25" s="316"/>
      <c r="V25" s="316"/>
      <c r="W25" s="316"/>
      <c r="X25" s="316"/>
      <c r="Y25" s="316"/>
      <c r="Z25" s="316"/>
      <c r="AA25" s="316"/>
      <c r="AB25" s="316"/>
      <c r="AC25" s="316"/>
      <c r="AD25" s="316"/>
      <c r="AE25" s="316"/>
      <c r="AF25" s="316"/>
      <c r="AG25" s="316"/>
      <c r="AH25" s="316"/>
      <c r="AI25" s="240"/>
      <c r="AQ25" s="50">
        <v>14</v>
      </c>
    </row>
    <row r="26" ht="14.25" hidden="1" customHeight="1">
      <c r="Q26" s="668"/>
      <c r="R26" s="548"/>
      <c r="S26" s="549"/>
      <c r="T26" s="91"/>
      <c r="U26" s="91"/>
      <c r="V26" s="550"/>
      <c r="W26" s="550"/>
      <c r="X26" s="550"/>
      <c r="Y26" s="550"/>
      <c r="Z26" s="550"/>
      <c r="AA26" s="550"/>
      <c r="AB26" s="550"/>
      <c r="AC26" s="550"/>
      <c r="AD26" s="550"/>
      <c r="AE26" s="550"/>
      <c r="AF26" s="550"/>
      <c r="AG26" s="550"/>
      <c r="AH26" s="550"/>
      <c r="AI26" s="550"/>
      <c r="AJ26" s="50"/>
      <c r="AQ26" s="50">
        <v>0</v>
      </c>
    </row>
    <row r="27" s="184" customFormat="1" ht="25.5" hidden="1" customHeight="1">
      <c r="A27" s="106"/>
      <c r="B27" s="106"/>
      <c r="C27" s="106"/>
      <c r="D27" s="106"/>
      <c r="E27" s="106"/>
      <c r="F27" s="106"/>
      <c r="G27" s="106"/>
      <c r="H27" s="106"/>
      <c r="I27" s="106"/>
      <c r="J27" s="106"/>
      <c r="K27" s="106"/>
      <c r="L27" s="333"/>
      <c r="M27" s="106"/>
      <c r="N27" s="106"/>
      <c r="O27" s="106"/>
      <c r="P27" s="151"/>
      <c r="Q27" s="151"/>
      <c r="S27" s="551" t="s">
        <v>42</v>
      </c>
      <c r="T27" s="551"/>
      <c r="U27" s="552"/>
      <c r="V27" s="553" t="str">
        <f>IF(TITLE_NAME_OR_PR_CHANGE="",IF(TITLE_NAME_OR_PR="","",TITLE_NAME_OR_PR),TITLE_NAME_OR_PR_CHANGE)</f>
        <v/>
      </c>
      <c r="W27" s="553"/>
      <c r="X27" s="553"/>
      <c r="Y27" s="553"/>
      <c r="Z27" s="553"/>
      <c r="AA27" s="50"/>
      <c r="AB27" s="50"/>
      <c r="AC27" s="553"/>
      <c r="AD27" s="553"/>
      <c r="AE27" s="553"/>
      <c r="AF27" s="553"/>
      <c r="AG27" s="553"/>
      <c r="AH27" s="553"/>
      <c r="AI27" s="50"/>
      <c r="AJ27" s="50"/>
      <c r="AK27" s="554"/>
      <c r="AL27" s="129"/>
      <c r="AM27" s="129"/>
      <c r="AN27" s="129"/>
      <c r="AO27" s="129"/>
      <c r="AP27" s="129"/>
      <c r="AQ27" s="184">
        <v>0</v>
      </c>
    </row>
    <row r="28" s="184" customFormat="1" ht="18.75" hidden="1" customHeight="1">
      <c r="A28" s="106"/>
      <c r="B28" s="106"/>
      <c r="C28" s="106"/>
      <c r="D28" s="106"/>
      <c r="E28" s="106"/>
      <c r="F28" s="106"/>
      <c r="G28" s="106"/>
      <c r="H28" s="106"/>
      <c r="I28" s="106"/>
      <c r="J28" s="106"/>
      <c r="K28" s="106"/>
      <c r="L28" s="333"/>
      <c r="M28" s="106"/>
      <c r="N28" s="106"/>
      <c r="O28" s="106"/>
      <c r="P28" s="151"/>
      <c r="Q28" s="151"/>
      <c r="S28" s="551" t="s">
        <v>425</v>
      </c>
      <c r="T28" s="551"/>
      <c r="U28" s="552"/>
      <c r="V28" s="555">
        <f>IF(TITLE_DATE_PR_CHANGE="",IF(TITLE_DATE_PR="","",TITLE_DATE_PR),TITLE_DATE_PR_CHANGE)</f>
        <v>46212.428518518522</v>
      </c>
      <c r="W28" s="555"/>
      <c r="X28" s="555"/>
      <c r="Y28" s="555"/>
      <c r="Z28" s="555"/>
      <c r="AA28" s="50"/>
      <c r="AB28" s="50"/>
      <c r="AC28" s="555"/>
      <c r="AD28" s="555"/>
      <c r="AE28" s="555"/>
      <c r="AF28" s="555"/>
      <c r="AG28" s="555"/>
      <c r="AH28" s="555"/>
      <c r="AI28" s="50"/>
      <c r="AJ28" s="50"/>
      <c r="AK28" s="554"/>
      <c r="AL28" s="129"/>
      <c r="AM28" s="129"/>
      <c r="AN28" s="129"/>
      <c r="AO28" s="129"/>
      <c r="AP28" s="129"/>
      <c r="AQ28" s="184">
        <v>0</v>
      </c>
    </row>
    <row r="29" s="184" customFormat="1" ht="18.75" hidden="1" customHeight="1">
      <c r="A29" s="106"/>
      <c r="B29" s="106"/>
      <c r="C29" s="106"/>
      <c r="D29" s="106"/>
      <c r="E29" s="106"/>
      <c r="F29" s="106"/>
      <c r="G29" s="106"/>
      <c r="H29" s="106"/>
      <c r="I29" s="106"/>
      <c r="J29" s="106"/>
      <c r="K29" s="106"/>
      <c r="L29" s="333"/>
      <c r="M29" s="106"/>
      <c r="N29" s="106"/>
      <c r="O29" s="106"/>
      <c r="P29" s="151"/>
      <c r="Q29" s="151"/>
      <c r="S29" s="551" t="s">
        <v>426</v>
      </c>
      <c r="T29" s="551"/>
      <c r="U29" s="552"/>
      <c r="V29" s="553" t="str">
        <f>IF(TITLE_NUMBER_PR_CHANGE="",IF(TITLE_NUMBER_PR="","",TITLE_NUMBER_PR),TITLE_NUMBER_PR_CHANGE)</f>
        <v>Исх-260/1397</v>
      </c>
      <c r="W29" s="553"/>
      <c r="X29" s="553"/>
      <c r="Y29" s="553"/>
      <c r="Z29" s="553"/>
      <c r="AA29" s="50"/>
      <c r="AB29" s="50"/>
      <c r="AC29" s="553"/>
      <c r="AD29" s="553"/>
      <c r="AE29" s="553"/>
      <c r="AF29" s="553"/>
      <c r="AG29" s="553"/>
      <c r="AH29" s="553"/>
      <c r="AI29" s="50"/>
      <c r="AJ29" s="50"/>
      <c r="AK29" s="554"/>
      <c r="AL29" s="129"/>
      <c r="AM29" s="129"/>
      <c r="AN29" s="129"/>
      <c r="AO29" s="129"/>
      <c r="AP29" s="129"/>
      <c r="AQ29" s="184">
        <v>0</v>
      </c>
    </row>
    <row r="30" s="184" customFormat="1" ht="18.75" hidden="1" customHeight="1">
      <c r="A30" s="106"/>
      <c r="B30" s="106"/>
      <c r="C30" s="106"/>
      <c r="D30" s="106"/>
      <c r="E30" s="106"/>
      <c r="F30" s="106"/>
      <c r="G30" s="106"/>
      <c r="H30" s="106"/>
      <c r="I30" s="106"/>
      <c r="J30" s="106"/>
      <c r="K30" s="106"/>
      <c r="L30" s="333"/>
      <c r="M30" s="106"/>
      <c r="N30" s="106"/>
      <c r="O30" s="106"/>
      <c r="P30" s="151"/>
      <c r="Q30" s="151"/>
      <c r="S30" s="551" t="s">
        <v>43</v>
      </c>
      <c r="T30" s="551"/>
      <c r="U30" s="552"/>
      <c r="V30" s="553" t="str">
        <f>IF(TITLE_IST_PUB_CHANGE="",IF(TITLE_IST_PUB="","",TITLE_IST_PUB),TITLE_IST_PUB_CHANGE)</f>
        <v/>
      </c>
      <c r="W30" s="553"/>
      <c r="X30" s="553"/>
      <c r="Y30" s="553"/>
      <c r="Z30" s="553"/>
      <c r="AA30" s="50"/>
      <c r="AB30" s="50"/>
      <c r="AC30" s="553"/>
      <c r="AD30" s="553"/>
      <c r="AE30" s="553"/>
      <c r="AF30" s="553"/>
      <c r="AG30" s="553"/>
      <c r="AH30" s="553"/>
      <c r="AI30" s="50"/>
      <c r="AJ30" s="50"/>
      <c r="AK30" s="554"/>
      <c r="AL30" s="129"/>
      <c r="AM30" s="129"/>
      <c r="AN30" s="129"/>
      <c r="AO30" s="129"/>
      <c r="AP30" s="129"/>
      <c r="AQ30" s="184">
        <v>0</v>
      </c>
    </row>
    <row r="31" ht="14.25" hidden="1" customHeight="1">
      <c r="Q31" s="668"/>
      <c r="R31" s="548"/>
      <c r="S31" s="549"/>
      <c r="T31" s="91"/>
      <c r="U31" s="91"/>
      <c r="V31" s="550"/>
      <c r="W31" s="550"/>
      <c r="X31" s="550"/>
      <c r="Y31" s="550"/>
      <c r="Z31" s="550"/>
      <c r="AA31" s="550"/>
      <c r="AB31" s="550"/>
      <c r="AC31" s="550"/>
      <c r="AD31" s="550"/>
      <c r="AE31" s="550"/>
      <c r="AF31" s="550"/>
      <c r="AG31" s="550"/>
      <c r="AH31" s="550"/>
      <c r="AI31" s="550"/>
      <c r="AJ31" s="50"/>
      <c r="AQ31" s="50">
        <v>0</v>
      </c>
    </row>
    <row r="32" s="184" customFormat="1" ht="18.75" hidden="1" customHeight="1">
      <c r="A32" s="106"/>
      <c r="B32" s="106"/>
      <c r="C32" s="106"/>
      <c r="D32" s="106"/>
      <c r="E32" s="106"/>
      <c r="F32" s="106"/>
      <c r="G32" s="106"/>
      <c r="H32" s="106"/>
      <c r="I32" s="106"/>
      <c r="J32" s="106"/>
      <c r="K32" s="106"/>
      <c r="L32" s="333"/>
      <c r="M32" s="106"/>
      <c r="N32" s="106"/>
      <c r="O32" s="106"/>
      <c r="P32" s="151"/>
      <c r="Q32" s="151"/>
      <c r="S32" s="551" t="s">
        <v>425</v>
      </c>
      <c r="T32" s="551"/>
      <c r="U32" s="552"/>
      <c r="V32" s="555">
        <f>IF(TITLE_DATE_PR_CHANGE="",IF(TITLE_DATE_PR="","",TITLE_DATE_PR),TITLE_DATE_PR_CHANGE)</f>
        <v>46212.428518518522</v>
      </c>
      <c r="W32" s="555"/>
      <c r="X32" s="555"/>
      <c r="Y32" s="555"/>
      <c r="Z32" s="555"/>
      <c r="AA32" s="50"/>
      <c r="AB32" s="50"/>
      <c r="AC32" s="555"/>
      <c r="AD32" s="555"/>
      <c r="AE32" s="555"/>
      <c r="AF32" s="555"/>
      <c r="AG32" s="555"/>
      <c r="AH32" s="555"/>
      <c r="AI32" s="50"/>
      <c r="AJ32" s="50"/>
      <c r="AK32" s="554"/>
      <c r="AL32" s="129"/>
      <c r="AM32" s="129"/>
      <c r="AN32" s="129"/>
      <c r="AO32" s="129"/>
      <c r="AP32" s="129"/>
      <c r="AQ32" s="184">
        <v>0</v>
      </c>
    </row>
    <row r="33" s="184" customFormat="1" ht="18" hidden="1" customHeight="1">
      <c r="A33" s="106"/>
      <c r="B33" s="106"/>
      <c r="C33" s="106"/>
      <c r="D33" s="106"/>
      <c r="E33" s="106"/>
      <c r="F33" s="106"/>
      <c r="G33" s="106"/>
      <c r="H33" s="106"/>
      <c r="I33" s="106"/>
      <c r="J33" s="106"/>
      <c r="K33" s="106"/>
      <c r="L33" s="333"/>
      <c r="M33" s="106"/>
      <c r="N33" s="106"/>
      <c r="O33" s="106"/>
      <c r="P33" s="151"/>
      <c r="Q33" s="151"/>
      <c r="S33" s="551" t="s">
        <v>426</v>
      </c>
      <c r="T33" s="551"/>
      <c r="U33" s="552"/>
      <c r="V33" s="553" t="str">
        <f>IF(TITLE_NUMBER_PR_CHANGE="",IF(TITLE_NUMBER_PR="","",TITLE_NUMBER_PR),TITLE_NUMBER_PR_CHANGE)</f>
        <v>Исх-260/1397</v>
      </c>
      <c r="W33" s="553"/>
      <c r="X33" s="553"/>
      <c r="Y33" s="553"/>
      <c r="Z33" s="553"/>
      <c r="AA33" s="50"/>
      <c r="AB33" s="50"/>
      <c r="AC33" s="553"/>
      <c r="AD33" s="553"/>
      <c r="AE33" s="553"/>
      <c r="AF33" s="553"/>
      <c r="AG33" s="553"/>
      <c r="AH33" s="553"/>
      <c r="AI33" s="50"/>
      <c r="AJ33" s="50"/>
      <c r="AK33" s="554"/>
      <c r="AL33" s="129"/>
      <c r="AM33" s="129"/>
      <c r="AN33" s="129"/>
      <c r="AO33" s="129"/>
      <c r="AP33" s="129"/>
      <c r="AQ33" s="184">
        <v>0</v>
      </c>
    </row>
    <row r="34" s="184" customFormat="1" ht="1.05" customHeight="1">
      <c r="A34" s="106"/>
      <c r="B34" s="106"/>
      <c r="C34" s="106"/>
      <c r="D34" s="106"/>
      <c r="E34" s="106"/>
      <c r="F34" s="106"/>
      <c r="G34" s="106"/>
      <c r="H34" s="106"/>
      <c r="I34" s="106"/>
      <c r="J34" s="106"/>
      <c r="K34" s="106"/>
      <c r="L34" s="333"/>
      <c r="M34" s="106"/>
      <c r="N34" s="106"/>
      <c r="O34" s="106"/>
      <c r="P34" s="151"/>
      <c r="Q34" s="151"/>
      <c r="S34" s="50"/>
      <c r="T34" s="50"/>
      <c r="U34" s="140"/>
      <c r="V34" s="50"/>
      <c r="W34" s="50"/>
      <c r="X34" s="50"/>
      <c r="Y34" s="50"/>
      <c r="Z34" s="50"/>
      <c r="AA34" s="57" t="s">
        <v>429</v>
      </c>
      <c r="AB34" s="57"/>
      <c r="AC34" s="50"/>
      <c r="AD34" s="50"/>
      <c r="AE34" s="50"/>
      <c r="AF34" s="50"/>
      <c r="AG34" s="50"/>
      <c r="AH34" s="50"/>
      <c r="AI34" s="57" t="s">
        <v>429</v>
      </c>
      <c r="AL34" s="129"/>
      <c r="AM34" s="129"/>
      <c r="AN34" s="129"/>
      <c r="AO34" s="129"/>
      <c r="AP34" s="129"/>
      <c r="AQ34" s="184">
        <v>1</v>
      </c>
    </row>
    <row r="35" ht="14.65" customHeight="1">
      <c r="Q35" s="668"/>
      <c r="R35" s="548"/>
      <c r="S35" s="549"/>
      <c r="T35" s="91"/>
      <c r="U35" s="556"/>
      <c r="V35" s="557"/>
      <c r="W35" s="557"/>
      <c r="X35" s="557"/>
      <c r="Y35" s="557"/>
      <c r="Z35" s="557"/>
      <c r="AA35" s="557"/>
      <c r="AB35" s="557"/>
      <c r="AC35" s="557"/>
      <c r="AD35" s="557"/>
      <c r="AE35" s="557"/>
      <c r="AF35" s="557"/>
      <c r="AG35" s="557"/>
      <c r="AH35" s="557"/>
      <c r="AI35" s="557"/>
      <c r="AQ35" s="50">
        <v>14</v>
      </c>
    </row>
    <row r="36" ht="14.65" customHeight="1">
      <c r="Q36" s="668"/>
      <c r="R36" s="548"/>
      <c r="S36" s="157" t="s">
        <v>305</v>
      </c>
      <c r="T36" s="157"/>
      <c r="U36" s="157"/>
      <c r="V36" s="157"/>
      <c r="W36" s="157"/>
      <c r="X36" s="157"/>
      <c r="Y36" s="157"/>
      <c r="Z36" s="157"/>
      <c r="AA36" s="320"/>
      <c r="AB36" s="320"/>
      <c r="AC36" s="320"/>
      <c r="AD36" s="157"/>
      <c r="AE36" s="157"/>
      <c r="AF36" s="157"/>
      <c r="AG36" s="157"/>
      <c r="AH36" s="157"/>
      <c r="AI36" s="157"/>
      <c r="AJ36" s="157"/>
      <c r="AK36" s="157" t="s">
        <v>306</v>
      </c>
      <c r="AQ36" s="50">
        <v>14</v>
      </c>
    </row>
    <row r="37" ht="14.65" customHeight="1">
      <c r="Q37" s="668"/>
      <c r="R37" s="548"/>
      <c r="S37" s="493" t="s">
        <v>89</v>
      </c>
      <c r="T37" s="358" t="s">
        <v>500</v>
      </c>
      <c r="U37" s="558"/>
      <c r="V37" s="560"/>
      <c r="W37" s="560"/>
      <c r="X37" s="560"/>
      <c r="Y37" s="560"/>
      <c r="Z37" s="560"/>
      <c r="AA37" s="358" t="s">
        <v>432</v>
      </c>
      <c r="AB37" s="357" t="s">
        <v>501</v>
      </c>
      <c r="AC37" s="357" t="s">
        <v>475</v>
      </c>
      <c r="AD37" s="593" t="s">
        <v>431</v>
      </c>
      <c r="AE37" s="593"/>
      <c r="AF37" s="560"/>
      <c r="AG37" s="560"/>
      <c r="AH37" s="561"/>
      <c r="AI37" s="562" t="s">
        <v>432</v>
      </c>
      <c r="AJ37" s="563" t="s">
        <v>434</v>
      </c>
      <c r="AK37" s="157"/>
      <c r="AQ37" s="50">
        <v>14</v>
      </c>
    </row>
    <row r="38" ht="35.649999999999999" customHeight="1">
      <c r="Q38" s="668"/>
      <c r="R38" s="548"/>
      <c r="S38" s="493"/>
      <c r="T38" s="358"/>
      <c r="U38" s="564"/>
      <c r="V38" s="72" t="s">
        <v>478</v>
      </c>
      <c r="W38" s="157"/>
      <c r="X38" s="317" t="s">
        <v>438</v>
      </c>
      <c r="Y38" s="635"/>
      <c r="Z38" s="635"/>
      <c r="AA38" s="358"/>
      <c r="AB38" s="357"/>
      <c r="AC38" s="357"/>
      <c r="AD38" s="72" t="s">
        <v>478</v>
      </c>
      <c r="AE38" s="157"/>
      <c r="AF38" s="635" t="s">
        <v>438</v>
      </c>
      <c r="AG38" s="635"/>
      <c r="AH38" s="318"/>
      <c r="AI38" s="566"/>
      <c r="AJ38" s="567"/>
      <c r="AK38" s="157"/>
      <c r="AQ38" s="50">
        <v>34</v>
      </c>
    </row>
    <row r="39" ht="15" customHeight="1">
      <c r="Q39" s="668"/>
      <c r="R39" s="548"/>
      <c r="S39" s="493"/>
      <c r="T39" s="358"/>
      <c r="U39" s="564"/>
      <c r="V39" s="676" t="str">
        <f>IF($AD$39&lt;&gt;"",$AD$39,"")</f>
        <v>тыс.руб./Гкал/ч</v>
      </c>
      <c r="W39" s="676"/>
      <c r="X39" s="323"/>
      <c r="Y39" s="636"/>
      <c r="Z39" s="636"/>
      <c r="AA39" s="358"/>
      <c r="AB39" s="357"/>
      <c r="AC39" s="357"/>
      <c r="AD39" s="701" t="s">
        <v>502</v>
      </c>
      <c r="AE39" s="677"/>
      <c r="AF39" s="636"/>
      <c r="AG39" s="636"/>
      <c r="AH39" s="324"/>
      <c r="AI39" s="566"/>
      <c r="AJ39" s="567"/>
      <c r="AK39" s="157"/>
      <c r="AQ39" s="50">
        <v>14</v>
      </c>
    </row>
    <row r="40" ht="14.65" customHeight="1">
      <c r="A40" s="106"/>
      <c r="B40" s="106" t="s">
        <v>135</v>
      </c>
      <c r="C40" s="106" t="s">
        <v>136</v>
      </c>
      <c r="D40" s="106" t="s">
        <v>137</v>
      </c>
      <c r="E40" s="333" t="s">
        <v>439</v>
      </c>
      <c r="F40" s="333" t="s">
        <v>440</v>
      </c>
      <c r="G40" s="333" t="s">
        <v>441</v>
      </c>
      <c r="H40" s="333" t="s">
        <v>442</v>
      </c>
      <c r="I40" s="333" t="s">
        <v>443</v>
      </c>
      <c r="J40" s="333" t="s">
        <v>444</v>
      </c>
      <c r="K40" s="333" t="s">
        <v>445</v>
      </c>
      <c r="L40" s="333" t="s">
        <v>420</v>
      </c>
      <c r="Q40" s="668"/>
      <c r="R40" s="548"/>
      <c r="S40" s="493"/>
      <c r="T40" s="358"/>
      <c r="U40" s="568"/>
      <c r="V40" s="358" t="s">
        <v>479</v>
      </c>
      <c r="W40" s="358" t="s">
        <v>480</v>
      </c>
      <c r="X40" s="246" t="s">
        <v>448</v>
      </c>
      <c r="Y40" s="424" t="s">
        <v>449</v>
      </c>
      <c r="Z40" s="425"/>
      <c r="AA40" s="358"/>
      <c r="AB40" s="357"/>
      <c r="AC40" s="357"/>
      <c r="AD40" s="702" t="s">
        <v>479</v>
      </c>
      <c r="AE40" s="570" t="s">
        <v>480</v>
      </c>
      <c r="AF40" s="246" t="s">
        <v>448</v>
      </c>
      <c r="AG40" s="424" t="s">
        <v>449</v>
      </c>
      <c r="AH40" s="426"/>
      <c r="AI40" s="570"/>
      <c r="AJ40" s="571"/>
      <c r="AK40" s="157"/>
      <c r="AQ40" s="50">
        <v>14</v>
      </c>
    </row>
    <row r="41" s="131" customFormat="1" ht="11.25" hidden="1" customHeight="1">
      <c r="A41" s="106"/>
      <c r="B41" s="106"/>
      <c r="C41" s="106"/>
      <c r="D41" s="106"/>
      <c r="E41" s="106"/>
      <c r="F41" s="106"/>
      <c r="G41" s="106"/>
      <c r="H41" s="106"/>
      <c r="I41" s="106"/>
      <c r="J41" s="106"/>
      <c r="K41" s="106"/>
      <c r="L41" s="333"/>
      <c r="M41" s="60"/>
      <c r="N41" s="60"/>
      <c r="O41" s="60"/>
      <c r="P41" s="605"/>
      <c r="Q41" s="574"/>
      <c r="R41" s="574">
        <v>1</v>
      </c>
      <c r="S41" s="575" t="s">
        <v>109</v>
      </c>
      <c r="T41" s="576" t="s">
        <v>110</v>
      </c>
      <c r="U41" s="577" t="str">
        <f ca="1">OFFSET(U41,0,-1)</f>
        <v>2</v>
      </c>
      <c r="V41" s="578">
        <f ca="1">OFFSET(V41,0,-1)+1</f>
        <v>3</v>
      </c>
      <c r="W41" s="578">
        <f ca="1">OFFSET(W41,0,-1)+1</f>
        <v>4</v>
      </c>
      <c r="X41" s="578">
        <f ca="1">OFFSET(X41,0,-1)+1</f>
        <v>5</v>
      </c>
      <c r="Y41" s="578">
        <f ca="1">OFFSET(Y41,0,-1)+1</f>
        <v>6</v>
      </c>
      <c r="Z41" s="578"/>
      <c r="AA41" s="435">
        <f ca="1">OFFSET(AA41,0,-2)+1</f>
        <v>7</v>
      </c>
      <c r="AB41" s="435"/>
      <c r="AC41" s="435"/>
      <c r="AD41" s="578">
        <f ca="1">OFFSET(AD41,0,-1)+1</f>
        <v>1</v>
      </c>
      <c r="AE41" s="578">
        <f ca="1">OFFSET(AE41,0,-1)+1</f>
        <v>2</v>
      </c>
      <c r="AF41" s="578">
        <f ca="1">OFFSET(AF41,0,-1)+1</f>
        <v>3</v>
      </c>
      <c r="AG41" s="578">
        <f ca="1">OFFSET(AG41,0,-1)+1</f>
        <v>4</v>
      </c>
      <c r="AH41" s="578"/>
      <c r="AI41" s="578">
        <f ca="1">OFFSET(AI41,0,-2)+1</f>
        <v>5</v>
      </c>
      <c r="AJ41" s="577">
        <f ca="1">OFFSET(AJ41,0,-1)</f>
        <v>5</v>
      </c>
      <c r="AK41" s="578">
        <f ca="1">OFFSET(AK41,0,-1)+1</f>
        <v>6</v>
      </c>
      <c r="AL41" s="57"/>
      <c r="AM41" s="57"/>
      <c r="AN41" s="57"/>
      <c r="AO41" s="57"/>
      <c r="AP41" s="57"/>
      <c r="AQ41" s="131">
        <v>0</v>
      </c>
    </row>
    <row r="42" ht="107.25" customHeight="1">
      <c r="A42" s="264" t="s">
        <v>207</v>
      </c>
      <c r="B42" s="264"/>
      <c r="C42" s="264"/>
      <c r="D42" s="264"/>
      <c r="E42" s="584">
        <v>1</v>
      </c>
      <c r="F42" s="264"/>
      <c r="G42" s="264"/>
      <c r="H42" s="264"/>
      <c r="I42" s="264"/>
      <c r="J42" s="264"/>
      <c r="K42" s="264"/>
      <c r="L42" s="333"/>
      <c r="M42" s="86"/>
      <c r="N42" s="86"/>
      <c r="O42" s="86"/>
      <c r="P42" s="61"/>
      <c r="Q42" s="64"/>
      <c r="R42" s="492"/>
      <c r="S42" s="493">
        <f>INDEX(PT_DIFFERENTIATION_NUM_NTAR,MATCH(A42,PT_DIFFERENTIATION_NTAR_ID,0))</f>
        <v>1</v>
      </c>
      <c r="T42" s="494" t="s">
        <v>123</v>
      </c>
      <c r="U42" s="495"/>
      <c r="V42" s="497"/>
      <c r="W42" s="497"/>
      <c r="X42" s="497"/>
      <c r="Y42" s="497"/>
      <c r="Z42" s="497"/>
      <c r="AA42" s="498"/>
      <c r="AB42" s="497"/>
      <c r="AC42" s="497" t="str">
        <f>INDEX(PT_DIFFERENTIATION_NTAR,MATCH(A42,PT_DIFFERENTIATION_NTAR_ID,0))</f>
        <v xml:space="preserve">Плата за подключение теплопотребляющих установок общества с ограниченной ответственностью Специализированный застройщик «Эдельвейс-5» для осуществления подключения объекта капитального строительства: «Многоэтажная жилая застройка со встроенными помещениями нежилого назначения, расположенная в районе ул. Кизлярской, 18 в г. Владивостоке», к системе теплоснабжения АО "ДГК" в индивидуальном порядке.</v>
      </c>
      <c r="AD42" s="497"/>
      <c r="AE42" s="497"/>
      <c r="AF42" s="497"/>
      <c r="AG42" s="497"/>
      <c r="AH42" s="497"/>
      <c r="AI42" s="497"/>
      <c r="AJ42" s="498"/>
      <c r="AK42" s="49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 xml:space="preserve">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29"/>
      <c r="AN42" s="129" t="str">
        <f t="shared" si="32"/>
        <v xml:space="preserve">Наименование тарифа</v>
      </c>
      <c r="AO42" s="129"/>
      <c r="AP42" s="129"/>
      <c r="AQ42" s="50">
        <v>102</v>
      </c>
    </row>
    <row r="43" ht="22" customHeight="1">
      <c r="A43" s="264" t="s">
        <v>207</v>
      </c>
      <c r="B43" s="264" t="s">
        <v>208</v>
      </c>
      <c r="C43" s="264"/>
      <c r="D43" s="264"/>
      <c r="E43" s="585"/>
      <c r="F43" s="584">
        <v>1</v>
      </c>
      <c r="G43" s="264"/>
      <c r="H43" s="264"/>
      <c r="I43" s="264"/>
      <c r="J43" s="264"/>
      <c r="K43" s="264"/>
      <c r="L43" s="333"/>
      <c r="M43" s="86"/>
      <c r="N43" s="86"/>
      <c r="O43" s="86"/>
      <c r="P43" s="113"/>
      <c r="Q43" s="638"/>
      <c r="R43" s="502"/>
      <c r="S43" s="493" t="str">
        <f>INDEX(PT_DIFFERENTIATION_NUM_TER,MATCH(B43,PT_DIFFERENTIATION_TER_ID,0))</f>
        <v>1.1</v>
      </c>
      <c r="T43" s="503" t="s">
        <v>402</v>
      </c>
      <c r="U43" s="495"/>
      <c r="V43" s="497"/>
      <c r="W43" s="497"/>
      <c r="X43" s="497"/>
      <c r="Y43" s="497"/>
      <c r="Z43" s="497"/>
      <c r="AA43" s="498"/>
      <c r="AB43" s="497"/>
      <c r="AC43" s="497" t="str">
        <f>INDEX(PT_DIFFERENTIATION_TER,MATCH(B43,PT_DIFFERENTIATION_TER_ID,0))</f>
        <v xml:space="preserve">без дифференциации</v>
      </c>
      <c r="AD43" s="497"/>
      <c r="AE43" s="497"/>
      <c r="AF43" s="497"/>
      <c r="AG43" s="497"/>
      <c r="AH43" s="497"/>
      <c r="AI43" s="497"/>
      <c r="AJ43" s="498"/>
      <c r="AK43" s="499" t="s">
        <v>403</v>
      </c>
      <c r="AM43" s="129"/>
      <c r="AN43" s="129" t="str">
        <f t="shared" si="32"/>
        <v xml:space="preserve">Территория действия тарифа</v>
      </c>
      <c r="AO43" s="129"/>
      <c r="AP43" s="129"/>
      <c r="AQ43" s="50">
        <v>21</v>
      </c>
    </row>
    <row r="44" ht="24" customHeight="1">
      <c r="A44" s="264" t="s">
        <v>207</v>
      </c>
      <c r="B44" s="264" t="s">
        <v>208</v>
      </c>
      <c r="C44" s="264" t="s">
        <v>209</v>
      </c>
      <c r="D44" s="264"/>
      <c r="E44" s="585"/>
      <c r="F44" s="585"/>
      <c r="G44" s="584">
        <v>1</v>
      </c>
      <c r="H44" s="264"/>
      <c r="I44" s="264"/>
      <c r="J44" s="264"/>
      <c r="K44" s="264"/>
      <c r="L44" s="333"/>
      <c r="M44" s="86"/>
      <c r="N44" s="86"/>
      <c r="O44" s="86"/>
      <c r="P44" s="135"/>
      <c r="Q44" s="638"/>
      <c r="R44" s="502"/>
      <c r="S44" s="493" t="str">
        <f>INDEX(PT_DIFFERENTIATION_NUM_CS,MATCH(C44,PT_DIFFERENTIATION_CS_ID,0))</f>
        <v>1.1.1</v>
      </c>
      <c r="T44" s="505" t="s">
        <v>404</v>
      </c>
      <c r="U44" s="495"/>
      <c r="V44" s="497"/>
      <c r="W44" s="497"/>
      <c r="X44" s="497"/>
      <c r="Y44" s="497"/>
      <c r="Z44" s="497"/>
      <c r="AA44" s="498"/>
      <c r="AB44" s="497"/>
      <c r="AC44" s="497" t="str">
        <f>INDEX(PT_DIFFERENTIATION_CS,MATCH(C44,PT_DIFFERENTIATION_CS_ID,0))</f>
        <v xml:space="preserve">без дифференциации</v>
      </c>
      <c r="AD44" s="497"/>
      <c r="AE44" s="497"/>
      <c r="AF44" s="497"/>
      <c r="AG44" s="497"/>
      <c r="AH44" s="497"/>
      <c r="AI44" s="497"/>
      <c r="AJ44" s="498"/>
      <c r="AK44" s="499" t="s">
        <v>405</v>
      </c>
      <c r="AM44" s="129"/>
      <c r="AN44" s="129" t="str">
        <f t="shared" si="32"/>
        <v xml:space="preserve">Наименование системы теплоснабжения </v>
      </c>
      <c r="AO44" s="129"/>
      <c r="AP44" s="129"/>
      <c r="AQ44" s="50">
        <v>23</v>
      </c>
    </row>
    <row r="45" ht="22" customHeight="1">
      <c r="A45" s="264" t="s">
        <v>207</v>
      </c>
      <c r="B45" s="264" t="s">
        <v>208</v>
      </c>
      <c r="C45" s="264" t="s">
        <v>209</v>
      </c>
      <c r="D45" s="264" t="s">
        <v>210</v>
      </c>
      <c r="E45" s="585"/>
      <c r="F45" s="585"/>
      <c r="G45" s="585"/>
      <c r="H45" s="584">
        <v>1</v>
      </c>
      <c r="I45" s="264"/>
      <c r="J45" s="264"/>
      <c r="K45" s="264"/>
      <c r="L45" s="333"/>
      <c r="M45" s="86"/>
      <c r="N45" s="86"/>
      <c r="O45" s="86"/>
      <c r="P45" s="135"/>
      <c r="Q45" s="638"/>
      <c r="R45" s="502"/>
      <c r="S45" s="493" t="str">
        <f>INDEX(PT_DIFFERENTIATION_NUM_IST_TE,MATCH(D45,PT_DIFFERENTIATION_IST_TE_ID,0))</f>
        <v>1.1.1.1</v>
      </c>
      <c r="T45" s="506" t="s">
        <v>406</v>
      </c>
      <c r="U45" s="495"/>
      <c r="V45" s="497"/>
      <c r="W45" s="497"/>
      <c r="X45" s="497"/>
      <c r="Y45" s="497"/>
      <c r="Z45" s="497"/>
      <c r="AA45" s="498"/>
      <c r="AB45" s="497"/>
      <c r="AC45" s="497" t="str">
        <f>INDEX(PT_DIFFERENTIATION_IST_TE,MATCH(D45,PT_DIFFERENTIATION_IST_TE_ID,0))</f>
        <v xml:space="preserve">Владивостокская ТЭЦ-2</v>
      </c>
      <c r="AD45" s="497"/>
      <c r="AE45" s="497"/>
      <c r="AF45" s="497"/>
      <c r="AG45" s="497"/>
      <c r="AH45" s="497"/>
      <c r="AI45" s="497"/>
      <c r="AJ45" s="498"/>
      <c r="AK45" s="499" t="s">
        <v>407</v>
      </c>
      <c r="AM45" s="129"/>
      <c r="AN45" s="129" t="str">
        <f t="shared" si="32"/>
        <v xml:space="preserve">Источник тепловой энергии  </v>
      </c>
      <c r="AO45" s="129"/>
      <c r="AP45" s="129"/>
      <c r="AQ45" s="50">
        <v>21</v>
      </c>
    </row>
    <row r="46" s="57" customFormat="1" ht="0" customHeight="1">
      <c r="A46" s="586" t="s">
        <v>207</v>
      </c>
      <c r="B46" s="586" t="s">
        <v>208</v>
      </c>
      <c r="C46" s="586" t="s">
        <v>209</v>
      </c>
      <c r="D46" s="586" t="s">
        <v>210</v>
      </c>
      <c r="E46" s="585"/>
      <c r="F46" s="585"/>
      <c r="G46" s="585"/>
      <c r="H46" s="585"/>
      <c r="I46" s="157" t="str">
        <f>S45&amp;".1"</f>
        <v>1.1.1.1.1</v>
      </c>
      <c r="J46" s="586"/>
      <c r="K46" s="586"/>
      <c r="L46" s="587" t="s">
        <v>408</v>
      </c>
      <c r="M46" s="572"/>
      <c r="N46" s="572"/>
      <c r="O46" s="572"/>
      <c r="P46" s="132">
        <v>1</v>
      </c>
      <c r="Q46" s="132"/>
      <c r="R46" s="508"/>
      <c r="S46" s="362"/>
      <c r="T46" s="595"/>
      <c r="U46" s="596"/>
      <c r="V46" s="598"/>
      <c r="W46" s="598"/>
      <c r="X46" s="598"/>
      <c r="Y46" s="598"/>
      <c r="Z46" s="598"/>
      <c r="AA46" s="599"/>
      <c r="AB46" s="598"/>
      <c r="AC46" s="598"/>
      <c r="AD46" s="598"/>
      <c r="AE46" s="598"/>
      <c r="AF46" s="598"/>
      <c r="AG46" s="598"/>
      <c r="AH46" s="598"/>
      <c r="AI46" s="598"/>
      <c r="AJ46" s="599"/>
      <c r="AK46" s="600"/>
      <c r="AM46" s="129"/>
      <c r="AN46" s="129" t="str">
        <f t="shared" si="32"/>
        <v/>
      </c>
      <c r="AO46" s="129"/>
      <c r="AP46" s="129"/>
      <c r="AQ46" s="57">
        <v>0</v>
      </c>
    </row>
    <row r="47" s="57" customFormat="1" ht="0" customHeight="1">
      <c r="A47" s="586" t="s">
        <v>207</v>
      </c>
      <c r="B47" s="586" t="s">
        <v>208</v>
      </c>
      <c r="C47" s="586" t="s">
        <v>209</v>
      </c>
      <c r="D47" s="586" t="s">
        <v>210</v>
      </c>
      <c r="E47" s="585"/>
      <c r="F47" s="585"/>
      <c r="G47" s="585"/>
      <c r="H47" s="585"/>
      <c r="I47" s="73"/>
      <c r="J47" s="157" t="str">
        <f>S45&amp;".1"</f>
        <v>1.1.1.1.1</v>
      </c>
      <c r="K47" s="586"/>
      <c r="L47" s="587"/>
      <c r="M47" s="572"/>
      <c r="N47" s="572"/>
      <c r="O47" s="572"/>
      <c r="P47" s="132"/>
      <c r="Q47" s="132">
        <v>1</v>
      </c>
      <c r="R47" s="513"/>
      <c r="S47" s="362"/>
      <c r="T47" s="639"/>
      <c r="U47" s="596"/>
      <c r="V47" s="598"/>
      <c r="W47" s="598"/>
      <c r="X47" s="598"/>
      <c r="Y47" s="598"/>
      <c r="Z47" s="598"/>
      <c r="AA47" s="599"/>
      <c r="AB47" s="598"/>
      <c r="AC47" s="598"/>
      <c r="AD47" s="598"/>
      <c r="AE47" s="598"/>
      <c r="AF47" s="598"/>
      <c r="AG47" s="598"/>
      <c r="AH47" s="598"/>
      <c r="AI47" s="598"/>
      <c r="AJ47" s="599"/>
      <c r="AK47" s="600"/>
      <c r="AM47" s="129"/>
      <c r="AN47" s="129" t="str">
        <f t="shared" si="32"/>
        <v/>
      </c>
      <c r="AO47" s="129"/>
      <c r="AP47" s="129"/>
      <c r="AQ47" s="57">
        <v>0</v>
      </c>
    </row>
    <row r="48" ht="51.75" customHeight="1">
      <c r="A48" s="264" t="s">
        <v>207</v>
      </c>
      <c r="B48" s="264" t="s">
        <v>208</v>
      </c>
      <c r="C48" s="264" t="s">
        <v>209</v>
      </c>
      <c r="D48" s="264" t="s">
        <v>210</v>
      </c>
      <c r="E48" s="585"/>
      <c r="F48" s="585"/>
      <c r="G48" s="585"/>
      <c r="H48" s="585"/>
      <c r="I48" s="73"/>
      <c r="J48" s="73"/>
      <c r="K48" s="157" t="str">
        <f>S45&amp;".1"</f>
        <v>1.1.1.1.1</v>
      </c>
      <c r="L48" s="333"/>
      <c r="P48" s="132"/>
      <c r="Q48" s="132"/>
      <c r="R48" s="513">
        <v>1</v>
      </c>
      <c r="S48" s="607" t="str">
        <f>$K48</f>
        <v>1.1.1.1.1</v>
      </c>
      <c r="T48" s="641" t="s">
        <v>503</v>
      </c>
      <c r="U48" s="495"/>
      <c r="V48" s="516"/>
      <c r="W48" s="518"/>
      <c r="X48" s="519"/>
      <c r="Y48" s="224" t="s">
        <v>67</v>
      </c>
      <c r="Z48" s="519"/>
      <c r="AA48" s="224" t="s">
        <v>67</v>
      </c>
      <c r="AB48" s="698" t="s">
        <v>504</v>
      </c>
      <c r="AC48" s="699">
        <v>1.8120000000000001</v>
      </c>
      <c r="AD48" s="516"/>
      <c r="AE48" s="518">
        <v>46780.703999999998</v>
      </c>
      <c r="AF48" s="519">
        <v>46226.449560185189</v>
      </c>
      <c r="AG48" s="224" t="s">
        <v>19</v>
      </c>
      <c r="AH48" s="703" t="s">
        <v>28</v>
      </c>
      <c r="AI48" s="224" t="s">
        <v>67</v>
      </c>
      <c r="AJ48" s="580"/>
      <c r="AK48" s="520" t="s">
        <v>481</v>
      </c>
      <c r="AL48" s="57" t="e">
        <f>STRCHECKDATE(#REF!)</f>
        <v>#NAME?</v>
      </c>
      <c r="AM48" s="129"/>
      <c r="AN48" s="129" t="str">
        <f t="shared" si="32"/>
        <v xml:space="preserve">ООО Специализированный застройщик «Эдельвейс-5»</v>
      </c>
      <c r="AO48" s="129"/>
      <c r="AP48" s="129"/>
      <c r="AQ48" s="50">
        <v>21</v>
      </c>
    </row>
    <row r="49" ht="11.5" customHeight="1">
      <c r="A49" s="264" t="s">
        <v>207</v>
      </c>
      <c r="B49" s="264" t="s">
        <v>208</v>
      </c>
      <c r="C49" s="264" t="s">
        <v>209</v>
      </c>
      <c r="D49" s="264" t="s">
        <v>210</v>
      </c>
      <c r="E49" s="585"/>
      <c r="F49" s="585"/>
      <c r="G49" s="585"/>
      <c r="H49" s="585"/>
      <c r="I49" s="73"/>
      <c r="J49" s="157"/>
      <c r="K49" s="264"/>
      <c r="L49" s="333"/>
      <c r="P49" s="132"/>
      <c r="Q49" s="132"/>
      <c r="R49" s="508"/>
      <c r="S49" s="524"/>
      <c r="T49" s="528" t="s">
        <v>469</v>
      </c>
      <c r="U49" s="214"/>
      <c r="V49" s="214"/>
      <c r="W49" s="214"/>
      <c r="X49" s="214"/>
      <c r="Y49" s="214"/>
      <c r="Z49" s="214"/>
      <c r="AA49" s="526"/>
      <c r="AB49" s="214"/>
      <c r="AC49" s="214"/>
      <c r="AD49" s="214"/>
      <c r="AE49" s="214"/>
      <c r="AF49" s="214"/>
      <c r="AG49" s="214"/>
      <c r="AH49" s="214"/>
      <c r="AI49" s="214"/>
      <c r="AJ49" s="526"/>
      <c r="AK49" s="527"/>
      <c r="AM49" s="129"/>
      <c r="AN49" s="129" t="str">
        <f t="shared" si="32"/>
        <v xml:space="preserve">Добавить строку</v>
      </c>
      <c r="AO49" s="129"/>
      <c r="AP49" s="129"/>
      <c r="AQ49" s="50">
        <v>11</v>
      </c>
    </row>
    <row r="50" s="57" customFormat="1" ht="1.05" customHeight="1">
      <c r="A50" s="586" t="s">
        <v>207</v>
      </c>
      <c r="B50" s="586" t="s">
        <v>208</v>
      </c>
      <c r="C50" s="586" t="s">
        <v>209</v>
      </c>
      <c r="D50" s="586" t="s">
        <v>210</v>
      </c>
      <c r="E50" s="585"/>
      <c r="F50" s="585"/>
      <c r="G50" s="585"/>
      <c r="H50" s="585"/>
      <c r="I50" s="157"/>
      <c r="J50" s="586"/>
      <c r="K50" s="586"/>
      <c r="L50" s="587"/>
      <c r="M50" s="572"/>
      <c r="N50" s="572"/>
      <c r="O50" s="572"/>
      <c r="P50" s="132"/>
      <c r="Q50" s="132"/>
      <c r="R50" s="508"/>
      <c r="S50" s="601"/>
      <c r="T50" s="602" t="s">
        <v>417</v>
      </c>
      <c r="U50" s="603"/>
      <c r="V50" s="603"/>
      <c r="W50" s="603"/>
      <c r="X50" s="603"/>
      <c r="Y50" s="603"/>
      <c r="Z50" s="603"/>
      <c r="AA50" s="603"/>
      <c r="AB50" s="603"/>
      <c r="AC50" s="603"/>
      <c r="AD50" s="603"/>
      <c r="AE50" s="603"/>
      <c r="AF50" s="603"/>
      <c r="AG50" s="603"/>
      <c r="AH50" s="603"/>
      <c r="AI50" s="603"/>
      <c r="AJ50" s="603"/>
      <c r="AK50" s="604"/>
      <c r="AM50" s="129"/>
      <c r="AN50" s="129" t="str">
        <f t="shared" si="32"/>
        <v xml:space="preserve">Добавить группу потребителей</v>
      </c>
      <c r="AO50" s="129"/>
      <c r="AP50" s="129"/>
      <c r="AQ50" s="57">
        <v>1</v>
      </c>
    </row>
    <row r="51" s="131" customFormat="1" ht="1.05" customHeight="1">
      <c r="A51" s="586" t="s">
        <v>207</v>
      </c>
      <c r="B51" s="586" t="s">
        <v>208</v>
      </c>
      <c r="C51" s="586" t="s">
        <v>209</v>
      </c>
      <c r="D51" s="586" t="s">
        <v>210</v>
      </c>
      <c r="E51" s="585"/>
      <c r="F51" s="585"/>
      <c r="G51" s="585"/>
      <c r="H51" s="584"/>
      <c r="I51" s="586"/>
      <c r="J51" s="586"/>
      <c r="K51" s="586"/>
      <c r="L51" s="587"/>
      <c r="M51" s="588"/>
      <c r="N51" s="588"/>
      <c r="O51" s="131"/>
      <c r="P51" s="167"/>
      <c r="Q51" s="533"/>
      <c r="R51" s="684"/>
      <c r="S51" s="601"/>
      <c r="T51" s="602"/>
      <c r="U51" s="603"/>
      <c r="V51" s="603"/>
      <c r="W51" s="603"/>
      <c r="X51" s="603"/>
      <c r="Y51" s="603"/>
      <c r="Z51" s="603"/>
      <c r="AA51" s="603"/>
      <c r="AB51" s="603"/>
      <c r="AC51" s="603"/>
      <c r="AD51" s="603"/>
      <c r="AE51" s="603"/>
      <c r="AF51" s="603"/>
      <c r="AG51" s="603"/>
      <c r="AH51" s="603"/>
      <c r="AI51" s="603"/>
      <c r="AJ51" s="603"/>
      <c r="AK51" s="604"/>
      <c r="AL51" s="57"/>
      <c r="AM51" s="129"/>
      <c r="AN51" s="129" t="str">
        <f t="shared" si="32"/>
        <v/>
      </c>
      <c r="AO51" s="129"/>
      <c r="AP51" s="129"/>
      <c r="AQ51" s="131">
        <v>1</v>
      </c>
    </row>
    <row r="52" s="57" customFormat="1" ht="1.05" customHeight="1">
      <c r="A52" s="586" t="s">
        <v>207</v>
      </c>
      <c r="B52" s="586" t="s">
        <v>208</v>
      </c>
      <c r="C52" s="586" t="s">
        <v>209</v>
      </c>
      <c r="D52" s="586"/>
      <c r="E52" s="585"/>
      <c r="F52" s="585"/>
      <c r="G52" s="584"/>
      <c r="H52" s="586"/>
      <c r="I52" s="586"/>
      <c r="J52" s="586"/>
      <c r="K52" s="586"/>
      <c r="L52" s="587"/>
      <c r="M52" s="588"/>
      <c r="N52" s="588"/>
      <c r="O52" s="131"/>
      <c r="P52" s="167"/>
      <c r="Q52" s="533"/>
      <c r="R52" s="167"/>
      <c r="S52" s="538"/>
      <c r="T52" s="541" t="s">
        <v>211</v>
      </c>
      <c r="U52" s="540"/>
      <c r="V52" s="540"/>
      <c r="W52" s="540"/>
      <c r="X52" s="540"/>
      <c r="Y52" s="540"/>
      <c r="Z52" s="540"/>
      <c r="AA52" s="540"/>
      <c r="AB52" s="540"/>
      <c r="AC52" s="540"/>
      <c r="AD52" s="540"/>
      <c r="AE52" s="540"/>
      <c r="AF52" s="540"/>
      <c r="AG52" s="540"/>
      <c r="AH52" s="540"/>
      <c r="AI52" s="540"/>
      <c r="AJ52" s="540"/>
      <c r="AK52" s="540"/>
      <c r="AM52" s="129"/>
      <c r="AN52" s="129" t="str">
        <f t="shared" si="32"/>
        <v xml:space="preserve">Добавить источник для дифференциации</v>
      </c>
      <c r="AO52" s="129"/>
      <c r="AP52" s="129"/>
      <c r="AQ52" s="57">
        <v>1</v>
      </c>
    </row>
    <row r="53" s="57" customFormat="1" ht="1.05" customHeight="1">
      <c r="A53" s="586" t="s">
        <v>207</v>
      </c>
      <c r="B53" s="586" t="s">
        <v>208</v>
      </c>
      <c r="C53" s="586"/>
      <c r="D53" s="586"/>
      <c r="E53" s="585"/>
      <c r="F53" s="584"/>
      <c r="G53" s="586"/>
      <c r="H53" s="586"/>
      <c r="I53" s="586"/>
      <c r="J53" s="586"/>
      <c r="K53" s="586"/>
      <c r="L53" s="587"/>
      <c r="M53" s="589"/>
      <c r="N53" s="589"/>
      <c r="O53" s="131"/>
      <c r="P53" s="167"/>
      <c r="Q53" s="533"/>
      <c r="R53" s="167"/>
      <c r="S53" s="538"/>
      <c r="T53" s="541" t="s">
        <v>212</v>
      </c>
      <c r="U53" s="540"/>
      <c r="V53" s="540"/>
      <c r="W53" s="540"/>
      <c r="X53" s="540"/>
      <c r="Y53" s="540"/>
      <c r="Z53" s="540"/>
      <c r="AA53" s="540"/>
      <c r="AB53" s="540"/>
      <c r="AC53" s="540"/>
      <c r="AD53" s="540"/>
      <c r="AE53" s="540"/>
      <c r="AF53" s="540"/>
      <c r="AG53" s="540"/>
      <c r="AH53" s="540"/>
      <c r="AI53" s="540"/>
      <c r="AJ53" s="540"/>
      <c r="AK53" s="540"/>
      <c r="AM53" s="129"/>
      <c r="AN53" s="129" t="str">
        <f t="shared" si="32"/>
        <v xml:space="preserve">Добавить централизованную систему для дифференциации</v>
      </c>
      <c r="AO53" s="129"/>
      <c r="AP53" s="129"/>
      <c r="AQ53" s="57">
        <v>1</v>
      </c>
    </row>
    <row r="54" s="57" customFormat="1" ht="1.05" customHeight="1">
      <c r="A54" s="586" t="s">
        <v>207</v>
      </c>
      <c r="B54" s="586"/>
      <c r="C54" s="586"/>
      <c r="D54" s="586"/>
      <c r="E54" s="585"/>
      <c r="F54" s="586"/>
      <c r="G54" s="586"/>
      <c r="H54" s="586"/>
      <c r="I54" s="586"/>
      <c r="J54" s="586"/>
      <c r="K54" s="586"/>
      <c r="L54" s="587"/>
      <c r="M54" s="589"/>
      <c r="N54" s="589"/>
      <c r="O54" s="131"/>
      <c r="P54" s="167"/>
      <c r="Q54" s="533"/>
      <c r="R54" s="167"/>
      <c r="S54" s="538"/>
      <c r="T54" s="541" t="s">
        <v>213</v>
      </c>
      <c r="U54" s="540"/>
      <c r="V54" s="540"/>
      <c r="W54" s="540"/>
      <c r="X54" s="540"/>
      <c r="Y54" s="540"/>
      <c r="Z54" s="540"/>
      <c r="AA54" s="540"/>
      <c r="AB54" s="540"/>
      <c r="AC54" s="540"/>
      <c r="AD54" s="540"/>
      <c r="AE54" s="540"/>
      <c r="AF54" s="540"/>
      <c r="AG54" s="540"/>
      <c r="AH54" s="540"/>
      <c r="AI54" s="540"/>
      <c r="AJ54" s="540"/>
      <c r="AK54" s="540"/>
      <c r="AM54" s="129"/>
      <c r="AN54" s="129" t="str">
        <f t="shared" si="32"/>
        <v xml:space="preserve">Добавить территорию для дифференциации</v>
      </c>
      <c r="AO54" s="129"/>
      <c r="AP54" s="129"/>
      <c r="AQ54" s="57">
        <v>1</v>
      </c>
    </row>
    <row r="55" s="57" customFormat="1" ht="1.05" customHeight="1">
      <c r="A55" s="586" t="s">
        <v>207</v>
      </c>
      <c r="B55" s="586"/>
      <c r="C55" s="586"/>
      <c r="D55" s="586"/>
      <c r="E55" s="584"/>
      <c r="F55" s="586"/>
      <c r="G55" s="586"/>
      <c r="H55" s="586"/>
      <c r="I55" s="586"/>
      <c r="J55" s="586"/>
      <c r="K55" s="586"/>
      <c r="L55" s="587"/>
      <c r="M55" s="589"/>
      <c r="N55" s="589"/>
      <c r="O55" s="131"/>
      <c r="P55" s="167"/>
      <c r="Q55" s="533"/>
      <c r="R55" s="167"/>
      <c r="S55" s="538"/>
      <c r="T55" s="541" t="s">
        <v>213</v>
      </c>
      <c r="U55" s="540"/>
      <c r="V55" s="540"/>
      <c r="W55" s="540"/>
      <c r="X55" s="540"/>
      <c r="Y55" s="540"/>
      <c r="Z55" s="540"/>
      <c r="AA55" s="540"/>
      <c r="AB55" s="540"/>
      <c r="AC55" s="540"/>
      <c r="AD55" s="540"/>
      <c r="AE55" s="540"/>
      <c r="AF55" s="540"/>
      <c r="AG55" s="540"/>
      <c r="AH55" s="540"/>
      <c r="AI55" s="540"/>
      <c r="AJ55" s="540"/>
      <c r="AK55" s="540"/>
      <c r="AM55" s="129"/>
      <c r="AN55" s="129" t="str">
        <f t="shared" si="32"/>
        <v xml:space="preserve">Добавить территорию для дифференциации</v>
      </c>
      <c r="AO55" s="129"/>
      <c r="AP55" s="129"/>
      <c r="AQ55" s="57">
        <v>1</v>
      </c>
    </row>
    <row r="56" s="57" customFormat="1" ht="1.05" customHeight="1">
      <c r="A56" s="586"/>
      <c r="B56" s="586"/>
      <c r="C56" s="586"/>
      <c r="D56" s="586"/>
      <c r="E56" s="586"/>
      <c r="F56" s="586"/>
      <c r="G56" s="586"/>
      <c r="H56" s="586"/>
      <c r="I56" s="586"/>
      <c r="J56" s="586"/>
      <c r="K56" s="586"/>
      <c r="L56" s="587"/>
      <c r="M56" s="589"/>
      <c r="N56" s="589"/>
      <c r="O56" s="131"/>
      <c r="P56" s="167"/>
      <c r="Q56" s="533"/>
      <c r="R56" s="167"/>
      <c r="S56" s="538"/>
      <c r="T56" s="541" t="s">
        <v>214</v>
      </c>
      <c r="U56" s="540"/>
      <c r="V56" s="540"/>
      <c r="W56" s="540"/>
      <c r="X56" s="540"/>
      <c r="Y56" s="540"/>
      <c r="Z56" s="540"/>
      <c r="AA56" s="540"/>
      <c r="AB56" s="540"/>
      <c r="AC56" s="540"/>
      <c r="AD56" s="540"/>
      <c r="AE56" s="540"/>
      <c r="AF56" s="540"/>
      <c r="AG56" s="540"/>
      <c r="AH56" s="540"/>
      <c r="AI56" s="540"/>
      <c r="AJ56" s="540"/>
      <c r="AK56" s="540"/>
      <c r="AM56" s="129"/>
      <c r="AN56" s="129" t="str">
        <f t="shared" si="32"/>
        <v xml:space="preserve">Добавить наименование тарифа</v>
      </c>
      <c r="AO56" s="129"/>
      <c r="AP56" s="129"/>
      <c r="AQ56" s="57">
        <v>1</v>
      </c>
    </row>
    <row r="57" ht="11.5" customHeight="1">
      <c r="M57" s="50"/>
      <c r="N57" s="50"/>
      <c r="O57" s="50"/>
      <c r="P57" s="53"/>
      <c r="Q57" s="53"/>
      <c r="R57" s="50"/>
      <c r="S57" s="50"/>
      <c r="AL57" s="50"/>
      <c r="AM57" s="50"/>
      <c r="AN57" s="50"/>
      <c r="AO57" s="50"/>
      <c r="AP57" s="50"/>
      <c r="AQ57" s="50">
        <v>11</v>
      </c>
    </row>
    <row r="58" ht="19.949999999999999" customHeight="1">
      <c r="O58" s="50"/>
      <c r="S58" s="485"/>
      <c r="T58" s="583"/>
      <c r="U58" s="583"/>
      <c r="V58" s="583"/>
      <c r="W58" s="583"/>
      <c r="X58" s="583"/>
      <c r="Y58" s="583"/>
      <c r="Z58" s="583"/>
      <c r="AA58" s="583"/>
      <c r="AB58" s="583"/>
      <c r="AC58" s="583"/>
      <c r="AD58" s="583"/>
      <c r="AE58" s="583"/>
      <c r="AF58" s="583"/>
      <c r="AG58" s="583"/>
      <c r="AH58" s="583"/>
      <c r="AI58" s="583"/>
      <c r="AJ58" s="583"/>
      <c r="AK58" s="583"/>
      <c r="AQ58" s="50">
        <v>19</v>
      </c>
    </row>
    <row r="59" ht="21" customHeight="1">
      <c r="O59" s="50"/>
      <c r="T59" s="583"/>
      <c r="U59" s="583"/>
      <c r="V59" s="583"/>
      <c r="W59" s="583"/>
      <c r="X59" s="583"/>
      <c r="Y59" s="583"/>
      <c r="Z59" s="583"/>
      <c r="AA59" s="583"/>
      <c r="AB59" s="583"/>
      <c r="AC59" s="583"/>
      <c r="AD59" s="583"/>
      <c r="AE59" s="583"/>
      <c r="AF59" s="583"/>
      <c r="AG59" s="583"/>
      <c r="AH59" s="583"/>
      <c r="AI59" s="583"/>
      <c r="AJ59" s="583"/>
      <c r="AK59" s="583"/>
      <c r="AQ59" s="50">
        <v>20</v>
      </c>
    </row>
    <row r="60" ht="14.65" customHeight="1">
      <c r="O60" s="50"/>
      <c r="T60" s="583"/>
      <c r="U60" s="583"/>
      <c r="V60" s="583"/>
      <c r="W60" s="583"/>
      <c r="X60" s="583"/>
      <c r="Y60" s="583"/>
      <c r="Z60" s="583"/>
      <c r="AA60" s="583"/>
      <c r="AB60" s="583"/>
      <c r="AC60" s="583"/>
      <c r="AD60" s="583"/>
      <c r="AE60" s="583"/>
      <c r="AF60" s="583"/>
      <c r="AG60" s="583"/>
      <c r="AH60" s="583"/>
      <c r="AI60" s="583"/>
      <c r="AJ60" s="583"/>
      <c r="AK60" s="583"/>
      <c r="AQ60" s="50">
        <v>14</v>
      </c>
    </row>
    <row r="61" ht="19.949999999999999" customHeight="1">
      <c r="O61" s="50"/>
      <c r="T61" s="583"/>
      <c r="U61" s="583"/>
      <c r="V61" s="583"/>
      <c r="W61" s="583"/>
      <c r="X61" s="583"/>
      <c r="Y61" s="583"/>
      <c r="Z61" s="583"/>
      <c r="AA61" s="583"/>
      <c r="AB61" s="583"/>
      <c r="AC61" s="583"/>
      <c r="AD61" s="583"/>
      <c r="AE61" s="583"/>
      <c r="AF61" s="583"/>
      <c r="AG61" s="583"/>
      <c r="AH61" s="583"/>
      <c r="AI61" s="583"/>
      <c r="AJ61" s="583"/>
      <c r="AK61" s="583"/>
      <c r="AQ61" s="50">
        <v>19</v>
      </c>
    </row>
    <row r="62" ht="16.800000000000001" customHeight="1">
      <c r="O62" s="50"/>
      <c r="T62" s="583"/>
      <c r="U62" s="583"/>
      <c r="V62" s="583"/>
      <c r="W62" s="583"/>
      <c r="X62" s="583"/>
      <c r="Y62" s="583"/>
      <c r="Z62" s="583"/>
      <c r="AA62" s="583"/>
      <c r="AB62" s="583"/>
      <c r="AC62" s="583"/>
      <c r="AD62" s="583"/>
      <c r="AE62" s="583"/>
      <c r="AF62" s="583"/>
      <c r="AG62" s="583"/>
      <c r="AH62" s="583"/>
      <c r="AI62" s="583"/>
      <c r="AJ62" s="583"/>
      <c r="AK62" s="583"/>
      <c r="AQ62" s="50">
        <v>16</v>
      </c>
    </row>
    <row r="63" ht="14.65" customHeight="1">
      <c r="O63" s="50"/>
      <c r="AQ63" s="50">
        <v>14</v>
      </c>
    </row>
    <row r="64" ht="22.5" hidden="1" customHeight="1">
      <c r="A64" s="50" t="s">
        <v>83</v>
      </c>
      <c r="B64" s="50">
        <v>0</v>
      </c>
      <c r="C64" s="50">
        <v>0</v>
      </c>
      <c r="D64" s="50">
        <v>0</v>
      </c>
      <c r="E64" s="50">
        <v>0</v>
      </c>
      <c r="F64" s="50">
        <v>0</v>
      </c>
      <c r="G64" s="50">
        <v>0</v>
      </c>
      <c r="H64" s="50">
        <v>0</v>
      </c>
      <c r="I64" s="50">
        <v>0</v>
      </c>
      <c r="J64" s="50">
        <v>0</v>
      </c>
      <c r="K64" s="50">
        <v>0</v>
      </c>
      <c r="L64" s="51">
        <v>0</v>
      </c>
      <c r="M64" s="60">
        <v>0</v>
      </c>
      <c r="N64" s="60">
        <v>0</v>
      </c>
      <c r="O64" s="60">
        <v>0</v>
      </c>
      <c r="P64" s="61">
        <v>3</v>
      </c>
      <c r="Q64" s="547">
        <v>3</v>
      </c>
      <c r="R64" s="487">
        <v>3</v>
      </c>
      <c r="S64" s="86">
        <v>12</v>
      </c>
      <c r="T64" s="50">
        <v>31</v>
      </c>
      <c r="U64" s="50">
        <v>0</v>
      </c>
      <c r="V64" s="50">
        <v>0</v>
      </c>
      <c r="W64" s="50">
        <v>0</v>
      </c>
      <c r="X64" s="50">
        <v>0</v>
      </c>
      <c r="Y64" s="50">
        <v>0</v>
      </c>
      <c r="Z64" s="50">
        <v>0</v>
      </c>
      <c r="AA64" s="50">
        <v>0</v>
      </c>
      <c r="AB64" s="50">
        <v>27</v>
      </c>
      <c r="AC64" s="50">
        <v>24</v>
      </c>
      <c r="AD64" s="50">
        <v>21</v>
      </c>
      <c r="AE64" s="50">
        <v>21</v>
      </c>
      <c r="AF64" s="50">
        <v>11</v>
      </c>
      <c r="AG64" s="50">
        <v>3</v>
      </c>
      <c r="AH64" s="50">
        <v>11</v>
      </c>
      <c r="AI64" s="50">
        <v>8</v>
      </c>
      <c r="AJ64" s="50">
        <v>4</v>
      </c>
      <c r="AK64" s="50">
        <v>115</v>
      </c>
      <c r="AL64" s="57">
        <v>10</v>
      </c>
      <c r="AM64" s="57">
        <v>10</v>
      </c>
      <c r="AN64" s="57">
        <v>10</v>
      </c>
      <c r="AO64" s="57">
        <v>10</v>
      </c>
      <c r="AP64" s="57">
        <v>10</v>
      </c>
      <c r="AQ64" s="50">
        <v>23</v>
      </c>
    </row>
  </sheetData>
  <sheetProtection autoFilter="0" deleteColumns="1" deleteRows="1" formatCells="1" formatColumns="1" formatRows="1" insertColumns="1" insertHyperlinks="1" insertRows="1" objects="0" pivotTables="1" scenarios="0" selectLockedCells="0" selectUnlockedCells="0" sheet="1" sort="1"/>
  <mergeCells count="8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5:AH25"/>
    <mergeCell ref="S27:T27"/>
    <mergeCell ref="V27:Z27"/>
    <mergeCell ref="AC27:AH27"/>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V38:W38"/>
    <mergeCell ref="X38:Z39"/>
    <mergeCell ref="AD38:AE38"/>
    <mergeCell ref="AF38:AH39"/>
    <mergeCell ref="V39:W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V47:AA47"/>
    <mergeCell ref="AC47:AJ47"/>
    <mergeCell ref="AK48:AK49"/>
    <mergeCell ref="T58:AK58"/>
    <mergeCell ref="T59:AK59"/>
    <mergeCell ref="T61:AK61"/>
    <mergeCell ref="T62:AK62"/>
  </mergeCells>
  <dataValidations count="5" disablePrompts="0">
    <dataValidation sqref="V39:W39" type="none" allowBlank="1" error="Выберите значение из списка" errorStyle="stop" errorTitle="Ошибка" imeMode="noControl" operator="between" showDropDown="0" showErrorMessage="0" showInputMessage="0"/>
    <dataValidation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W65585 W131121 W196657 W262193 W327729 W393265 W458801 W524337 W589873 W655409 W720945 W786481 W852017 W917553 W983089 AE65585 AE131121 AE196657 AE262193 AE327729 AE393265 AE458801 AE524337 AE589873 AE655409 AE720945 AE786481 AE852017 AE917553 AE983089" type="none" allowBlank="1" errorStyle="stop" imeMode="noControl" operator="between" promptTitle="checkPeriodRange" showDropDown="0" showErrorMessage="0" showInputMessage="0"/>
    <dataValidation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S131122:AK131128 S196658:AK196664 S262194:AK262200 S327730:AK327736 S393266:AK393272 S458802:AK458808 S524338:AK524344 S589874:AK589880 S655410:AK655416 S720946:AK720952 S786482:AK786488 S852018:AK852024 S917554:AK917560 S983090:AK983096 S65586:AK65592" type="none" allowBlank="1" errorStyle="stop" imeMode="noControl" operator="between"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6" disablePrompts="0">
        <x14:dataValidation xr:uid="{006F003E-0006-4978-959F-005300390013}" type="list" allowBlank="1" error="Выберите значение из списка" errorStyle="stop" errorTitle="Ошибка" imeMode="noControl" operator="between" prompt="Выберите значение из списка" showDropDown="0" showErrorMessage="1" showInputMessage="1">
          <x14:formula1>
            <xm:f>UNIT_CONNECT_LIST</xm:f>
          </x14:formula1>
          <xm:sqref>AD39:AE39</xm:sqref>
        </x14:dataValidation>
        <x14:dataValidation xr:uid="{00FE0055-00A7-435D-9398-001C0091004C}" type="list" allowBlank="1" error="Выберите значение из списка" errorStyle="stop" errorTitle="Ошибка" imeMode="noControl" operator="between" showDropDown="0" showErrorMessage="1" showInputMessage="1">
          <x14:formula1>
            <xm:f>kind_of_heat_transfer</xm:f>
          </x14:formula1>
          <xm:sqref>T65584 T131120 T196656 T262192 T327728 T393264 T458800 T524336 T589872 T655408 T720944 T786480 T852016 T917552 T983088</xm:sqref>
        </x14:dataValidation>
        <x14:dataValidation xr:uid="{009300EE-0069-4BBE-9013-009F00F1008B}" type="textLength" allowBlank="1" error="Допускается ввод не более 900 символов!" errorStyle="stop" errorTitle="Ошибка" imeMode="noControl" operator="lessThanOrEqual" showDropDown="0" showErrorMessage="1" showInputMessage="1">
          <x14:formula1>
            <xm:f>900</xm:f>
          </x14:formula1>
          <xm:sqref>AK65578:AK65585 AK131114:AK131121 AK196650:AK196657 AK262186:AK262193 AK327722:AK327729 AK393258:AK393265 AK458794:AK458801 AK524330:AK524337 AK589866:AK589873 AK655402:AK655409 AK720938:AK720945 AK786474:AK786481 AK852010:AK852017 AK917546:AK917553 AK983082:AK983089 T8 T48 AB48 AB8</xm:sqref>
        </x14:dataValidation>
        <x14:dataValidation xr:uid="{002500C6-0093-4E12-8451-008F00390028}" type="list" allowBlank="1" error="Выберите значение из списка" errorStyle="stop" errorTitle="Ошибка" imeMode="noControl" operator="between" showDropDown="0" showErrorMessage="1" showInputMessage="1">
          <x14:formula1>
            <xm:f>kind_of_scheme_in</xm:f>
          </x14:formula1>
          <xm:sqref>AC983086 AC917550 AC852014 AC786478 AC720942 AC655406 AC589870 AC524334 AC458798 AC393262 AC327726 AC262190 AC196654 AC131118 AC65582</xm:sqref>
        </x14:dataValidation>
        <x14:dataValidation xr:uid="{006C00B4-00AB-411F-B999-006C001900CC}"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V917551:AJ917551 V983087:AJ983087 V65583:AJ65583 V131119:AJ131119 V196655:AJ196655 V262191:AJ262191 V327727:AJ327727 V393263:AJ393263 V458799:AJ458799 V524335:AJ524335 V589871:AJ589871 V655407:AJ655407 V720943:AJ720943 V786479:AJ786479 V852015:AJ852015</xm:sqref>
        </x14:dataValidation>
        <x14:dataValidation xr:uid="{00020098-009D-4B77-83E1-004800D0003C}" type="decimal" allowBlank="1" error="Допускается ввод только действительных чисел!" errorStyle="stop" errorTitle="Ошибка" imeMode="noControl" operator="between" showDropDown="0" showErrorMessage="1" showInputMessage="0">
          <x14:formula1>
            <xm:f>-9.99999999999999E+23</xm:f>
          </x14:formula1>
          <x14:formula2>
            <xm:f>9.99999999999999E+23</xm:f>
          </x14:formula2>
          <xm:sqref>AC48 AC8</xm:sqref>
        </x14:dataValidation>
      </x14:dataValidations>
    </ext>
  </extLs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zoomScale="90" workbookViewId="0">
      <pane xSplit="29" ySplit="45" topLeftCell="AD46" activePane="bottomRight" state="frozen"/>
      <selection activeCell="A1" activeCellId="0" sqref="A1"/>
    </sheetView>
  </sheetViews>
  <sheetFormatPr defaultColWidth="10.57421875" defaultRowHeight="14.25" customHeight="1"/>
  <cols>
    <col customWidth="1" hidden="1" min="1" max="1" style="53" width="11.57421875"/>
    <col customWidth="1" hidden="1" min="2" max="2" style="53" width="11.00390625"/>
    <col hidden="1" min="3" max="3" style="53" width="10.57421875"/>
    <col customWidth="1" hidden="1" min="4" max="4" style="53" width="12.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2.00390625"/>
    <col customWidth="1" hidden="1" min="10" max="10" style="53" width="9.8515625"/>
    <col customWidth="1" hidden="1" min="11" max="11" style="53" width="11.421875"/>
    <col customWidth="1" hidden="1" min="12" max="12" style="113" width="19.140625"/>
    <col customWidth="1" hidden="1" min="13" max="14" style="61" width="12.28125"/>
    <col customWidth="1" hidden="1" min="15" max="15" style="61" width="23.421875"/>
    <col customWidth="1" hidden="1" min="16" max="16" style="61" width="3.7109375"/>
    <col customWidth="1" hidden="1" min="17" max="17" style="547" width="3.7109375"/>
    <col customWidth="1" min="18" max="18" style="487" width="3.00390625"/>
    <col customWidth="1" min="19" max="19" style="86" width="12.00390625"/>
    <col customWidth="1" min="20" max="20" style="50" width="31.00390625"/>
    <col customWidth="1" min="21" max="21" style="50" width="0.140625"/>
    <col customWidth="1" hidden="1" min="22" max="25" style="50" width="21.7109375"/>
    <col customWidth="1" hidden="1" min="26" max="26" style="50" width="11.7109375"/>
    <col customWidth="1" hidden="1" min="27" max="27" style="50" width="3.7109375"/>
    <col customWidth="1" hidden="1" min="28" max="28" style="50" width="11.7109375"/>
    <col customWidth="1" hidden="1" min="29" max="29" style="50" width="8.57421875"/>
    <col customWidth="1" min="30" max="30" style="50" width="3.7109375"/>
    <col customWidth="1" min="31" max="32" style="50" width="3.00390625"/>
    <col customWidth="1" min="33" max="33" style="50" width="24.00390625"/>
    <col customWidth="1" min="34" max="34" style="50" width="3.7109375"/>
    <col customWidth="1" min="35" max="36" style="50" width="3.00390625"/>
    <col customWidth="1" min="37" max="37" style="50" width="24.00390625"/>
    <col customWidth="1" min="38" max="38" style="50" width="3.7109375"/>
    <col customWidth="1" min="39" max="40" style="50" width="3.00390625"/>
    <col customWidth="1" min="41" max="41" style="50" width="18.00390625"/>
    <col customWidth="1" min="42" max="42" style="50" width="3.7109375"/>
    <col customWidth="1" min="43" max="44" style="50" width="3.00390625"/>
    <col customWidth="1" min="45" max="45" style="50" width="18.00390625"/>
    <col customWidth="1" min="46" max="49" style="50" width="21.00390625"/>
    <col customWidth="1" min="50" max="50" style="50" width="11.00390625"/>
    <col customWidth="1" min="51" max="51" style="50" width="3.7109375"/>
    <col customWidth="1" min="52" max="52" style="50" width="11.00390625"/>
    <col customWidth="1" hidden="1" min="53" max="53" style="50" width="8.57421875"/>
    <col customWidth="1" min="54" max="54" style="50" width="4.00390625"/>
    <col customWidth="1" min="55" max="55" style="50" width="115.00390625"/>
    <col customWidth="1" min="56" max="60" style="57" width="10.00390625"/>
    <col hidden="1" min="61" max="61" style="50" width="10.57421875"/>
  </cols>
  <sheetData>
    <row r="1" ht="22.5" hidden="1" customHeight="1">
      <c r="W1" s="50"/>
      <c r="Y1" s="50"/>
      <c r="Z1" s="50"/>
      <c r="AW1" s="50"/>
      <c r="AX1" s="50"/>
      <c r="BI1" s="50" t="s">
        <v>14</v>
      </c>
    </row>
    <row r="2" ht="21" hidden="1" customHeight="1">
      <c r="A2" s="488"/>
      <c r="B2" s="488"/>
      <c r="C2" s="488"/>
      <c r="D2" s="488"/>
      <c r="E2" s="489">
        <v>1</v>
      </c>
      <c r="F2" s="488"/>
      <c r="G2" s="488"/>
      <c r="H2" s="488"/>
      <c r="I2" s="488"/>
      <c r="J2" s="488"/>
      <c r="K2" s="488"/>
      <c r="L2" s="490"/>
      <c r="M2" s="491"/>
      <c r="N2" s="491"/>
      <c r="O2" s="491"/>
      <c r="P2" s="61"/>
      <c r="Q2" s="64"/>
      <c r="R2" s="492"/>
      <c r="S2" s="493" t="e">
        <f>INDEX(PT_DIFFERENTIATION_NUM_NTAR,MATCH(A2,PT_DIFFERENTIATION_NTAR_ID,0))</f>
        <v>#VALUE!</v>
      </c>
      <c r="T2" s="494" t="s">
        <v>123</v>
      </c>
      <c r="U2" s="495"/>
      <c r="V2" s="497"/>
      <c r="W2" s="497"/>
      <c r="X2" s="497"/>
      <c r="Y2" s="497"/>
      <c r="Z2" s="497"/>
      <c r="AA2" s="497"/>
      <c r="AB2" s="497"/>
      <c r="AC2" s="498"/>
      <c r="AD2" s="496" t="e">
        <f>INDEX(PT_DIFFERENTIATION_NTAR,MATCH(A2,PT_DIFFERENTIATION_NTAR_ID,0))</f>
        <v>#VALUE!</v>
      </c>
      <c r="AE2" s="497"/>
      <c r="AF2" s="497"/>
      <c r="AG2" s="497"/>
      <c r="AH2" s="497"/>
      <c r="AI2" s="497"/>
      <c r="AJ2" s="497"/>
      <c r="AK2" s="497"/>
      <c r="AL2" s="497"/>
      <c r="AM2" s="497"/>
      <c r="AN2" s="497"/>
      <c r="AO2" s="497"/>
      <c r="AP2" s="497"/>
      <c r="AQ2" s="497"/>
      <c r="AR2" s="497"/>
      <c r="AS2" s="497"/>
      <c r="AT2" s="497"/>
      <c r="AU2" s="497"/>
      <c r="AV2" s="497"/>
      <c r="AW2" s="497"/>
      <c r="AX2" s="497"/>
      <c r="AY2" s="497"/>
      <c r="AZ2" s="497"/>
      <c r="BA2" s="497"/>
      <c r="BB2" s="498"/>
      <c r="BC2" s="4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129"/>
      <c r="BF2" s="129" t="str">
        <f t="shared" ref="BF2:BF8" si="33">IF(T2="","",T2)</f>
        <v xml:space="preserve">Наименование тарифа</v>
      </c>
      <c r="BG2" s="129"/>
      <c r="BH2" s="129"/>
      <c r="BI2" s="50">
        <v>0</v>
      </c>
    </row>
    <row r="3" ht="21" hidden="1" customHeight="1">
      <c r="A3" s="488"/>
      <c r="B3" s="488"/>
      <c r="C3" s="488"/>
      <c r="D3" s="488"/>
      <c r="E3" s="500"/>
      <c r="F3" s="489">
        <v>1</v>
      </c>
      <c r="G3" s="488"/>
      <c r="H3" s="488"/>
      <c r="I3" s="488"/>
      <c r="J3" s="488"/>
      <c r="K3" s="488"/>
      <c r="L3" s="490"/>
      <c r="M3" s="491"/>
      <c r="N3" s="491"/>
      <c r="O3" s="491"/>
      <c r="P3" s="113"/>
      <c r="Q3" s="638"/>
      <c r="R3" s="502"/>
      <c r="S3" s="493" t="e">
        <f>INDEX(PT_DIFFERENTIATION_NUM_TER,MATCH(B3,PT_DIFFERENTIATION_TER_ID,0))</f>
        <v>#VALUE!</v>
      </c>
      <c r="T3" s="503" t="s">
        <v>402</v>
      </c>
      <c r="U3" s="495"/>
      <c r="V3" s="497"/>
      <c r="W3" s="497"/>
      <c r="X3" s="497"/>
      <c r="Y3" s="497"/>
      <c r="Z3" s="497"/>
      <c r="AA3" s="497"/>
      <c r="AB3" s="497"/>
      <c r="AC3" s="498"/>
      <c r="AD3" s="496" t="e">
        <f>INDEX(PT_DIFFERENTIATION_TER,MATCH(B3,PT_DIFFERENTIATION_TER_ID,0))</f>
        <v>#VALUE!</v>
      </c>
      <c r="AE3" s="497"/>
      <c r="AF3" s="497"/>
      <c r="AG3" s="497"/>
      <c r="AH3" s="497"/>
      <c r="AI3" s="497"/>
      <c r="AJ3" s="497"/>
      <c r="AK3" s="497"/>
      <c r="AL3" s="497"/>
      <c r="AM3" s="497"/>
      <c r="AN3" s="497"/>
      <c r="AO3" s="497"/>
      <c r="AP3" s="497"/>
      <c r="AQ3" s="497"/>
      <c r="AR3" s="497"/>
      <c r="AS3" s="497"/>
      <c r="AT3" s="497"/>
      <c r="AU3" s="497"/>
      <c r="AV3" s="497"/>
      <c r="AW3" s="497"/>
      <c r="AX3" s="497"/>
      <c r="AY3" s="497"/>
      <c r="AZ3" s="497"/>
      <c r="BA3" s="497"/>
      <c r="BB3" s="498"/>
      <c r="BC3" s="499" t="s">
        <v>403</v>
      </c>
      <c r="BE3" s="129"/>
      <c r="BF3" s="129" t="str">
        <f t="shared" si="33"/>
        <v xml:space="preserve">Территория действия тарифа</v>
      </c>
      <c r="BG3" s="129"/>
      <c r="BH3" s="129"/>
      <c r="BI3" s="50">
        <v>0</v>
      </c>
    </row>
    <row r="4" ht="42" hidden="1" customHeight="1">
      <c r="A4" s="488"/>
      <c r="B4" s="488"/>
      <c r="C4" s="488"/>
      <c r="D4" s="488"/>
      <c r="E4" s="500"/>
      <c r="F4" s="500"/>
      <c r="G4" s="489">
        <v>1</v>
      </c>
      <c r="H4" s="488"/>
      <c r="I4" s="488"/>
      <c r="J4" s="488"/>
      <c r="K4" s="488"/>
      <c r="L4" s="490"/>
      <c r="M4" s="491"/>
      <c r="N4" s="491"/>
      <c r="O4" s="491"/>
      <c r="P4" s="135"/>
      <c r="Q4" s="638"/>
      <c r="R4" s="502"/>
      <c r="S4" s="493" t="e">
        <f>INDEX(PT_DIFFERENTIATION_NUM_CS,MATCH(C4,PT_DIFFERENTIATION_CS_ID,0))</f>
        <v>#VALUE!</v>
      </c>
      <c r="T4" s="505" t="s">
        <v>482</v>
      </c>
      <c r="U4" s="495"/>
      <c r="V4" s="497"/>
      <c r="W4" s="497"/>
      <c r="X4" s="497"/>
      <c r="Y4" s="497"/>
      <c r="Z4" s="497"/>
      <c r="AA4" s="497"/>
      <c r="AB4" s="497"/>
      <c r="AC4" s="498"/>
      <c r="AD4" s="496" t="e">
        <f>INDEX(PT_DIFFERENTIATION_CS,MATCH(C4,PT_DIFFERENTIATION_CS_ID,0))</f>
        <v>#VALUE!</v>
      </c>
      <c r="AE4" s="497"/>
      <c r="AF4" s="497"/>
      <c r="AG4" s="497"/>
      <c r="AH4" s="497"/>
      <c r="AI4" s="497"/>
      <c r="AJ4" s="497"/>
      <c r="AK4" s="497"/>
      <c r="AL4" s="497"/>
      <c r="AM4" s="497"/>
      <c r="AN4" s="497"/>
      <c r="AO4" s="497"/>
      <c r="AP4" s="497"/>
      <c r="AQ4" s="497"/>
      <c r="AR4" s="497"/>
      <c r="AS4" s="497"/>
      <c r="AT4" s="497"/>
      <c r="AU4" s="497"/>
      <c r="AV4" s="497"/>
      <c r="AW4" s="497"/>
      <c r="AX4" s="497"/>
      <c r="AY4" s="497"/>
      <c r="AZ4" s="497"/>
      <c r="BA4" s="497"/>
      <c r="BB4" s="498"/>
      <c r="BC4" s="499" t="s">
        <v>483</v>
      </c>
      <c r="BE4" s="129"/>
      <c r="BF4" s="129" t="str">
        <f t="shared" si="33"/>
        <v xml:space="preserve">Наименование централизованной системы холодного водоснабжения</v>
      </c>
      <c r="BG4" s="129"/>
      <c r="BH4" s="129"/>
      <c r="BI4" s="50">
        <v>0</v>
      </c>
    </row>
    <row r="5" s="57" customFormat="1" ht="14.25" hidden="1" customHeight="1">
      <c r="A5" s="133"/>
      <c r="B5" s="133"/>
      <c r="C5" s="133"/>
      <c r="D5" s="133"/>
      <c r="E5" s="500"/>
      <c r="F5" s="500"/>
      <c r="G5" s="500"/>
      <c r="H5" s="489">
        <v>1</v>
      </c>
      <c r="I5" s="133"/>
      <c r="J5" s="133"/>
      <c r="K5" s="133"/>
      <c r="L5" s="212"/>
      <c r="M5" s="473"/>
      <c r="N5" s="473"/>
      <c r="O5" s="473"/>
      <c r="P5" s="704"/>
      <c r="Q5" s="705"/>
      <c r="R5" s="513"/>
      <c r="S5" s="362"/>
      <c r="T5" s="706"/>
      <c r="U5" s="596"/>
      <c r="V5" s="598"/>
      <c r="W5" s="598"/>
      <c r="X5" s="598"/>
      <c r="Y5" s="598"/>
      <c r="Z5" s="598"/>
      <c r="AA5" s="598"/>
      <c r="AB5" s="598"/>
      <c r="AC5" s="599"/>
      <c r="AD5" s="597"/>
      <c r="AE5" s="598"/>
      <c r="AF5" s="598"/>
      <c r="AG5" s="598"/>
      <c r="AH5" s="598"/>
      <c r="AI5" s="598"/>
      <c r="AJ5" s="598"/>
      <c r="AK5" s="598"/>
      <c r="AL5" s="598"/>
      <c r="AM5" s="598"/>
      <c r="AN5" s="598"/>
      <c r="AO5" s="598"/>
      <c r="AP5" s="598"/>
      <c r="AQ5" s="598"/>
      <c r="AR5" s="598"/>
      <c r="AS5" s="598"/>
      <c r="AT5" s="598"/>
      <c r="AU5" s="598"/>
      <c r="AV5" s="598"/>
      <c r="AW5" s="598"/>
      <c r="AX5" s="598"/>
      <c r="AY5" s="598"/>
      <c r="AZ5" s="598"/>
      <c r="BA5" s="598"/>
      <c r="BB5" s="599"/>
      <c r="BC5" s="600" t="s">
        <v>407</v>
      </c>
      <c r="BE5" s="129"/>
      <c r="BF5" s="129" t="str">
        <f t="shared" si="33"/>
        <v/>
      </c>
      <c r="BG5" s="129"/>
      <c r="BH5" s="129"/>
      <c r="BI5" s="57">
        <v>0</v>
      </c>
    </row>
    <row r="6" s="57" customFormat="1" ht="14.25" hidden="1" customHeight="1">
      <c r="A6" s="133"/>
      <c r="B6" s="133"/>
      <c r="C6" s="133"/>
      <c r="D6" s="133"/>
      <c r="E6" s="500"/>
      <c r="F6" s="500"/>
      <c r="G6" s="500"/>
      <c r="H6" s="500"/>
      <c r="I6" s="507" t="str">
        <f>S5&amp;".1"</f>
        <v>.1</v>
      </c>
      <c r="J6" s="133"/>
      <c r="K6" s="133"/>
      <c r="L6" s="212" t="s">
        <v>408</v>
      </c>
      <c r="M6" s="605"/>
      <c r="N6" s="605"/>
      <c r="O6" s="605"/>
      <c r="P6" s="132">
        <v>1</v>
      </c>
      <c r="Q6" s="132"/>
      <c r="R6" s="508"/>
      <c r="S6" s="362"/>
      <c r="T6" s="595"/>
      <c r="U6" s="596"/>
      <c r="V6" s="598"/>
      <c r="W6" s="598"/>
      <c r="X6" s="598"/>
      <c r="Y6" s="598"/>
      <c r="Z6" s="598"/>
      <c r="AA6" s="598"/>
      <c r="AB6" s="598"/>
      <c r="AC6" s="599"/>
      <c r="AD6" s="597"/>
      <c r="AE6" s="598"/>
      <c r="AF6" s="598"/>
      <c r="AG6" s="598"/>
      <c r="AH6" s="598"/>
      <c r="AI6" s="598"/>
      <c r="AJ6" s="598"/>
      <c r="AK6" s="598"/>
      <c r="AL6" s="598"/>
      <c r="AM6" s="598"/>
      <c r="AN6" s="598"/>
      <c r="AO6" s="598"/>
      <c r="AP6" s="598"/>
      <c r="AQ6" s="598"/>
      <c r="AR6" s="598"/>
      <c r="AS6" s="598"/>
      <c r="AT6" s="598"/>
      <c r="AU6" s="598"/>
      <c r="AV6" s="598"/>
      <c r="AW6" s="598"/>
      <c r="AX6" s="598"/>
      <c r="AY6" s="598"/>
      <c r="AZ6" s="598"/>
      <c r="BA6" s="598"/>
      <c r="BB6" s="599"/>
      <c r="BC6" s="600"/>
      <c r="BE6" s="129"/>
      <c r="BF6" s="129" t="str">
        <f t="shared" si="33"/>
        <v/>
      </c>
      <c r="BG6" s="129"/>
      <c r="BH6" s="129"/>
      <c r="BI6" s="57">
        <v>0</v>
      </c>
    </row>
    <row r="7" s="57" customFormat="1" ht="14.25" hidden="1" customHeight="1">
      <c r="A7" s="133"/>
      <c r="B7" s="133"/>
      <c r="C7" s="133"/>
      <c r="D7" s="133"/>
      <c r="E7" s="500"/>
      <c r="F7" s="500"/>
      <c r="G7" s="500"/>
      <c r="H7" s="500"/>
      <c r="I7" s="512"/>
      <c r="J7" s="507" t="str">
        <f>S5&amp;".1"</f>
        <v>.1</v>
      </c>
      <c r="K7" s="133"/>
      <c r="L7" s="212"/>
      <c r="M7" s="605"/>
      <c r="N7" s="605"/>
      <c r="O7" s="605"/>
      <c r="P7" s="132"/>
      <c r="Q7" s="132">
        <v>1</v>
      </c>
      <c r="R7" s="513"/>
      <c r="S7" s="362"/>
      <c r="T7" s="639"/>
      <c r="U7" s="596"/>
      <c r="V7" s="598"/>
      <c r="W7" s="598"/>
      <c r="X7" s="598"/>
      <c r="Y7" s="598"/>
      <c r="Z7" s="598"/>
      <c r="AA7" s="598"/>
      <c r="AB7" s="598"/>
      <c r="AC7" s="599"/>
      <c r="AD7" s="597"/>
      <c r="AE7" s="598"/>
      <c r="AF7" s="598"/>
      <c r="AG7" s="598"/>
      <c r="AH7" s="598"/>
      <c r="AI7" s="598"/>
      <c r="AJ7" s="598"/>
      <c r="AK7" s="598"/>
      <c r="AL7" s="598"/>
      <c r="AM7" s="598"/>
      <c r="AN7" s="598"/>
      <c r="AO7" s="598"/>
      <c r="AP7" s="598"/>
      <c r="AQ7" s="598"/>
      <c r="AR7" s="598"/>
      <c r="AS7" s="598"/>
      <c r="AT7" s="598"/>
      <c r="AU7" s="598"/>
      <c r="AV7" s="598"/>
      <c r="AW7" s="598"/>
      <c r="AX7" s="598"/>
      <c r="AY7" s="598"/>
      <c r="AZ7" s="598"/>
      <c r="BA7" s="598"/>
      <c r="BB7" s="599"/>
      <c r="BC7" s="600"/>
      <c r="BE7" s="129"/>
      <c r="BF7" s="129" t="str">
        <f t="shared" si="33"/>
        <v/>
      </c>
      <c r="BG7" s="129"/>
      <c r="BH7" s="129"/>
      <c r="BI7" s="57">
        <v>0</v>
      </c>
    </row>
    <row r="8" ht="11.25" hidden="1" customHeight="1">
      <c r="A8" s="488"/>
      <c r="B8" s="488"/>
      <c r="C8" s="488"/>
      <c r="D8" s="488"/>
      <c r="E8" s="500"/>
      <c r="F8" s="500"/>
      <c r="G8" s="500"/>
      <c r="H8" s="500"/>
      <c r="I8" s="512"/>
      <c r="J8" s="512"/>
      <c r="K8" s="507" t="e">
        <f>S4&amp;".1"</f>
        <v>#VALUE!</v>
      </c>
      <c r="L8" s="490"/>
      <c r="P8" s="132"/>
      <c r="Q8" s="132"/>
      <c r="R8" s="640">
        <v>1</v>
      </c>
      <c r="S8" s="607" t="e">
        <f>$K8</f>
        <v>#VALUE!</v>
      </c>
      <c r="T8" s="698"/>
      <c r="U8" s="495"/>
      <c r="V8" s="516"/>
      <c r="W8" s="518"/>
      <c r="X8" s="516"/>
      <c r="Y8" s="518"/>
      <c r="Z8" s="519"/>
      <c r="AA8" s="224" t="s">
        <v>67</v>
      </c>
      <c r="AB8" s="519"/>
      <c r="AC8" s="224" t="s">
        <v>67</v>
      </c>
      <c r="AD8" s="292" t="s">
        <v>67</v>
      </c>
      <c r="AE8" s="642"/>
      <c r="AF8" s="356">
        <v>1</v>
      </c>
      <c r="AG8" s="699"/>
      <c r="AH8" s="224" t="s">
        <v>67</v>
      </c>
      <c r="AI8" s="642"/>
      <c r="AJ8" s="356">
        <v>1</v>
      </c>
      <c r="AK8" s="87" t="s">
        <v>28</v>
      </c>
      <c r="AL8" s="224" t="s">
        <v>67</v>
      </c>
      <c r="AM8" s="317"/>
      <c r="AN8" s="356">
        <v>1</v>
      </c>
      <c r="AO8" s="707"/>
      <c r="AP8" s="708" t="s">
        <v>67</v>
      </c>
      <c r="AQ8" s="643"/>
      <c r="AR8" s="356">
        <v>1</v>
      </c>
      <c r="AS8" s="95" t="s">
        <v>28</v>
      </c>
      <c r="AT8" s="516"/>
      <c r="AU8" s="518"/>
      <c r="AV8" s="516"/>
      <c r="AW8" s="518"/>
      <c r="AX8" s="519"/>
      <c r="AY8" s="224" t="s">
        <v>67</v>
      </c>
      <c r="AZ8" s="519"/>
      <c r="BA8" s="224" t="s">
        <v>67</v>
      </c>
      <c r="BB8" s="580"/>
      <c r="BC8" s="520" t="s">
        <v>505</v>
      </c>
      <c r="BE8" s="129"/>
      <c r="BF8" s="129" t="str">
        <f t="shared" si="33"/>
        <v/>
      </c>
      <c r="BG8" s="129"/>
      <c r="BH8" s="129"/>
      <c r="BI8" s="50">
        <v>0</v>
      </c>
    </row>
    <row r="9" ht="11.25" hidden="1" customHeight="1">
      <c r="A9" s="488"/>
      <c r="B9" s="488"/>
      <c r="C9" s="488"/>
      <c r="D9" s="488"/>
      <c r="E9" s="500"/>
      <c r="F9" s="500"/>
      <c r="G9" s="500"/>
      <c r="H9" s="500"/>
      <c r="I9" s="512"/>
      <c r="J9" s="512"/>
      <c r="K9" s="507"/>
      <c r="L9" s="490"/>
      <c r="P9" s="132"/>
      <c r="Q9" s="132"/>
      <c r="R9" s="640"/>
      <c r="S9" s="644"/>
      <c r="T9" s="709"/>
      <c r="U9" s="495"/>
      <c r="V9" s="631"/>
      <c r="W9" s="648"/>
      <c r="X9" s="631"/>
      <c r="Y9" s="648"/>
      <c r="Z9" s="631"/>
      <c r="AA9" s="631"/>
      <c r="AB9" s="631"/>
      <c r="AC9" s="631"/>
      <c r="AD9" s="296"/>
      <c r="AE9" s="642"/>
      <c r="AF9" s="356"/>
      <c r="AG9" s="699"/>
      <c r="AH9" s="224"/>
      <c r="AI9" s="642"/>
      <c r="AJ9" s="356"/>
      <c r="AK9" s="87"/>
      <c r="AL9" s="224"/>
      <c r="AM9" s="323"/>
      <c r="AN9" s="356"/>
      <c r="AO9" s="707"/>
      <c r="AP9" s="710"/>
      <c r="AQ9" s="647"/>
      <c r="AR9" s="177"/>
      <c r="AS9" s="177" t="s">
        <v>506</v>
      </c>
      <c r="AT9" s="631"/>
      <c r="AU9" s="648"/>
      <c r="AV9" s="631"/>
      <c r="AW9" s="648"/>
      <c r="AX9" s="631"/>
      <c r="AY9" s="631"/>
      <c r="AZ9" s="631"/>
      <c r="BA9" s="631"/>
      <c r="BB9" s="646"/>
      <c r="BC9" s="523"/>
      <c r="BE9" s="129"/>
      <c r="BF9" s="129"/>
      <c r="BG9" s="129"/>
      <c r="BH9" s="129"/>
      <c r="BI9" s="50">
        <v>0</v>
      </c>
    </row>
    <row r="10" ht="11.25" hidden="1" customHeight="1">
      <c r="A10" s="488"/>
      <c r="B10" s="488"/>
      <c r="C10" s="488"/>
      <c r="D10" s="488"/>
      <c r="E10" s="500"/>
      <c r="F10" s="500"/>
      <c r="G10" s="500"/>
      <c r="H10" s="500"/>
      <c r="I10" s="512"/>
      <c r="J10" s="512"/>
      <c r="K10" s="507"/>
      <c r="L10" s="490"/>
      <c r="P10" s="132"/>
      <c r="Q10" s="132"/>
      <c r="R10" s="640"/>
      <c r="S10" s="644"/>
      <c r="T10" s="709"/>
      <c r="U10" s="495"/>
      <c r="V10" s="631"/>
      <c r="W10" s="648"/>
      <c r="X10" s="631"/>
      <c r="Y10" s="648"/>
      <c r="Z10" s="631"/>
      <c r="AA10" s="631"/>
      <c r="AB10" s="631"/>
      <c r="AC10" s="631"/>
      <c r="AD10" s="296"/>
      <c r="AE10" s="642"/>
      <c r="AF10" s="356"/>
      <c r="AG10" s="699"/>
      <c r="AH10" s="224"/>
      <c r="AI10" s="642"/>
      <c r="AJ10" s="356"/>
      <c r="AK10" s="87"/>
      <c r="AL10" s="224"/>
      <c r="AM10" s="647"/>
      <c r="AN10" s="711"/>
      <c r="AO10" s="711" t="s">
        <v>507</v>
      </c>
      <c r="AP10" s="177"/>
      <c r="AQ10" s="177"/>
      <c r="AR10" s="177"/>
      <c r="AS10" s="631"/>
      <c r="AT10" s="631"/>
      <c r="AU10" s="648"/>
      <c r="AV10" s="631"/>
      <c r="AW10" s="648"/>
      <c r="AX10" s="631"/>
      <c r="AY10" s="631"/>
      <c r="AZ10" s="631"/>
      <c r="BA10" s="631"/>
      <c r="BB10" s="646"/>
      <c r="BC10" s="523"/>
      <c r="BE10" s="129"/>
      <c r="BF10" s="129"/>
      <c r="BG10" s="129"/>
      <c r="BH10" s="129"/>
      <c r="BI10" s="50">
        <v>0</v>
      </c>
    </row>
    <row r="11" ht="11.25" hidden="1" customHeight="1">
      <c r="A11" s="488"/>
      <c r="B11" s="488"/>
      <c r="C11" s="488"/>
      <c r="D11" s="488"/>
      <c r="E11" s="500"/>
      <c r="F11" s="500"/>
      <c r="G11" s="500"/>
      <c r="H11" s="500"/>
      <c r="I11" s="512"/>
      <c r="J11" s="512"/>
      <c r="K11" s="507"/>
      <c r="L11" s="490"/>
      <c r="P11" s="132"/>
      <c r="Q11" s="132"/>
      <c r="R11" s="640"/>
      <c r="S11" s="644"/>
      <c r="T11" s="709"/>
      <c r="U11" s="495"/>
      <c r="V11" s="631"/>
      <c r="W11" s="648"/>
      <c r="X11" s="631"/>
      <c r="Y11" s="648"/>
      <c r="Z11" s="631"/>
      <c r="AA11" s="631"/>
      <c r="AB11" s="631"/>
      <c r="AC11" s="631"/>
      <c r="AD11" s="296"/>
      <c r="AE11" s="642"/>
      <c r="AF11" s="356"/>
      <c r="AG11" s="699"/>
      <c r="AH11" s="224"/>
      <c r="AI11" s="650"/>
      <c r="AJ11" s="172"/>
      <c r="AK11" s="450" t="s">
        <v>508</v>
      </c>
      <c r="AL11" s="631"/>
      <c r="AM11" s="631"/>
      <c r="AN11" s="631"/>
      <c r="AO11" s="631"/>
      <c r="AP11" s="631"/>
      <c r="AQ11" s="631"/>
      <c r="AR11" s="631"/>
      <c r="AS11" s="631"/>
      <c r="AT11" s="631"/>
      <c r="AU11" s="648"/>
      <c r="AV11" s="631"/>
      <c r="AW11" s="648"/>
      <c r="AX11" s="631"/>
      <c r="AY11" s="631"/>
      <c r="AZ11" s="631"/>
      <c r="BA11" s="631"/>
      <c r="BB11" s="646"/>
      <c r="BC11" s="523"/>
      <c r="BE11" s="129"/>
      <c r="BF11" s="129"/>
      <c r="BG11" s="129"/>
      <c r="BH11" s="129"/>
      <c r="BI11" s="50">
        <v>0</v>
      </c>
    </row>
    <row r="12" ht="11.25" hidden="1" customHeight="1">
      <c r="A12" s="488"/>
      <c r="B12" s="488"/>
      <c r="C12" s="488"/>
      <c r="D12" s="488"/>
      <c r="E12" s="500"/>
      <c r="F12" s="500"/>
      <c r="G12" s="500"/>
      <c r="H12" s="500"/>
      <c r="I12" s="512"/>
      <c r="J12" s="512"/>
      <c r="K12" s="507"/>
      <c r="L12" s="490"/>
      <c r="P12" s="132"/>
      <c r="Q12" s="132"/>
      <c r="R12" s="640"/>
      <c r="S12" s="617"/>
      <c r="T12" s="712"/>
      <c r="U12" s="495"/>
      <c r="V12" s="631"/>
      <c r="W12" s="632" t="str">
        <f>Z8&amp;"-"&amp;AB8</f>
        <v>-</v>
      </c>
      <c r="X12" s="631"/>
      <c r="Y12" s="632" t="str">
        <f>AB8&amp;"-"&amp;AD8</f>
        <v>-да</v>
      </c>
      <c r="Z12" s="631"/>
      <c r="AA12" s="631"/>
      <c r="AB12" s="631"/>
      <c r="AC12" s="631"/>
      <c r="AD12" s="220"/>
      <c r="AE12" s="653"/>
      <c r="AF12" s="654"/>
      <c r="AG12" s="177" t="s">
        <v>509</v>
      </c>
      <c r="AH12" s="631"/>
      <c r="AI12" s="631"/>
      <c r="AJ12" s="631"/>
      <c r="AK12" s="631"/>
      <c r="AL12" s="631"/>
      <c r="AM12" s="631"/>
      <c r="AN12" s="631"/>
      <c r="AO12" s="631"/>
      <c r="AP12" s="631"/>
      <c r="AQ12" s="631"/>
      <c r="AR12" s="631"/>
      <c r="AS12" s="631"/>
      <c r="AT12" s="631"/>
      <c r="AU12" s="632" t="str">
        <f>AX8&amp;"-"&amp;AZ8</f>
        <v>-</v>
      </c>
      <c r="AV12" s="631"/>
      <c r="AW12" s="632" t="str">
        <f>AZ8&amp;"-"&amp;BB8</f>
        <v>-</v>
      </c>
      <c r="AX12" s="631"/>
      <c r="AY12" s="631"/>
      <c r="AZ12" s="631"/>
      <c r="BA12" s="631"/>
      <c r="BB12" s="652" t="str">
        <f>BE8&amp;"-"&amp;BG8</f>
        <v>-</v>
      </c>
      <c r="BC12" s="523"/>
      <c r="BE12" s="129"/>
      <c r="BF12" s="129" t="str">
        <f t="shared" ref="BF12:BF63" si="34">IF(T12="","",T12)</f>
        <v/>
      </c>
      <c r="BG12" s="129"/>
      <c r="BH12" s="129"/>
      <c r="BI12" s="50">
        <v>0</v>
      </c>
    </row>
    <row r="13" ht="11.25" hidden="1" customHeight="1">
      <c r="A13" s="488"/>
      <c r="B13" s="488"/>
      <c r="C13" s="488"/>
      <c r="D13" s="488"/>
      <c r="E13" s="500"/>
      <c r="F13" s="500"/>
      <c r="G13" s="500"/>
      <c r="H13" s="500"/>
      <c r="I13" s="512"/>
      <c r="J13" s="507"/>
      <c r="K13" s="488"/>
      <c r="L13" s="490"/>
      <c r="P13" s="132"/>
      <c r="Q13" s="132"/>
      <c r="R13" s="508"/>
      <c r="S13" s="524"/>
      <c r="T13" s="528" t="s">
        <v>469</v>
      </c>
      <c r="U13" s="214"/>
      <c r="V13" s="214"/>
      <c r="W13" s="214"/>
      <c r="X13" s="214"/>
      <c r="Y13" s="214"/>
      <c r="Z13" s="214"/>
      <c r="AA13" s="214"/>
      <c r="AB13" s="214"/>
      <c r="AC13" s="214"/>
      <c r="AD13" s="683"/>
      <c r="AE13" s="214"/>
      <c r="AF13" s="214"/>
      <c r="AG13" s="214"/>
      <c r="AH13" s="214"/>
      <c r="AI13" s="214"/>
      <c r="AJ13" s="214"/>
      <c r="AK13" s="214"/>
      <c r="AL13" s="214"/>
      <c r="AM13" s="214"/>
      <c r="AN13" s="214"/>
      <c r="AO13" s="214"/>
      <c r="AP13" s="214"/>
      <c r="AQ13" s="214"/>
      <c r="AR13" s="214"/>
      <c r="AS13" s="214"/>
      <c r="AT13" s="214"/>
      <c r="AU13" s="214"/>
      <c r="AV13" s="214"/>
      <c r="AW13" s="214"/>
      <c r="AX13" s="214"/>
      <c r="AY13" s="214"/>
      <c r="AZ13" s="214"/>
      <c r="BA13" s="214"/>
      <c r="BB13" s="526"/>
      <c r="BC13" s="527"/>
      <c r="BE13" s="129"/>
      <c r="BF13" s="129" t="str">
        <f t="shared" si="34"/>
        <v xml:space="preserve">Добавить строку</v>
      </c>
      <c r="BG13" s="129"/>
      <c r="BH13" s="129"/>
      <c r="BI13" s="50">
        <v>0</v>
      </c>
    </row>
    <row r="14" s="57" customFormat="1" ht="14.25" hidden="1" customHeight="1">
      <c r="A14" s="133"/>
      <c r="B14" s="133"/>
      <c r="C14" s="133"/>
      <c r="D14" s="133"/>
      <c r="E14" s="500"/>
      <c r="F14" s="500"/>
      <c r="G14" s="500"/>
      <c r="H14" s="500"/>
      <c r="I14" s="507"/>
      <c r="J14" s="133"/>
      <c r="K14" s="133"/>
      <c r="L14" s="212"/>
      <c r="M14" s="605"/>
      <c r="N14" s="605"/>
      <c r="O14" s="605"/>
      <c r="P14" s="132"/>
      <c r="Q14" s="132"/>
      <c r="R14" s="508"/>
      <c r="S14" s="601"/>
      <c r="T14" s="602"/>
      <c r="U14" s="603"/>
      <c r="V14" s="603"/>
      <c r="W14" s="603"/>
      <c r="X14" s="603"/>
      <c r="Y14" s="603"/>
      <c r="Z14" s="603"/>
      <c r="AA14" s="603"/>
      <c r="AB14" s="603"/>
      <c r="AC14" s="603"/>
      <c r="AD14" s="603"/>
      <c r="AE14" s="603"/>
      <c r="AF14" s="603"/>
      <c r="AG14" s="603"/>
      <c r="AH14" s="603"/>
      <c r="AI14" s="603"/>
      <c r="AJ14" s="603"/>
      <c r="AK14" s="603"/>
      <c r="AL14" s="603"/>
      <c r="AM14" s="603"/>
      <c r="AN14" s="603"/>
      <c r="AO14" s="603"/>
      <c r="AP14" s="603"/>
      <c r="AQ14" s="603"/>
      <c r="AR14" s="603"/>
      <c r="AS14" s="603"/>
      <c r="AT14" s="603"/>
      <c r="AU14" s="603"/>
      <c r="AV14" s="603"/>
      <c r="AW14" s="603"/>
      <c r="AX14" s="603"/>
      <c r="AY14" s="603"/>
      <c r="AZ14" s="603"/>
      <c r="BA14" s="603"/>
      <c r="BB14" s="603"/>
      <c r="BC14" s="604"/>
      <c r="BE14" s="129"/>
      <c r="BF14" s="129" t="str">
        <f t="shared" si="34"/>
        <v/>
      </c>
      <c r="BG14" s="129"/>
      <c r="BH14" s="129"/>
      <c r="BI14" s="57">
        <v>0</v>
      </c>
    </row>
    <row r="15" s="57" customFormat="1" ht="14.25" hidden="1" customHeight="1">
      <c r="A15" s="133"/>
      <c r="B15" s="133"/>
      <c r="C15" s="133"/>
      <c r="D15" s="133"/>
      <c r="E15" s="500"/>
      <c r="F15" s="500"/>
      <c r="G15" s="500"/>
      <c r="H15" s="489"/>
      <c r="I15" s="133"/>
      <c r="J15" s="133"/>
      <c r="K15" s="133"/>
      <c r="L15" s="212"/>
      <c r="M15" s="473"/>
      <c r="N15" s="473"/>
      <c r="O15" s="57"/>
      <c r="P15" s="167"/>
      <c r="Q15" s="533"/>
      <c r="R15" s="655"/>
      <c r="S15" s="601"/>
      <c r="T15" s="602"/>
      <c r="U15" s="603"/>
      <c r="V15" s="603"/>
      <c r="W15" s="603"/>
      <c r="X15" s="603"/>
      <c r="Y15" s="603"/>
      <c r="Z15" s="603"/>
      <c r="AA15" s="603"/>
      <c r="AB15" s="603"/>
      <c r="AC15" s="603"/>
      <c r="AD15" s="603"/>
      <c r="AE15" s="603"/>
      <c r="AF15" s="603"/>
      <c r="AG15" s="603"/>
      <c r="AH15" s="603"/>
      <c r="AI15" s="603"/>
      <c r="AJ15" s="603"/>
      <c r="AK15" s="603"/>
      <c r="AL15" s="603"/>
      <c r="AM15" s="603"/>
      <c r="AN15" s="603"/>
      <c r="AO15" s="603"/>
      <c r="AP15" s="603"/>
      <c r="AQ15" s="603"/>
      <c r="AR15" s="603"/>
      <c r="AS15" s="603"/>
      <c r="AT15" s="603"/>
      <c r="AU15" s="603"/>
      <c r="AV15" s="603"/>
      <c r="AW15" s="603"/>
      <c r="AX15" s="603"/>
      <c r="AY15" s="603"/>
      <c r="AZ15" s="603"/>
      <c r="BA15" s="603"/>
      <c r="BB15" s="603"/>
      <c r="BC15" s="604"/>
      <c r="BE15" s="129"/>
      <c r="BF15" s="129" t="str">
        <f t="shared" si="34"/>
        <v/>
      </c>
      <c r="BG15" s="129"/>
      <c r="BH15" s="129"/>
      <c r="BI15" s="57">
        <v>0</v>
      </c>
    </row>
    <row r="16" s="57" customFormat="1" ht="14.25" hidden="1" customHeight="1">
      <c r="A16" s="133"/>
      <c r="B16" s="133"/>
      <c r="C16" s="133"/>
      <c r="D16" s="133"/>
      <c r="E16" s="500"/>
      <c r="F16" s="500"/>
      <c r="G16" s="489"/>
      <c r="H16" s="133"/>
      <c r="I16" s="133"/>
      <c r="J16" s="133"/>
      <c r="K16" s="133"/>
      <c r="L16" s="212"/>
      <c r="M16" s="473"/>
      <c r="N16" s="473"/>
      <c r="P16" s="167"/>
      <c r="Q16" s="533"/>
      <c r="R16" s="167"/>
      <c r="S16" s="538"/>
      <c r="T16" s="541"/>
      <c r="U16" s="540"/>
      <c r="V16" s="540"/>
      <c r="W16" s="540"/>
      <c r="X16" s="540"/>
      <c r="Y16" s="540"/>
      <c r="Z16" s="540"/>
      <c r="AA16" s="540"/>
      <c r="AB16" s="540"/>
      <c r="AC16" s="540"/>
      <c r="AD16" s="540"/>
      <c r="AE16" s="540"/>
      <c r="AF16" s="540"/>
      <c r="AG16" s="540"/>
      <c r="AH16" s="540"/>
      <c r="AI16" s="540"/>
      <c r="AJ16" s="540"/>
      <c r="AK16" s="540"/>
      <c r="AL16" s="540"/>
      <c r="AM16" s="540"/>
      <c r="AN16" s="540"/>
      <c r="AO16" s="540"/>
      <c r="AP16" s="540"/>
      <c r="AQ16" s="540"/>
      <c r="AR16" s="540"/>
      <c r="AS16" s="540"/>
      <c r="AT16" s="540"/>
      <c r="AU16" s="540"/>
      <c r="AV16" s="540"/>
      <c r="AW16" s="540"/>
      <c r="AX16" s="540"/>
      <c r="AY16" s="540"/>
      <c r="AZ16" s="540"/>
      <c r="BA16" s="540"/>
      <c r="BB16" s="540"/>
      <c r="BC16" s="540"/>
      <c r="BE16" s="129"/>
      <c r="BF16" s="129" t="str">
        <f t="shared" si="34"/>
        <v/>
      </c>
      <c r="BG16" s="129"/>
      <c r="BH16" s="129"/>
      <c r="BI16" s="57">
        <v>0</v>
      </c>
    </row>
    <row r="17" s="57" customFormat="1" ht="14.25" hidden="1" customHeight="1">
      <c r="A17" s="133"/>
      <c r="B17" s="133"/>
      <c r="C17" s="133"/>
      <c r="D17" s="133"/>
      <c r="E17" s="500"/>
      <c r="F17" s="489"/>
      <c r="G17" s="133"/>
      <c r="H17" s="133"/>
      <c r="I17" s="133"/>
      <c r="J17" s="133"/>
      <c r="K17" s="133"/>
      <c r="L17" s="212"/>
      <c r="M17" s="537"/>
      <c r="N17" s="537"/>
      <c r="P17" s="167"/>
      <c r="Q17" s="533"/>
      <c r="R17" s="167"/>
      <c r="S17" s="538"/>
      <c r="T17" s="541" t="s">
        <v>212</v>
      </c>
      <c r="U17" s="540"/>
      <c r="V17" s="540"/>
      <c r="W17" s="540"/>
      <c r="X17" s="540"/>
      <c r="Y17" s="540"/>
      <c r="Z17" s="540"/>
      <c r="AA17" s="540"/>
      <c r="AB17" s="540"/>
      <c r="AC17" s="540"/>
      <c r="AD17" s="540"/>
      <c r="AE17" s="540"/>
      <c r="AF17" s="540"/>
      <c r="AG17" s="540"/>
      <c r="AH17" s="540"/>
      <c r="AI17" s="540"/>
      <c r="AJ17" s="540"/>
      <c r="AK17" s="540"/>
      <c r="AL17" s="540"/>
      <c r="AM17" s="540"/>
      <c r="AN17" s="540"/>
      <c r="AO17" s="540"/>
      <c r="AP17" s="540"/>
      <c r="AQ17" s="540"/>
      <c r="AR17" s="540"/>
      <c r="AS17" s="540"/>
      <c r="AT17" s="540"/>
      <c r="AU17" s="540"/>
      <c r="AV17" s="540"/>
      <c r="AW17" s="540"/>
      <c r="AX17" s="540"/>
      <c r="AY17" s="540"/>
      <c r="AZ17" s="540"/>
      <c r="BA17" s="540"/>
      <c r="BB17" s="540"/>
      <c r="BC17" s="540"/>
      <c r="BE17" s="129"/>
      <c r="BF17" s="129" t="str">
        <f t="shared" si="34"/>
        <v xml:space="preserve">Добавить централизованную систему для дифференциации</v>
      </c>
      <c r="BG17" s="129"/>
      <c r="BH17" s="129"/>
      <c r="BI17" s="57">
        <v>0</v>
      </c>
    </row>
    <row r="18" s="57" customFormat="1" ht="14.25" hidden="1" customHeight="1">
      <c r="A18" s="133"/>
      <c r="B18" s="133"/>
      <c r="C18" s="133"/>
      <c r="D18" s="133"/>
      <c r="E18" s="489"/>
      <c r="F18" s="133"/>
      <c r="G18" s="133"/>
      <c r="H18" s="133"/>
      <c r="I18" s="133"/>
      <c r="J18" s="133"/>
      <c r="K18" s="133"/>
      <c r="L18" s="212"/>
      <c r="M18" s="537"/>
      <c r="N18" s="537"/>
      <c r="O18" s="57"/>
      <c r="P18" s="167"/>
      <c r="Q18" s="533"/>
      <c r="R18" s="167"/>
      <c r="S18" s="538"/>
      <c r="T18" s="541" t="s">
        <v>213</v>
      </c>
      <c r="U18" s="540"/>
      <c r="V18" s="540"/>
      <c r="W18" s="540"/>
      <c r="X18" s="540"/>
      <c r="Y18" s="540"/>
      <c r="Z18" s="540"/>
      <c r="AA18" s="540"/>
      <c r="AB18" s="540"/>
      <c r="AC18" s="540"/>
      <c r="AD18" s="540"/>
      <c r="AE18" s="540"/>
      <c r="AF18" s="540"/>
      <c r="AG18" s="540"/>
      <c r="AH18" s="540"/>
      <c r="AI18" s="540"/>
      <c r="AJ18" s="540"/>
      <c r="AK18" s="540"/>
      <c r="AL18" s="540"/>
      <c r="AM18" s="540"/>
      <c r="AN18" s="540"/>
      <c r="AO18" s="540"/>
      <c r="AP18" s="540"/>
      <c r="AQ18" s="540"/>
      <c r="AR18" s="540"/>
      <c r="AS18" s="540"/>
      <c r="AT18" s="540"/>
      <c r="AU18" s="540"/>
      <c r="AV18" s="540"/>
      <c r="AW18" s="540"/>
      <c r="AX18" s="540"/>
      <c r="AY18" s="540"/>
      <c r="AZ18" s="540"/>
      <c r="BA18" s="540"/>
      <c r="BB18" s="540"/>
      <c r="BC18" s="540"/>
      <c r="BE18" s="129"/>
      <c r="BF18" s="129" t="str">
        <f t="shared" si="34"/>
        <v xml:space="preserve">Добавить территорию для дифференциации</v>
      </c>
      <c r="BG18" s="129"/>
      <c r="BH18" s="129"/>
      <c r="BI18" s="57">
        <v>0</v>
      </c>
    </row>
    <row r="19" ht="14.25" hidden="1" customHeight="1">
      <c r="AC19" s="50"/>
      <c r="BA19" s="50"/>
      <c r="BI19" s="50">
        <v>0</v>
      </c>
    </row>
    <row r="20" ht="14.25" hidden="1" customHeight="1">
      <c r="AD20" s="540" t="s">
        <v>19</v>
      </c>
      <c r="AE20" s="656"/>
      <c r="AF20" s="540">
        <v>1</v>
      </c>
      <c r="AG20" s="657"/>
      <c r="AH20" s="540" t="s">
        <v>19</v>
      </c>
      <c r="AI20" s="656"/>
      <c r="AJ20" s="540">
        <v>1</v>
      </c>
      <c r="AK20" s="657"/>
      <c r="AL20" s="540" t="s">
        <v>19</v>
      </c>
      <c r="AM20" s="658"/>
      <c r="AN20" s="540">
        <v>1</v>
      </c>
      <c r="AO20" s="134"/>
      <c r="AP20" s="540" t="s">
        <v>19</v>
      </c>
      <c r="AQ20" s="658"/>
      <c r="AR20" s="540">
        <v>1</v>
      </c>
      <c r="AS20" s="134"/>
      <c r="AT20" s="517"/>
      <c r="AU20" s="592"/>
      <c r="AV20" s="517"/>
      <c r="AW20" s="592"/>
      <c r="AX20" s="662"/>
      <c r="AY20" s="663" t="s">
        <v>67</v>
      </c>
      <c r="AZ20" s="662"/>
      <c r="BA20" s="663" t="s">
        <v>67</v>
      </c>
      <c r="BI20" s="50">
        <v>0</v>
      </c>
    </row>
    <row r="21" ht="14.25" hidden="1" customHeight="1">
      <c r="BD21" s="131"/>
      <c r="BE21" s="131"/>
      <c r="BF21" s="131"/>
      <c r="BG21" s="131"/>
      <c r="BH21" s="131"/>
      <c r="BI21" s="50">
        <v>0</v>
      </c>
    </row>
    <row r="22" ht="14.25" hidden="1" customHeight="1">
      <c r="O22" s="546" t="s">
        <v>419</v>
      </c>
      <c r="Z22" s="590"/>
      <c r="AB22" s="590"/>
      <c r="AC22" s="50"/>
      <c r="AX22" s="590"/>
      <c r="AZ22" s="590"/>
      <c r="BA22" s="50"/>
      <c r="BD22" s="131"/>
      <c r="BE22" s="131"/>
      <c r="BF22" s="131"/>
      <c r="BG22" s="131"/>
      <c r="BH22" s="131"/>
      <c r="BI22" s="50">
        <v>0</v>
      </c>
    </row>
    <row r="23" ht="14.25" hidden="1" customHeight="1">
      <c r="AC23" s="50"/>
      <c r="BA23" s="50"/>
      <c r="BD23" s="131"/>
      <c r="BE23" s="131"/>
      <c r="BF23" s="131"/>
      <c r="BG23" s="131"/>
      <c r="BH23" s="131"/>
      <c r="BI23" s="50">
        <v>0</v>
      </c>
    </row>
    <row r="24" s="664" customFormat="1" ht="14.25" hidden="1" customHeight="1">
      <c r="M24" s="665"/>
      <c r="N24" s="665"/>
      <c r="O24" s="664" t="s">
        <v>420</v>
      </c>
      <c r="P24" s="665"/>
      <c r="Q24" s="666"/>
      <c r="R24" s="666"/>
      <c r="AA24" s="664" t="s">
        <v>422</v>
      </c>
      <c r="AC24" s="664" t="s">
        <v>423</v>
      </c>
      <c r="AD24" s="664" t="s">
        <v>470</v>
      </c>
      <c r="AH24" s="664" t="s">
        <v>470</v>
      </c>
      <c r="AK24" s="664" t="s">
        <v>510</v>
      </c>
      <c r="AL24" s="664" t="s">
        <v>470</v>
      </c>
      <c r="AP24" s="664" t="s">
        <v>470</v>
      </c>
      <c r="AY24" s="664" t="s">
        <v>422</v>
      </c>
      <c r="BA24" s="664" t="s">
        <v>423</v>
      </c>
      <c r="BD24" s="667"/>
      <c r="BE24" s="667"/>
      <c r="BF24" s="667"/>
      <c r="BG24" s="667"/>
      <c r="BH24" s="667"/>
      <c r="BI24" s="664">
        <v>0</v>
      </c>
    </row>
    <row r="25" ht="14.25" hidden="1" customHeight="1">
      <c r="O25" s="490"/>
      <c r="BD25" s="131"/>
      <c r="BE25" s="131"/>
      <c r="BF25" s="131"/>
      <c r="BG25" s="131"/>
      <c r="BH25" s="131"/>
      <c r="BI25" s="50">
        <v>0</v>
      </c>
    </row>
    <row r="26" ht="14.25" hidden="1" customHeight="1">
      <c r="O26" s="490"/>
      <c r="BD26" s="131"/>
      <c r="BE26" s="131"/>
      <c r="BF26" s="131"/>
      <c r="BG26" s="131"/>
      <c r="BH26" s="131"/>
      <c r="BI26" s="50">
        <v>0</v>
      </c>
    </row>
    <row r="27" ht="14.65" customHeight="1">
      <c r="Q27" s="668"/>
      <c r="R27" s="548"/>
      <c r="S27" s="549"/>
      <c r="T27" s="91"/>
      <c r="U27" s="91"/>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0"/>
      <c r="AV27" s="50"/>
      <c r="AW27" s="50"/>
      <c r="AX27" s="50"/>
      <c r="AY27" s="50"/>
      <c r="AZ27" s="50"/>
      <c r="BA27" s="50"/>
      <c r="BI27" s="50">
        <v>14</v>
      </c>
    </row>
    <row r="28" ht="14.65" customHeight="1">
      <c r="Q28" s="668"/>
      <c r="R28" s="548"/>
      <c r="S28" s="461" t="str">
        <f>IF(TEMPLATE_GROUP="P",PT_P_FORM_COLDVSNA_5_NAME_FORM,PT_R_FORM_COLDVSNA_17_NAME_FORM)</f>
        <v xml:space="preserve">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461"/>
      <c r="U28" s="461"/>
      <c r="V28" s="461"/>
      <c r="W28" s="461"/>
      <c r="X28" s="461"/>
      <c r="Y28" s="461"/>
      <c r="Z28" s="461"/>
      <c r="AA28" s="461"/>
      <c r="AB28" s="461"/>
      <c r="AC28" s="461"/>
      <c r="AD28" s="461"/>
      <c r="AE28" s="461"/>
      <c r="AF28" s="461"/>
      <c r="AG28" s="461"/>
      <c r="AH28" s="461"/>
      <c r="AI28" s="461"/>
      <c r="AJ28" s="461"/>
      <c r="AK28" s="461"/>
      <c r="AL28" s="461"/>
      <c r="AM28" s="461"/>
      <c r="AN28" s="461"/>
      <c r="AO28" s="461"/>
      <c r="AP28" s="461"/>
      <c r="AQ28" s="461"/>
      <c r="AR28" s="461"/>
      <c r="AS28" s="461"/>
      <c r="AT28" s="461"/>
      <c r="AU28" s="461"/>
      <c r="AV28" s="461"/>
      <c r="AW28" s="461"/>
      <c r="AX28" s="461"/>
      <c r="AY28" s="461"/>
      <c r="AZ28" s="461"/>
      <c r="BA28" s="240"/>
      <c r="BI28" s="50">
        <v>14</v>
      </c>
    </row>
    <row r="29" ht="14.65" customHeight="1">
      <c r="Q29" s="668"/>
      <c r="R29" s="548"/>
      <c r="S29" s="316" t="str">
        <f>IF(org=0,"Не определено",org)</f>
        <v xml:space="preserve">АО "ДГК"</v>
      </c>
      <c r="T29" s="316"/>
      <c r="U29" s="316"/>
      <c r="V29" s="316"/>
      <c r="W29" s="316"/>
      <c r="X29" s="316"/>
      <c r="Y29" s="316"/>
      <c r="Z29" s="316"/>
      <c r="AA29" s="316"/>
      <c r="AB29" s="316"/>
      <c r="AC29" s="316"/>
      <c r="AD29" s="316"/>
      <c r="AE29" s="316"/>
      <c r="AF29" s="316"/>
      <c r="AG29" s="316"/>
      <c r="AH29" s="316"/>
      <c r="AI29" s="316"/>
      <c r="AJ29" s="316"/>
      <c r="AK29" s="316"/>
      <c r="AL29" s="316"/>
      <c r="AM29" s="316"/>
      <c r="AN29" s="316"/>
      <c r="AO29" s="316"/>
      <c r="AP29" s="316"/>
      <c r="AQ29" s="316"/>
      <c r="AR29" s="316"/>
      <c r="AS29" s="316"/>
      <c r="AT29" s="316"/>
      <c r="AU29" s="316"/>
      <c r="AV29" s="316"/>
      <c r="AW29" s="316"/>
      <c r="AX29" s="316"/>
      <c r="AY29" s="316"/>
      <c r="AZ29" s="316"/>
      <c r="BA29" s="240"/>
      <c r="BI29" s="50">
        <v>14</v>
      </c>
    </row>
    <row r="30" ht="14.25" hidden="1" customHeight="1">
      <c r="Q30" s="668"/>
      <c r="R30" s="548"/>
      <c r="S30" s="549"/>
      <c r="T30" s="91"/>
      <c r="U30" s="91"/>
      <c r="V30" s="550"/>
      <c r="W30" s="550"/>
      <c r="X30" s="550"/>
      <c r="Y30" s="550"/>
      <c r="Z30" s="550"/>
      <c r="AA30" s="550"/>
      <c r="AB30" s="550"/>
      <c r="AC30" s="550"/>
      <c r="AD30" s="550"/>
      <c r="AE30" s="550"/>
      <c r="AF30" s="550"/>
      <c r="AG30" s="550"/>
      <c r="AH30" s="550"/>
      <c r="AI30" s="550"/>
      <c r="AJ30" s="550"/>
      <c r="AK30" s="550"/>
      <c r="AL30" s="550"/>
      <c r="AM30" s="550"/>
      <c r="AN30" s="550"/>
      <c r="AO30" s="550"/>
      <c r="AP30" s="550"/>
      <c r="AQ30" s="550"/>
      <c r="AR30" s="550"/>
      <c r="AS30" s="550"/>
      <c r="AT30" s="550"/>
      <c r="AU30" s="550"/>
      <c r="AV30" s="550"/>
      <c r="AW30" s="550"/>
      <c r="AX30" s="550"/>
      <c r="AY30" s="550"/>
      <c r="AZ30" s="550"/>
      <c r="BA30" s="550"/>
      <c r="BB30" s="50"/>
      <c r="BI30" s="50">
        <v>0</v>
      </c>
    </row>
    <row r="31" s="184" customFormat="1" ht="25.5" hidden="1" customHeight="1">
      <c r="A31" s="151"/>
      <c r="B31" s="151"/>
      <c r="C31" s="151"/>
      <c r="D31" s="151"/>
      <c r="E31" s="151"/>
      <c r="F31" s="151"/>
      <c r="G31" s="151"/>
      <c r="H31" s="151"/>
      <c r="I31" s="151"/>
      <c r="J31" s="151"/>
      <c r="K31" s="151"/>
      <c r="L31" s="490"/>
      <c r="M31" s="151"/>
      <c r="N31" s="151"/>
      <c r="O31" s="151"/>
      <c r="P31" s="151"/>
      <c r="Q31" s="151"/>
      <c r="S31" s="551" t="s">
        <v>42</v>
      </c>
      <c r="T31" s="551"/>
      <c r="U31" s="552"/>
      <c r="V31" s="553" t="str">
        <f>IF(TITLE_NAME_OR_PR_CHANGE="",IF(TITLE_NAME_OR_PR="","",TITLE_NAME_OR_PR),TITLE_NAME_OR_PR_CHANGE)</f>
        <v/>
      </c>
      <c r="W31" s="553"/>
      <c r="X31" s="553"/>
      <c r="Y31" s="553"/>
      <c r="Z31" s="553"/>
      <c r="AA31" s="553"/>
      <c r="AB31" s="553"/>
      <c r="AC31" s="50"/>
      <c r="AD31" s="553" t="str">
        <f>IF(TITLE_NAME_OR_PR_CHANGE="",IF(TITLE_NAME_OR_PR="","",TITLE_NAME_OR_PR),TITLE_NAME_OR_PR_CHANGE)</f>
        <v/>
      </c>
      <c r="AE31" s="553"/>
      <c r="AF31" s="553"/>
      <c r="AG31" s="553"/>
      <c r="AH31" s="553"/>
      <c r="AI31" s="553"/>
      <c r="AJ31" s="553"/>
      <c r="AK31" s="553"/>
      <c r="AL31" s="553"/>
      <c r="AM31" s="553"/>
      <c r="AN31" s="553"/>
      <c r="AO31" s="553"/>
      <c r="AP31" s="553"/>
      <c r="AQ31" s="553"/>
      <c r="AR31" s="553"/>
      <c r="AS31" s="553"/>
      <c r="AT31" s="553"/>
      <c r="AU31" s="553"/>
      <c r="AV31" s="553"/>
      <c r="AW31" s="553"/>
      <c r="AX31" s="553"/>
      <c r="AY31" s="553"/>
      <c r="AZ31" s="553"/>
      <c r="BA31" s="50"/>
      <c r="BB31" s="50"/>
      <c r="BC31" s="554"/>
      <c r="BD31" s="129"/>
      <c r="BE31" s="129"/>
      <c r="BF31" s="129"/>
      <c r="BG31" s="129"/>
      <c r="BH31" s="129"/>
      <c r="BI31" s="184">
        <v>0</v>
      </c>
    </row>
    <row r="32" s="184" customFormat="1" ht="18.75" hidden="1" customHeight="1">
      <c r="A32" s="151"/>
      <c r="B32" s="151"/>
      <c r="C32" s="151"/>
      <c r="D32" s="151"/>
      <c r="E32" s="151"/>
      <c r="F32" s="151"/>
      <c r="G32" s="151"/>
      <c r="H32" s="151"/>
      <c r="I32" s="151"/>
      <c r="J32" s="151"/>
      <c r="K32" s="151"/>
      <c r="L32" s="490"/>
      <c r="M32" s="151"/>
      <c r="N32" s="151"/>
      <c r="O32" s="151"/>
      <c r="P32" s="151"/>
      <c r="Q32" s="151"/>
      <c r="S32" s="551" t="s">
        <v>425</v>
      </c>
      <c r="T32" s="551"/>
      <c r="U32" s="552"/>
      <c r="V32" s="555">
        <f>IF(TITLE_DATE_PR_CHANGE="",IF(TITLE_DATE_PR="","",TITLE_DATE_PR),TITLE_DATE_PR_CHANGE)</f>
        <v>46212.428518518522</v>
      </c>
      <c r="W32" s="555"/>
      <c r="X32" s="555"/>
      <c r="Y32" s="555"/>
      <c r="Z32" s="555"/>
      <c r="AA32" s="555"/>
      <c r="AB32" s="555"/>
      <c r="AC32" s="50"/>
      <c r="AD32" s="555">
        <f>IF(TITLE_DATE_PR_CHANGE="",IF(TITLE_DATE_PR="","",TITLE_DATE_PR),TITLE_DATE_PR_CHANGE)</f>
        <v>46212.428518518522</v>
      </c>
      <c r="AE32" s="555"/>
      <c r="AF32" s="555"/>
      <c r="AG32" s="555"/>
      <c r="AH32" s="555"/>
      <c r="AI32" s="555"/>
      <c r="AJ32" s="555"/>
      <c r="AK32" s="555"/>
      <c r="AL32" s="555"/>
      <c r="AM32" s="555"/>
      <c r="AN32" s="555"/>
      <c r="AO32" s="555"/>
      <c r="AP32" s="555"/>
      <c r="AQ32" s="555"/>
      <c r="AR32" s="555"/>
      <c r="AS32" s="555"/>
      <c r="AT32" s="555"/>
      <c r="AU32" s="555"/>
      <c r="AV32" s="555"/>
      <c r="AW32" s="555"/>
      <c r="AX32" s="555"/>
      <c r="AY32" s="555"/>
      <c r="AZ32" s="555"/>
      <c r="BA32" s="50"/>
      <c r="BB32" s="50"/>
      <c r="BC32" s="554"/>
      <c r="BD32" s="129"/>
      <c r="BE32" s="129"/>
      <c r="BF32" s="129"/>
      <c r="BG32" s="129"/>
      <c r="BH32" s="129"/>
      <c r="BI32" s="184">
        <v>0</v>
      </c>
    </row>
    <row r="33" s="184" customFormat="1" ht="18.75" hidden="1" customHeight="1">
      <c r="A33" s="151"/>
      <c r="B33" s="151"/>
      <c r="C33" s="151"/>
      <c r="D33" s="151"/>
      <c r="E33" s="151"/>
      <c r="F33" s="151"/>
      <c r="G33" s="151"/>
      <c r="H33" s="151"/>
      <c r="I33" s="151"/>
      <c r="J33" s="151"/>
      <c r="K33" s="151"/>
      <c r="L33" s="490"/>
      <c r="M33" s="151"/>
      <c r="N33" s="151"/>
      <c r="O33" s="151"/>
      <c r="P33" s="151"/>
      <c r="Q33" s="151"/>
      <c r="S33" s="551" t="s">
        <v>426</v>
      </c>
      <c r="T33" s="551"/>
      <c r="U33" s="552"/>
      <c r="V33" s="553" t="str">
        <f>IF(TITLE_NUMBER_PR_CHANGE="",IF(TITLE_NUMBER_PR="","",TITLE_NUMBER_PR),TITLE_NUMBER_PR_CHANGE)</f>
        <v>Исх-260/1397</v>
      </c>
      <c r="W33" s="553"/>
      <c r="X33" s="553"/>
      <c r="Y33" s="553"/>
      <c r="Z33" s="553"/>
      <c r="AA33" s="553"/>
      <c r="AB33" s="553"/>
      <c r="AC33" s="50"/>
      <c r="AD33" s="553" t="str">
        <f>IF(TITLE_NUMBER_PR_CHANGE="",IF(TITLE_NUMBER_PR="","",TITLE_NUMBER_PR),TITLE_NUMBER_PR_CHANGE)</f>
        <v>Исх-260/1397</v>
      </c>
      <c r="AE33" s="553"/>
      <c r="AF33" s="553"/>
      <c r="AG33" s="553"/>
      <c r="AH33" s="553"/>
      <c r="AI33" s="553"/>
      <c r="AJ33" s="553"/>
      <c r="AK33" s="553"/>
      <c r="AL33" s="553"/>
      <c r="AM33" s="553"/>
      <c r="AN33" s="553"/>
      <c r="AO33" s="553"/>
      <c r="AP33" s="553"/>
      <c r="AQ33" s="553"/>
      <c r="AR33" s="553"/>
      <c r="AS33" s="553"/>
      <c r="AT33" s="553"/>
      <c r="AU33" s="553"/>
      <c r="AV33" s="553"/>
      <c r="AW33" s="553"/>
      <c r="AX33" s="553"/>
      <c r="AY33" s="553"/>
      <c r="AZ33" s="553"/>
      <c r="BA33" s="50"/>
      <c r="BB33" s="50"/>
      <c r="BC33" s="554"/>
      <c r="BD33" s="129"/>
      <c r="BE33" s="129"/>
      <c r="BF33" s="129"/>
      <c r="BG33" s="129"/>
      <c r="BH33" s="129"/>
      <c r="BI33" s="184">
        <v>0</v>
      </c>
    </row>
    <row r="34" s="184" customFormat="1" ht="18.75" hidden="1" customHeight="1">
      <c r="A34" s="151"/>
      <c r="B34" s="151"/>
      <c r="C34" s="151"/>
      <c r="D34" s="151"/>
      <c r="E34" s="151"/>
      <c r="F34" s="151"/>
      <c r="G34" s="151"/>
      <c r="H34" s="151"/>
      <c r="I34" s="151"/>
      <c r="J34" s="151"/>
      <c r="K34" s="151"/>
      <c r="L34" s="490"/>
      <c r="M34" s="151"/>
      <c r="N34" s="151"/>
      <c r="O34" s="151"/>
      <c r="P34" s="151"/>
      <c r="Q34" s="151"/>
      <c r="S34" s="551" t="s">
        <v>43</v>
      </c>
      <c r="T34" s="551"/>
      <c r="U34" s="552"/>
      <c r="V34" s="553" t="str">
        <f>IF(TITLE_IST_PUB_CHANGE="",IF(TITLE_IST_PUB="","",TITLE_IST_PUB),TITLE_IST_PUB_CHANGE)</f>
        <v/>
      </c>
      <c r="W34" s="553"/>
      <c r="X34" s="553"/>
      <c r="Y34" s="553"/>
      <c r="Z34" s="553"/>
      <c r="AA34" s="553"/>
      <c r="AB34" s="553"/>
      <c r="AC34" s="50"/>
      <c r="AD34" s="553" t="str">
        <f>IF(TITLE_IST_PUB_CHANGE="",IF(TITLE_IST_PUB="","",TITLE_IST_PUB),TITLE_IST_PUB_CHANGE)</f>
        <v/>
      </c>
      <c r="AE34" s="553"/>
      <c r="AF34" s="553"/>
      <c r="AG34" s="553"/>
      <c r="AH34" s="553"/>
      <c r="AI34" s="553"/>
      <c r="AJ34" s="553"/>
      <c r="AK34" s="553"/>
      <c r="AL34" s="553"/>
      <c r="AM34" s="553"/>
      <c r="AN34" s="553"/>
      <c r="AO34" s="553"/>
      <c r="AP34" s="553"/>
      <c r="AQ34" s="553"/>
      <c r="AR34" s="553"/>
      <c r="AS34" s="553"/>
      <c r="AT34" s="553"/>
      <c r="AU34" s="553"/>
      <c r="AV34" s="553"/>
      <c r="AW34" s="553"/>
      <c r="AX34" s="553"/>
      <c r="AY34" s="553"/>
      <c r="AZ34" s="553"/>
      <c r="BA34" s="50"/>
      <c r="BB34" s="50"/>
      <c r="BC34" s="554"/>
      <c r="BD34" s="129"/>
      <c r="BE34" s="129"/>
      <c r="BF34" s="129"/>
      <c r="BG34" s="129"/>
      <c r="BH34" s="129"/>
      <c r="BI34" s="184">
        <v>0</v>
      </c>
    </row>
    <row r="35" ht="14.25" customHeight="1">
      <c r="Q35" s="668"/>
      <c r="R35" s="548"/>
      <c r="S35" s="549"/>
      <c r="T35" s="91"/>
      <c r="U35" s="91"/>
      <c r="V35" s="550"/>
      <c r="W35" s="550"/>
      <c r="X35" s="550"/>
      <c r="Y35" s="550"/>
      <c r="Z35" s="550"/>
      <c r="AA35" s="550"/>
      <c r="AB35" s="550"/>
      <c r="AC35" s="550"/>
      <c r="AD35" s="550"/>
      <c r="AE35" s="550"/>
      <c r="AF35" s="550"/>
      <c r="AG35" s="550"/>
      <c r="AH35" s="550"/>
      <c r="AI35" s="550"/>
      <c r="AJ35" s="550"/>
      <c r="AK35" s="550"/>
      <c r="AL35" s="550"/>
      <c r="AM35" s="550"/>
      <c r="AN35" s="550"/>
      <c r="AO35" s="550"/>
      <c r="AP35" s="550"/>
      <c r="AQ35" s="550"/>
      <c r="AR35" s="550"/>
      <c r="AS35" s="550"/>
      <c r="AT35" s="550"/>
      <c r="AU35" s="550"/>
      <c r="AV35" s="550"/>
      <c r="AW35" s="550"/>
      <c r="AX35" s="550"/>
      <c r="AY35" s="550"/>
      <c r="AZ35" s="550"/>
      <c r="BA35" s="550"/>
      <c r="BB35" s="50"/>
      <c r="BI35" s="50">
        <v>0</v>
      </c>
    </row>
    <row r="36" s="184" customFormat="1" ht="18.75" customHeight="1">
      <c r="A36" s="151"/>
      <c r="B36" s="151"/>
      <c r="C36" s="151"/>
      <c r="D36" s="151"/>
      <c r="E36" s="151"/>
      <c r="F36" s="151"/>
      <c r="G36" s="151"/>
      <c r="H36" s="151"/>
      <c r="I36" s="151"/>
      <c r="J36" s="151"/>
      <c r="K36" s="151"/>
      <c r="L36" s="490"/>
      <c r="M36" s="151"/>
      <c r="N36" s="151"/>
      <c r="O36" s="151"/>
      <c r="P36" s="151"/>
      <c r="Q36" s="151"/>
      <c r="S36" s="551" t="s">
        <v>425</v>
      </c>
      <c r="T36" s="551"/>
      <c r="U36" s="552"/>
      <c r="V36" s="555">
        <f>IF(TITLE_DATE_PR_CHANGE="",IF(TITLE_DATE_PR="","",TITLE_DATE_PR),TITLE_DATE_PR_CHANGE)</f>
        <v>46212.428518518522</v>
      </c>
      <c r="W36" s="555"/>
      <c r="X36" s="555"/>
      <c r="Y36" s="555"/>
      <c r="Z36" s="555"/>
      <c r="AA36" s="555"/>
      <c r="AB36" s="555"/>
      <c r="AC36" s="50"/>
      <c r="AD36" s="555">
        <f>IF(TITLE_DATE_PR_CHANGE="",IF(TITLE_DATE_PR="","",TITLE_DATE_PR),TITLE_DATE_PR_CHANGE)</f>
        <v>46212.428518518522</v>
      </c>
      <c r="AE36" s="555"/>
      <c r="AF36" s="555"/>
      <c r="AG36" s="555"/>
      <c r="AH36" s="555"/>
      <c r="AI36" s="555"/>
      <c r="AJ36" s="555"/>
      <c r="AK36" s="555"/>
      <c r="AL36" s="555"/>
      <c r="AM36" s="555"/>
      <c r="AN36" s="555"/>
      <c r="AO36" s="555"/>
      <c r="AP36" s="555"/>
      <c r="AQ36" s="555"/>
      <c r="AR36" s="555"/>
      <c r="AS36" s="555"/>
      <c r="AT36" s="555"/>
      <c r="AU36" s="555"/>
      <c r="AV36" s="555"/>
      <c r="AW36" s="555"/>
      <c r="AX36" s="555"/>
      <c r="AY36" s="555"/>
      <c r="AZ36" s="555"/>
      <c r="BA36" s="50"/>
      <c r="BB36" s="50"/>
      <c r="BC36" s="554"/>
      <c r="BD36" s="129"/>
      <c r="BE36" s="129"/>
      <c r="BF36" s="129"/>
      <c r="BG36" s="129"/>
      <c r="BH36" s="129"/>
      <c r="BI36" s="184">
        <v>0</v>
      </c>
    </row>
    <row r="37" s="184" customFormat="1" ht="18.75" customHeight="1">
      <c r="A37" s="151"/>
      <c r="B37" s="151"/>
      <c r="C37" s="151"/>
      <c r="D37" s="151"/>
      <c r="E37" s="151"/>
      <c r="F37" s="151"/>
      <c r="G37" s="151"/>
      <c r="H37" s="151"/>
      <c r="I37" s="151"/>
      <c r="J37" s="151"/>
      <c r="K37" s="151"/>
      <c r="L37" s="490"/>
      <c r="M37" s="151"/>
      <c r="N37" s="151"/>
      <c r="O37" s="151"/>
      <c r="P37" s="151"/>
      <c r="Q37" s="151"/>
      <c r="S37" s="551" t="s">
        <v>426</v>
      </c>
      <c r="T37" s="551"/>
      <c r="U37" s="552"/>
      <c r="V37" s="553" t="str">
        <f>IF(TITLE_NUMBER_PR_CHANGE="",IF(TITLE_NUMBER_PR="","",TITLE_NUMBER_PR),TITLE_NUMBER_PR_CHANGE)</f>
        <v>Исх-260/1397</v>
      </c>
      <c r="W37" s="553"/>
      <c r="X37" s="553"/>
      <c r="Y37" s="553"/>
      <c r="Z37" s="553"/>
      <c r="AA37" s="553"/>
      <c r="AB37" s="553"/>
      <c r="AC37" s="50"/>
      <c r="AD37" s="553" t="str">
        <f>IF(TITLE_NUMBER_PR_CHANGE="",IF(TITLE_NUMBER_PR="","",TITLE_NUMBER_PR),TITLE_NUMBER_PR_CHANGE)</f>
        <v>Исх-260/1397</v>
      </c>
      <c r="AE37" s="553"/>
      <c r="AF37" s="553"/>
      <c r="AG37" s="553"/>
      <c r="AH37" s="553"/>
      <c r="AI37" s="553"/>
      <c r="AJ37" s="553"/>
      <c r="AK37" s="553"/>
      <c r="AL37" s="553"/>
      <c r="AM37" s="553"/>
      <c r="AN37" s="553"/>
      <c r="AO37" s="553"/>
      <c r="AP37" s="553"/>
      <c r="AQ37" s="553"/>
      <c r="AR37" s="553"/>
      <c r="AS37" s="553"/>
      <c r="AT37" s="553"/>
      <c r="AU37" s="553"/>
      <c r="AV37" s="553"/>
      <c r="AW37" s="553"/>
      <c r="AX37" s="553"/>
      <c r="AY37" s="553"/>
      <c r="AZ37" s="553"/>
      <c r="BA37" s="50"/>
      <c r="BB37" s="50"/>
      <c r="BC37" s="554"/>
      <c r="BD37" s="129"/>
      <c r="BE37" s="129"/>
      <c r="BF37" s="129"/>
      <c r="BG37" s="129"/>
      <c r="BH37" s="129"/>
      <c r="BI37" s="184">
        <v>0</v>
      </c>
    </row>
    <row r="38" s="184" customFormat="1" ht="0" customHeight="1">
      <c r="A38" s="151"/>
      <c r="B38" s="151"/>
      <c r="C38" s="151"/>
      <c r="D38" s="151"/>
      <c r="E38" s="151"/>
      <c r="F38" s="151"/>
      <c r="G38" s="151"/>
      <c r="H38" s="151"/>
      <c r="I38" s="151"/>
      <c r="J38" s="151"/>
      <c r="K38" s="151"/>
      <c r="L38" s="490"/>
      <c r="M38" s="151"/>
      <c r="N38" s="151"/>
      <c r="O38" s="151"/>
      <c r="P38" s="151"/>
      <c r="Q38" s="151"/>
      <c r="S38" s="50"/>
      <c r="T38" s="50"/>
      <c r="U38" s="140"/>
      <c r="V38" s="50"/>
      <c r="W38" s="50"/>
      <c r="X38" s="50"/>
      <c r="Y38" s="50"/>
      <c r="Z38" s="50"/>
      <c r="AA38" s="50"/>
      <c r="AB38" s="50"/>
      <c r="AC38" s="57" t="s">
        <v>429</v>
      </c>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7" t="s">
        <v>429</v>
      </c>
      <c r="BD38" s="129"/>
      <c r="BE38" s="129"/>
      <c r="BF38" s="129"/>
      <c r="BG38" s="129"/>
      <c r="BH38" s="129"/>
      <c r="BI38" s="184">
        <v>0</v>
      </c>
    </row>
    <row r="39" ht="14.65" customHeight="1">
      <c r="Q39" s="668"/>
      <c r="R39" s="548"/>
      <c r="S39" s="549"/>
      <c r="T39" s="91"/>
      <c r="U39" s="556"/>
      <c r="V39" s="557"/>
      <c r="W39" s="557"/>
      <c r="X39" s="557"/>
      <c r="Y39" s="557"/>
      <c r="Z39" s="557"/>
      <c r="AA39" s="557"/>
      <c r="AB39" s="557"/>
      <c r="AC39" s="557"/>
      <c r="AD39" s="557"/>
      <c r="AE39" s="557"/>
      <c r="AF39" s="557"/>
      <c r="AG39" s="557"/>
      <c r="AH39" s="557"/>
      <c r="AI39" s="557"/>
      <c r="AJ39" s="557"/>
      <c r="AK39" s="557"/>
      <c r="AL39" s="557"/>
      <c r="AM39" s="557"/>
      <c r="AN39" s="557"/>
      <c r="AO39" s="557"/>
      <c r="AP39" s="557"/>
      <c r="AQ39" s="557"/>
      <c r="AR39" s="557"/>
      <c r="AS39" s="557"/>
      <c r="AT39" s="557"/>
      <c r="AU39" s="557"/>
      <c r="AV39" s="557"/>
      <c r="AW39" s="557"/>
      <c r="AX39" s="557"/>
      <c r="AY39" s="557"/>
      <c r="AZ39" s="557"/>
      <c r="BA39" s="557"/>
      <c r="BI39" s="50">
        <v>14</v>
      </c>
    </row>
    <row r="40" ht="14.65" customHeight="1">
      <c r="Q40" s="668"/>
      <c r="R40" s="548"/>
      <c r="S40" s="157" t="s">
        <v>305</v>
      </c>
      <c r="T40" s="157"/>
      <c r="U40" s="157"/>
      <c r="V40" s="157"/>
      <c r="W40" s="157"/>
      <c r="X40" s="157"/>
      <c r="Y40" s="157"/>
      <c r="Z40" s="157"/>
      <c r="AA40" s="157"/>
      <c r="AB40" s="157"/>
      <c r="AC40" s="157"/>
      <c r="AD40" s="157"/>
      <c r="AE40" s="157"/>
      <c r="AF40" s="157"/>
      <c r="AG40" s="157"/>
      <c r="AH40" s="157"/>
      <c r="AI40" s="157"/>
      <c r="AJ40" s="157"/>
      <c r="AK40" s="157"/>
      <c r="AL40" s="157"/>
      <c r="AM40" s="157"/>
      <c r="AN40" s="157"/>
      <c r="AO40" s="157"/>
      <c r="AP40" s="157"/>
      <c r="AQ40" s="157"/>
      <c r="AR40" s="157"/>
      <c r="AS40" s="157"/>
      <c r="AT40" s="157"/>
      <c r="AU40" s="157"/>
      <c r="AV40" s="157"/>
      <c r="AW40" s="157"/>
      <c r="AX40" s="157"/>
      <c r="AY40" s="157"/>
      <c r="AZ40" s="157"/>
      <c r="BA40" s="157"/>
      <c r="BB40" s="157"/>
      <c r="BC40" s="157" t="s">
        <v>306</v>
      </c>
      <c r="BI40" s="50">
        <v>14</v>
      </c>
    </row>
    <row r="41" ht="14.65" customHeight="1">
      <c r="Q41" s="668"/>
      <c r="R41" s="548"/>
      <c r="S41" s="493" t="s">
        <v>89</v>
      </c>
      <c r="T41" s="358" t="s">
        <v>511</v>
      </c>
      <c r="U41" s="558"/>
      <c r="V41" s="559" t="s">
        <v>431</v>
      </c>
      <c r="W41" s="560"/>
      <c r="X41" s="560"/>
      <c r="Y41" s="560"/>
      <c r="Z41" s="560"/>
      <c r="AA41" s="560"/>
      <c r="AB41" s="561"/>
      <c r="AC41" s="562" t="s">
        <v>432</v>
      </c>
      <c r="AD41" s="670" t="s">
        <v>512</v>
      </c>
      <c r="AE41" s="593"/>
      <c r="AF41" s="593"/>
      <c r="AG41" s="671"/>
      <c r="AH41" s="670" t="s">
        <v>513</v>
      </c>
      <c r="AI41" s="593"/>
      <c r="AJ41" s="593"/>
      <c r="AK41" s="671"/>
      <c r="AL41" s="670" t="s">
        <v>514</v>
      </c>
      <c r="AM41" s="593"/>
      <c r="AN41" s="593"/>
      <c r="AO41" s="671"/>
      <c r="AP41" s="670" t="s">
        <v>515</v>
      </c>
      <c r="AQ41" s="593"/>
      <c r="AR41" s="593"/>
      <c r="AS41" s="671"/>
      <c r="AT41" s="559" t="s">
        <v>431</v>
      </c>
      <c r="AU41" s="560"/>
      <c r="AV41" s="560"/>
      <c r="AW41" s="560"/>
      <c r="AX41" s="560"/>
      <c r="AY41" s="560"/>
      <c r="AZ41" s="561"/>
      <c r="BA41" s="562" t="s">
        <v>432</v>
      </c>
      <c r="BB41" s="563" t="s">
        <v>434</v>
      </c>
      <c r="BC41" s="157"/>
      <c r="BI41" s="50">
        <v>14</v>
      </c>
    </row>
    <row r="42" ht="35.649999999999999" customHeight="1">
      <c r="Q42" s="668"/>
      <c r="R42" s="548"/>
      <c r="S42" s="493"/>
      <c r="T42" s="358"/>
      <c r="U42" s="564"/>
      <c r="V42" s="317" t="s">
        <v>516</v>
      </c>
      <c r="W42" s="318"/>
      <c r="X42" s="317" t="s">
        <v>517</v>
      </c>
      <c r="Y42" s="318"/>
      <c r="Z42" s="317" t="s">
        <v>518</v>
      </c>
      <c r="AA42" s="635"/>
      <c r="AB42" s="318"/>
      <c r="AC42" s="566"/>
      <c r="AD42" s="673"/>
      <c r="AE42" s="674"/>
      <c r="AF42" s="674"/>
      <c r="AG42" s="675"/>
      <c r="AH42" s="673"/>
      <c r="AI42" s="674"/>
      <c r="AJ42" s="674"/>
      <c r="AK42" s="675"/>
      <c r="AL42" s="673"/>
      <c r="AM42" s="674"/>
      <c r="AN42" s="674"/>
      <c r="AO42" s="675"/>
      <c r="AP42" s="673"/>
      <c r="AQ42" s="674"/>
      <c r="AR42" s="674"/>
      <c r="AS42" s="675"/>
      <c r="AT42" s="317" t="s">
        <v>516</v>
      </c>
      <c r="AU42" s="318"/>
      <c r="AV42" s="317" t="s">
        <v>517</v>
      </c>
      <c r="AW42" s="318"/>
      <c r="AX42" s="317" t="s">
        <v>518</v>
      </c>
      <c r="AY42" s="635"/>
      <c r="AZ42" s="318"/>
      <c r="BA42" s="566"/>
      <c r="BB42" s="567"/>
      <c r="BC42" s="157"/>
      <c r="BI42" s="50">
        <v>34</v>
      </c>
    </row>
    <row r="43" ht="14.65" customHeight="1">
      <c r="Q43" s="668"/>
      <c r="R43" s="548"/>
      <c r="S43" s="493"/>
      <c r="T43" s="358"/>
      <c r="U43" s="564"/>
      <c r="V43" s="323"/>
      <c r="W43" s="324"/>
      <c r="X43" s="323"/>
      <c r="Y43" s="324"/>
      <c r="Z43" s="323"/>
      <c r="AA43" s="636"/>
      <c r="AB43" s="324"/>
      <c r="AC43" s="566"/>
      <c r="AD43" s="673"/>
      <c r="AE43" s="674"/>
      <c r="AF43" s="674"/>
      <c r="AG43" s="675"/>
      <c r="AH43" s="673"/>
      <c r="AI43" s="674"/>
      <c r="AJ43" s="674"/>
      <c r="AK43" s="675"/>
      <c r="AL43" s="673"/>
      <c r="AM43" s="674"/>
      <c r="AN43" s="674"/>
      <c r="AO43" s="675"/>
      <c r="AP43" s="673"/>
      <c r="AQ43" s="674"/>
      <c r="AR43" s="674"/>
      <c r="AS43" s="675"/>
      <c r="AT43" s="323"/>
      <c r="AU43" s="324"/>
      <c r="AV43" s="323"/>
      <c r="AW43" s="324"/>
      <c r="AX43" s="323"/>
      <c r="AY43" s="636"/>
      <c r="AZ43" s="324"/>
      <c r="BA43" s="566"/>
      <c r="BB43" s="567"/>
      <c r="BC43" s="157"/>
      <c r="BI43" s="50">
        <v>14</v>
      </c>
    </row>
    <row r="44" ht="14.65" customHeight="1">
      <c r="A44" s="151"/>
      <c r="B44" s="151" t="s">
        <v>135</v>
      </c>
      <c r="C44" s="151" t="s">
        <v>136</v>
      </c>
      <c r="D44" s="151" t="s">
        <v>137</v>
      </c>
      <c r="E44" s="490" t="s">
        <v>439</v>
      </c>
      <c r="F44" s="490" t="s">
        <v>440</v>
      </c>
      <c r="G44" s="490" t="s">
        <v>441</v>
      </c>
      <c r="H44" s="490" t="s">
        <v>442</v>
      </c>
      <c r="I44" s="490" t="s">
        <v>443</v>
      </c>
      <c r="J44" s="490" t="s">
        <v>444</v>
      </c>
      <c r="K44" s="490" t="s">
        <v>445</v>
      </c>
      <c r="L44" s="490" t="s">
        <v>420</v>
      </c>
      <c r="Q44" s="668"/>
      <c r="R44" s="548"/>
      <c r="S44" s="493"/>
      <c r="T44" s="358"/>
      <c r="U44" s="568"/>
      <c r="V44" s="358" t="s">
        <v>479</v>
      </c>
      <c r="W44" s="358" t="s">
        <v>480</v>
      </c>
      <c r="X44" s="358" t="s">
        <v>479</v>
      </c>
      <c r="Y44" s="358" t="s">
        <v>480</v>
      </c>
      <c r="Z44" s="246" t="s">
        <v>448</v>
      </c>
      <c r="AA44" s="424" t="s">
        <v>449</v>
      </c>
      <c r="AB44" s="426"/>
      <c r="AC44" s="570"/>
      <c r="AD44" s="679"/>
      <c r="AE44" s="680"/>
      <c r="AF44" s="680"/>
      <c r="AG44" s="681"/>
      <c r="AH44" s="679"/>
      <c r="AI44" s="680"/>
      <c r="AJ44" s="680"/>
      <c r="AK44" s="681"/>
      <c r="AL44" s="679"/>
      <c r="AM44" s="680"/>
      <c r="AN44" s="680"/>
      <c r="AO44" s="681"/>
      <c r="AP44" s="679"/>
      <c r="AQ44" s="680"/>
      <c r="AR44" s="680"/>
      <c r="AS44" s="681"/>
      <c r="AT44" s="358" t="s">
        <v>479</v>
      </c>
      <c r="AU44" s="358" t="s">
        <v>480</v>
      </c>
      <c r="AV44" s="358" t="s">
        <v>479</v>
      </c>
      <c r="AW44" s="358" t="s">
        <v>480</v>
      </c>
      <c r="AX44" s="246" t="s">
        <v>448</v>
      </c>
      <c r="AY44" s="424" t="s">
        <v>449</v>
      </c>
      <c r="AZ44" s="426"/>
      <c r="BA44" s="570"/>
      <c r="BB44" s="571"/>
      <c r="BC44" s="157"/>
      <c r="BI44" s="50">
        <v>14</v>
      </c>
    </row>
    <row r="45" s="131" customFormat="1" ht="11.25" hidden="1" customHeight="1">
      <c r="A45" s="151"/>
      <c r="B45" s="151"/>
      <c r="C45" s="151"/>
      <c r="D45" s="151"/>
      <c r="E45" s="151"/>
      <c r="F45" s="151"/>
      <c r="G45" s="151"/>
      <c r="H45" s="151"/>
      <c r="I45" s="151"/>
      <c r="J45" s="151"/>
      <c r="K45" s="151"/>
      <c r="L45" s="490"/>
      <c r="M45" s="61"/>
      <c r="N45" s="61"/>
      <c r="O45" s="61"/>
      <c r="P45" s="605"/>
      <c r="Q45" s="574"/>
      <c r="R45" s="574">
        <v>1</v>
      </c>
      <c r="S45" s="575" t="s">
        <v>109</v>
      </c>
      <c r="T45" s="576" t="s">
        <v>110</v>
      </c>
      <c r="U45" s="577" t="str">
        <f ca="1">OFFSET(U45,0,-1)</f>
        <v>2</v>
      </c>
      <c r="V45" s="578">
        <f ca="1">OFFSET(V45,0,-1)+1</f>
        <v>3</v>
      </c>
      <c r="W45" s="578">
        <f ca="1">OFFSET(W45,0,-1)+1</f>
        <v>4</v>
      </c>
      <c r="X45" s="578">
        <f ca="1">OFFSET(X45,0,-1)+1</f>
        <v>5</v>
      </c>
      <c r="Y45" s="578">
        <f ca="1">OFFSET(Y45,0,-1)+1</f>
        <v>6</v>
      </c>
      <c r="Z45" s="578">
        <f ca="1">OFFSET(Z45,0,-1)+1</f>
        <v>7</v>
      </c>
      <c r="AA45" s="578">
        <f ca="1">OFFSET(AA45,0,-1)+1</f>
        <v>8</v>
      </c>
      <c r="AB45" s="578"/>
      <c r="AC45" s="578">
        <f ca="1">OFFSET(AC45,0,-2)+1</f>
        <v>9</v>
      </c>
      <c r="AD45" s="578">
        <f ca="1">OFFSET(AD45,0,-1)+1</f>
        <v>10</v>
      </c>
      <c r="AE45" s="578"/>
      <c r="AF45" s="578"/>
      <c r="AG45" s="578"/>
      <c r="AH45" s="578"/>
      <c r="AI45" s="578"/>
      <c r="AJ45" s="578"/>
      <c r="AK45" s="578"/>
      <c r="AL45" s="578"/>
      <c r="AM45" s="578"/>
      <c r="AN45" s="578"/>
      <c r="AO45" s="578"/>
      <c r="AP45" s="578"/>
      <c r="AQ45" s="578"/>
      <c r="AR45" s="578"/>
      <c r="AS45" s="578"/>
      <c r="AT45" s="578"/>
      <c r="AU45" s="578"/>
      <c r="AV45" s="578"/>
      <c r="AW45" s="578">
        <f ca="1">OFFSET(AW45,0,-1)+1</f>
        <v>1</v>
      </c>
      <c r="AX45" s="578">
        <f ca="1">OFFSET(AX45,0,-1)+1</f>
        <v>2</v>
      </c>
      <c r="AY45" s="578">
        <f ca="1">OFFSET(AY45,0,-1)+1</f>
        <v>3</v>
      </c>
      <c r="AZ45" s="578"/>
      <c r="BA45" s="578">
        <f ca="1">OFFSET(BA45,0,-2)+1</f>
        <v>4</v>
      </c>
      <c r="BB45" s="577">
        <f ca="1">OFFSET(BB45,0,-1)</f>
        <v>4</v>
      </c>
      <c r="BC45" s="578">
        <f ca="1">OFFSET(BC45,0,-1)+1</f>
        <v>5</v>
      </c>
      <c r="BD45" s="57"/>
      <c r="BE45" s="57"/>
      <c r="BF45" s="57"/>
      <c r="BG45" s="57"/>
      <c r="BH45" s="57"/>
      <c r="BI45" s="131">
        <v>0</v>
      </c>
    </row>
    <row r="46" ht="22" customHeight="1">
      <c r="A46" s="488" t="s">
        <v>251</v>
      </c>
      <c r="B46" s="488"/>
      <c r="C46" s="488"/>
      <c r="D46" s="488"/>
      <c r="E46" s="489">
        <v>1</v>
      </c>
      <c r="F46" s="488"/>
      <c r="G46" s="488"/>
      <c r="H46" s="488"/>
      <c r="I46" s="488"/>
      <c r="J46" s="488"/>
      <c r="K46" s="488"/>
      <c r="L46" s="490"/>
      <c r="M46" s="491"/>
      <c r="N46" s="491"/>
      <c r="O46" s="491"/>
      <c r="P46" s="61"/>
      <c r="Q46" s="64"/>
      <c r="R46" s="492"/>
      <c r="S46" s="493">
        <f>INDEX(PT_DIFFERENTIATION_NUM_NTAR,MATCH(A46,PT_DIFFERENTIATION_NTAR_ID,0))</f>
        <v>0</v>
      </c>
      <c r="T46" s="494" t="s">
        <v>123</v>
      </c>
      <c r="U46" s="495"/>
      <c r="V46" s="497"/>
      <c r="W46" s="497"/>
      <c r="X46" s="497"/>
      <c r="Y46" s="497"/>
      <c r="Z46" s="497"/>
      <c r="AA46" s="497"/>
      <c r="AB46" s="497"/>
      <c r="AC46" s="498"/>
      <c r="AD46" s="496" t="str">
        <f>INDEX(PT_DIFFERENTIATION_NTAR,MATCH(A46,PT_DIFFERENTIATION_NTAR_ID,0))</f>
        <v/>
      </c>
      <c r="AE46" s="497"/>
      <c r="AF46" s="497"/>
      <c r="AG46" s="497"/>
      <c r="AH46" s="497"/>
      <c r="AI46" s="497"/>
      <c r="AJ46" s="497"/>
      <c r="AK46" s="497"/>
      <c r="AL46" s="497"/>
      <c r="AM46" s="497"/>
      <c r="AN46" s="497"/>
      <c r="AO46" s="497"/>
      <c r="AP46" s="497"/>
      <c r="AQ46" s="497"/>
      <c r="AR46" s="497"/>
      <c r="AS46" s="497"/>
      <c r="AT46" s="497"/>
      <c r="AU46" s="497"/>
      <c r="AV46" s="497"/>
      <c r="AW46" s="497"/>
      <c r="AX46" s="497"/>
      <c r="AY46" s="497"/>
      <c r="AZ46" s="497"/>
      <c r="BA46" s="497"/>
      <c r="BB46" s="498"/>
      <c r="BC46" s="4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129"/>
      <c r="BF46" s="129" t="str">
        <f t="shared" si="34"/>
        <v xml:space="preserve">Наименование тарифа</v>
      </c>
      <c r="BG46" s="129"/>
      <c r="BH46" s="129"/>
      <c r="BI46" s="50">
        <v>21</v>
      </c>
    </row>
    <row r="47" ht="22" customHeight="1">
      <c r="A47" s="488" t="s">
        <v>251</v>
      </c>
      <c r="B47" s="488" t="s">
        <v>252</v>
      </c>
      <c r="C47" s="488"/>
      <c r="D47" s="488"/>
      <c r="E47" s="500"/>
      <c r="F47" s="489">
        <v>1</v>
      </c>
      <c r="G47" s="488"/>
      <c r="H47" s="488"/>
      <c r="I47" s="488"/>
      <c r="J47" s="488"/>
      <c r="K47" s="488"/>
      <c r="L47" s="490"/>
      <c r="M47" s="491"/>
      <c r="N47" s="491"/>
      <c r="O47" s="491"/>
      <c r="P47" s="113"/>
      <c r="Q47" s="638"/>
      <c r="R47" s="502"/>
      <c r="S47" s="493" t="str">
        <f>INDEX(PT_DIFFERENTIATION_NUM_TER,MATCH(B47,PT_DIFFERENTIATION_TER_ID,0))</f>
        <v>.</v>
      </c>
      <c r="T47" s="503" t="s">
        <v>402</v>
      </c>
      <c r="U47" s="495"/>
      <c r="V47" s="497"/>
      <c r="W47" s="497"/>
      <c r="X47" s="497"/>
      <c r="Y47" s="497"/>
      <c r="Z47" s="497"/>
      <c r="AA47" s="497"/>
      <c r="AB47" s="497"/>
      <c r="AC47" s="498"/>
      <c r="AD47" s="496" t="str">
        <f>INDEX(PT_DIFFERENTIATION_TER,MATCH(B47,PT_DIFFERENTIATION_TER_ID,0))</f>
        <v/>
      </c>
      <c r="AE47" s="497"/>
      <c r="AF47" s="497"/>
      <c r="AG47" s="497"/>
      <c r="AH47" s="497"/>
      <c r="AI47" s="497"/>
      <c r="AJ47" s="497"/>
      <c r="AK47" s="497"/>
      <c r="AL47" s="497"/>
      <c r="AM47" s="497"/>
      <c r="AN47" s="497"/>
      <c r="AO47" s="497"/>
      <c r="AP47" s="497"/>
      <c r="AQ47" s="497"/>
      <c r="AR47" s="497"/>
      <c r="AS47" s="497"/>
      <c r="AT47" s="497"/>
      <c r="AU47" s="497"/>
      <c r="AV47" s="497"/>
      <c r="AW47" s="497"/>
      <c r="AX47" s="497"/>
      <c r="AY47" s="497"/>
      <c r="AZ47" s="497"/>
      <c r="BA47" s="497"/>
      <c r="BB47" s="498"/>
      <c r="BC47" s="499" t="s">
        <v>403</v>
      </c>
      <c r="BE47" s="129"/>
      <c r="BF47" s="129" t="str">
        <f t="shared" si="34"/>
        <v xml:space="preserve">Территория действия тарифа</v>
      </c>
      <c r="BG47" s="129"/>
      <c r="BH47" s="129"/>
      <c r="BI47" s="50">
        <v>21</v>
      </c>
    </row>
    <row r="48" ht="43.049999999999997" customHeight="1">
      <c r="A48" s="488" t="s">
        <v>251</v>
      </c>
      <c r="B48" s="488" t="s">
        <v>252</v>
      </c>
      <c r="C48" s="488" t="s">
        <v>253</v>
      </c>
      <c r="D48" s="488"/>
      <c r="E48" s="500"/>
      <c r="F48" s="500"/>
      <c r="G48" s="489">
        <v>1</v>
      </c>
      <c r="H48" s="488"/>
      <c r="I48" s="488"/>
      <c r="J48" s="488"/>
      <c r="K48" s="488"/>
      <c r="L48" s="490"/>
      <c r="M48" s="491"/>
      <c r="N48" s="491"/>
      <c r="O48" s="491"/>
      <c r="P48" s="135"/>
      <c r="Q48" s="638"/>
      <c r="R48" s="502"/>
      <c r="S48" s="493" t="str">
        <f>INDEX(PT_DIFFERENTIATION_NUM_CS,MATCH(C48,PT_DIFFERENTIATION_CS_ID,0))</f>
        <v>..</v>
      </c>
      <c r="T48" s="505" t="s">
        <v>482</v>
      </c>
      <c r="U48" s="495"/>
      <c r="V48" s="497"/>
      <c r="W48" s="497"/>
      <c r="X48" s="497"/>
      <c r="Y48" s="497"/>
      <c r="Z48" s="497"/>
      <c r="AA48" s="497"/>
      <c r="AB48" s="497"/>
      <c r="AC48" s="498"/>
      <c r="AD48" s="496" t="str">
        <f>INDEX(PT_DIFFERENTIATION_CS,MATCH(C48,PT_DIFFERENTIATION_CS_ID,0))</f>
        <v/>
      </c>
      <c r="AE48" s="497"/>
      <c r="AF48" s="497"/>
      <c r="AG48" s="497"/>
      <c r="AH48" s="497"/>
      <c r="AI48" s="497"/>
      <c r="AJ48" s="497"/>
      <c r="AK48" s="497"/>
      <c r="AL48" s="497"/>
      <c r="AM48" s="497"/>
      <c r="AN48" s="497"/>
      <c r="AO48" s="497"/>
      <c r="AP48" s="497"/>
      <c r="AQ48" s="497"/>
      <c r="AR48" s="497"/>
      <c r="AS48" s="497"/>
      <c r="AT48" s="497"/>
      <c r="AU48" s="497"/>
      <c r="AV48" s="497"/>
      <c r="AW48" s="497"/>
      <c r="AX48" s="497"/>
      <c r="AY48" s="497"/>
      <c r="AZ48" s="497"/>
      <c r="BA48" s="497"/>
      <c r="BB48" s="498"/>
      <c r="BC48" s="499" t="s">
        <v>483</v>
      </c>
      <c r="BE48" s="129"/>
      <c r="BF48" s="129" t="str">
        <f t="shared" si="34"/>
        <v xml:space="preserve">Наименование централизованной системы холодного водоснабжения</v>
      </c>
      <c r="BG48" s="129"/>
      <c r="BH48" s="129"/>
      <c r="BI48" s="50">
        <v>41</v>
      </c>
    </row>
    <row r="49" s="57" customFormat="1" ht="0" customHeight="1">
      <c r="A49" s="133" t="s">
        <v>251</v>
      </c>
      <c r="B49" s="133" t="s">
        <v>252</v>
      </c>
      <c r="C49" s="133" t="s">
        <v>253</v>
      </c>
      <c r="D49" s="133" t="s">
        <v>519</v>
      </c>
      <c r="E49" s="500"/>
      <c r="F49" s="500"/>
      <c r="G49" s="500"/>
      <c r="H49" s="489">
        <v>1</v>
      </c>
      <c r="I49" s="133"/>
      <c r="J49" s="133"/>
      <c r="K49" s="133"/>
      <c r="L49" s="212"/>
      <c r="M49" s="473"/>
      <c r="N49" s="473"/>
      <c r="O49" s="473"/>
      <c r="P49" s="704"/>
      <c r="Q49" s="705"/>
      <c r="R49" s="513"/>
      <c r="S49" s="362"/>
      <c r="T49" s="706"/>
      <c r="U49" s="596"/>
      <c r="V49" s="598"/>
      <c r="W49" s="598"/>
      <c r="X49" s="598"/>
      <c r="Y49" s="598"/>
      <c r="Z49" s="598"/>
      <c r="AA49" s="598"/>
      <c r="AB49" s="598"/>
      <c r="AC49" s="599"/>
      <c r="AD49" s="597"/>
      <c r="AE49" s="598"/>
      <c r="AF49" s="598"/>
      <c r="AG49" s="598"/>
      <c r="AH49" s="598"/>
      <c r="AI49" s="598"/>
      <c r="AJ49" s="598"/>
      <c r="AK49" s="598"/>
      <c r="AL49" s="598"/>
      <c r="AM49" s="598"/>
      <c r="AN49" s="598"/>
      <c r="AO49" s="598"/>
      <c r="AP49" s="598"/>
      <c r="AQ49" s="598"/>
      <c r="AR49" s="598"/>
      <c r="AS49" s="598"/>
      <c r="AT49" s="598"/>
      <c r="AU49" s="598"/>
      <c r="AV49" s="598"/>
      <c r="AW49" s="598"/>
      <c r="AX49" s="598"/>
      <c r="AY49" s="598"/>
      <c r="AZ49" s="598"/>
      <c r="BA49" s="598"/>
      <c r="BB49" s="599"/>
      <c r="BC49" s="600" t="s">
        <v>407</v>
      </c>
      <c r="BE49" s="129"/>
      <c r="BF49" s="129" t="str">
        <f t="shared" si="34"/>
        <v/>
      </c>
      <c r="BG49" s="129"/>
      <c r="BH49" s="129"/>
      <c r="BI49" s="57">
        <v>0</v>
      </c>
    </row>
    <row r="50" s="57" customFormat="1" ht="0" customHeight="1">
      <c r="A50" s="133" t="s">
        <v>251</v>
      </c>
      <c r="B50" s="133" t="s">
        <v>252</v>
      </c>
      <c r="C50" s="133" t="s">
        <v>253</v>
      </c>
      <c r="D50" s="133" t="s">
        <v>519</v>
      </c>
      <c r="E50" s="500"/>
      <c r="F50" s="500"/>
      <c r="G50" s="500"/>
      <c r="H50" s="500"/>
      <c r="I50" s="507" t="str">
        <f>S49&amp;".1"</f>
        <v>.1</v>
      </c>
      <c r="J50" s="133"/>
      <c r="K50" s="133"/>
      <c r="L50" s="212" t="s">
        <v>408</v>
      </c>
      <c r="M50" s="605"/>
      <c r="N50" s="605"/>
      <c r="O50" s="605"/>
      <c r="P50" s="132">
        <v>1</v>
      </c>
      <c r="Q50" s="132"/>
      <c r="R50" s="508"/>
      <c r="S50" s="362"/>
      <c r="T50" s="595"/>
      <c r="U50" s="596"/>
      <c r="V50" s="598"/>
      <c r="W50" s="598"/>
      <c r="X50" s="598"/>
      <c r="Y50" s="598"/>
      <c r="Z50" s="598"/>
      <c r="AA50" s="598"/>
      <c r="AB50" s="598"/>
      <c r="AC50" s="599"/>
      <c r="AD50" s="597"/>
      <c r="AE50" s="598"/>
      <c r="AF50" s="598"/>
      <c r="AG50" s="598"/>
      <c r="AH50" s="598"/>
      <c r="AI50" s="598"/>
      <c r="AJ50" s="598"/>
      <c r="AK50" s="598"/>
      <c r="AL50" s="598"/>
      <c r="AM50" s="598"/>
      <c r="AN50" s="598"/>
      <c r="AO50" s="598"/>
      <c r="AP50" s="598"/>
      <c r="AQ50" s="598"/>
      <c r="AR50" s="598"/>
      <c r="AS50" s="598"/>
      <c r="AT50" s="598"/>
      <c r="AU50" s="598"/>
      <c r="AV50" s="598"/>
      <c r="AW50" s="598"/>
      <c r="AX50" s="598"/>
      <c r="AY50" s="598"/>
      <c r="AZ50" s="598"/>
      <c r="BA50" s="598"/>
      <c r="BB50" s="599"/>
      <c r="BC50" s="600"/>
      <c r="BE50" s="129"/>
      <c r="BF50" s="129" t="str">
        <f t="shared" si="34"/>
        <v/>
      </c>
      <c r="BG50" s="129"/>
      <c r="BH50" s="129"/>
      <c r="BI50" s="57">
        <v>0</v>
      </c>
    </row>
    <row r="51" s="57" customFormat="1" ht="0" customHeight="1">
      <c r="A51" s="133" t="s">
        <v>251</v>
      </c>
      <c r="B51" s="133" t="s">
        <v>252</v>
      </c>
      <c r="C51" s="133" t="s">
        <v>253</v>
      </c>
      <c r="D51" s="133" t="s">
        <v>519</v>
      </c>
      <c r="E51" s="500"/>
      <c r="F51" s="500"/>
      <c r="G51" s="500"/>
      <c r="H51" s="500"/>
      <c r="I51" s="512"/>
      <c r="J51" s="507" t="str">
        <f>S49&amp;".1"</f>
        <v>.1</v>
      </c>
      <c r="K51" s="133"/>
      <c r="L51" s="212"/>
      <c r="M51" s="605"/>
      <c r="N51" s="605"/>
      <c r="O51" s="605"/>
      <c r="P51" s="132"/>
      <c r="Q51" s="132">
        <v>1</v>
      </c>
      <c r="R51" s="513"/>
      <c r="S51" s="362"/>
      <c r="T51" s="639"/>
      <c r="U51" s="596"/>
      <c r="V51" s="598"/>
      <c r="W51" s="598"/>
      <c r="X51" s="598"/>
      <c r="Y51" s="598"/>
      <c r="Z51" s="598"/>
      <c r="AA51" s="598"/>
      <c r="AB51" s="598"/>
      <c r="AC51" s="599"/>
      <c r="AD51" s="597"/>
      <c r="AE51" s="598"/>
      <c r="AF51" s="598"/>
      <c r="AG51" s="598"/>
      <c r="AH51" s="598"/>
      <c r="AI51" s="598"/>
      <c r="AJ51" s="598"/>
      <c r="AK51" s="598"/>
      <c r="AL51" s="598"/>
      <c r="AM51" s="598"/>
      <c r="AN51" s="713"/>
      <c r="AO51" s="713"/>
      <c r="AP51" s="598"/>
      <c r="AQ51" s="598"/>
      <c r="AR51" s="598"/>
      <c r="AS51" s="598"/>
      <c r="AT51" s="598"/>
      <c r="AU51" s="598"/>
      <c r="AV51" s="598"/>
      <c r="AW51" s="598"/>
      <c r="AX51" s="598"/>
      <c r="AY51" s="598"/>
      <c r="AZ51" s="598"/>
      <c r="BA51" s="598"/>
      <c r="BB51" s="599"/>
      <c r="BC51" s="600"/>
      <c r="BE51" s="129"/>
      <c r="BF51" s="129" t="str">
        <f t="shared" si="34"/>
        <v/>
      </c>
      <c r="BG51" s="129"/>
      <c r="BH51" s="129"/>
      <c r="BI51" s="57">
        <v>0</v>
      </c>
    </row>
    <row r="52" ht="11.5" customHeight="1">
      <c r="A52" s="488" t="s">
        <v>251</v>
      </c>
      <c r="B52" s="488" t="s">
        <v>252</v>
      </c>
      <c r="C52" s="488" t="s">
        <v>253</v>
      </c>
      <c r="D52" s="488" t="s">
        <v>519</v>
      </c>
      <c r="E52" s="500"/>
      <c r="F52" s="500"/>
      <c r="G52" s="500"/>
      <c r="H52" s="500"/>
      <c r="I52" s="512"/>
      <c r="J52" s="512"/>
      <c r="K52" s="507" t="str">
        <f>S48&amp;".1"</f>
        <v>...1</v>
      </c>
      <c r="L52" s="490"/>
      <c r="P52" s="132"/>
      <c r="Q52" s="132"/>
      <c r="R52" s="513">
        <v>1</v>
      </c>
      <c r="S52" s="607" t="str">
        <f>$K52</f>
        <v>...1</v>
      </c>
      <c r="T52" s="698"/>
      <c r="U52" s="495"/>
      <c r="V52" s="516"/>
      <c r="W52" s="518"/>
      <c r="X52" s="516"/>
      <c r="Y52" s="518"/>
      <c r="Z52" s="519"/>
      <c r="AA52" s="224" t="s">
        <v>67</v>
      </c>
      <c r="AB52" s="519"/>
      <c r="AC52" s="224" t="s">
        <v>67</v>
      </c>
      <c r="AD52" s="292" t="s">
        <v>67</v>
      </c>
      <c r="AE52" s="642"/>
      <c r="AF52" s="356">
        <v>1</v>
      </c>
      <c r="AG52" s="699"/>
      <c r="AH52" s="224" t="s">
        <v>67</v>
      </c>
      <c r="AI52" s="642"/>
      <c r="AJ52" s="356">
        <v>1</v>
      </c>
      <c r="AK52" s="87" t="s">
        <v>28</v>
      </c>
      <c r="AL52" s="224" t="s">
        <v>67</v>
      </c>
      <c r="AM52" s="317"/>
      <c r="AN52" s="356">
        <v>1</v>
      </c>
      <c r="AO52" s="707"/>
      <c r="AP52" s="708" t="s">
        <v>67</v>
      </c>
      <c r="AQ52" s="643"/>
      <c r="AR52" s="356">
        <v>1</v>
      </c>
      <c r="AS52" s="95" t="s">
        <v>28</v>
      </c>
      <c r="AT52" s="516"/>
      <c r="AU52" s="518"/>
      <c r="AV52" s="516"/>
      <c r="AW52" s="518"/>
      <c r="AX52" s="519"/>
      <c r="AY52" s="224" t="s">
        <v>67</v>
      </c>
      <c r="AZ52" s="519"/>
      <c r="BA52" s="224" t="s">
        <v>67</v>
      </c>
      <c r="BB52" s="580"/>
      <c r="BC52" s="520" t="s">
        <v>505</v>
      </c>
      <c r="BE52" s="129"/>
      <c r="BF52" s="129" t="str">
        <f t="shared" si="34"/>
        <v/>
      </c>
      <c r="BG52" s="129"/>
      <c r="BH52" s="129"/>
      <c r="BI52" s="50">
        <v>11</v>
      </c>
    </row>
    <row r="53" ht="11.5" customHeight="1">
      <c r="A53" s="488"/>
      <c r="B53" s="488"/>
      <c r="C53" s="488"/>
      <c r="D53" s="488"/>
      <c r="E53" s="500"/>
      <c r="F53" s="500"/>
      <c r="G53" s="500"/>
      <c r="H53" s="500"/>
      <c r="I53" s="512"/>
      <c r="J53" s="512"/>
      <c r="K53" s="507"/>
      <c r="L53" s="490"/>
      <c r="P53" s="132"/>
      <c r="Q53" s="132"/>
      <c r="R53" s="513"/>
      <c r="S53" s="644"/>
      <c r="T53" s="709"/>
      <c r="U53" s="495"/>
      <c r="V53" s="631"/>
      <c r="W53" s="648"/>
      <c r="X53" s="631"/>
      <c r="Y53" s="648"/>
      <c r="Z53" s="631"/>
      <c r="AA53" s="631"/>
      <c r="AB53" s="631"/>
      <c r="AC53" s="631"/>
      <c r="AD53" s="296"/>
      <c r="AE53" s="642"/>
      <c r="AF53" s="356"/>
      <c r="AG53" s="699"/>
      <c r="AH53" s="224"/>
      <c r="AI53" s="642"/>
      <c r="AJ53" s="356"/>
      <c r="AK53" s="87"/>
      <c r="AL53" s="224"/>
      <c r="AM53" s="323"/>
      <c r="AN53" s="356"/>
      <c r="AO53" s="707"/>
      <c r="AP53" s="710"/>
      <c r="AQ53" s="647"/>
      <c r="AR53" s="177"/>
      <c r="AS53" s="177" t="s">
        <v>506</v>
      </c>
      <c r="AT53" s="631"/>
      <c r="AU53" s="648"/>
      <c r="AV53" s="631"/>
      <c r="AW53" s="648"/>
      <c r="AX53" s="631"/>
      <c r="AY53" s="631"/>
      <c r="AZ53" s="631"/>
      <c r="BA53" s="631"/>
      <c r="BB53" s="646"/>
      <c r="BC53" s="523"/>
      <c r="BE53" s="129"/>
      <c r="BF53" s="129"/>
      <c r="BG53" s="129"/>
      <c r="BH53" s="129"/>
      <c r="BI53" s="50">
        <v>11</v>
      </c>
    </row>
    <row r="54" ht="11.5" customHeight="1">
      <c r="A54" s="488" t="s">
        <v>251</v>
      </c>
      <c r="B54" s="488"/>
      <c r="C54" s="488"/>
      <c r="D54" s="488"/>
      <c r="E54" s="500"/>
      <c r="F54" s="500"/>
      <c r="G54" s="500"/>
      <c r="H54" s="500"/>
      <c r="I54" s="512"/>
      <c r="J54" s="512"/>
      <c r="K54" s="507"/>
      <c r="L54" s="490"/>
      <c r="P54" s="132"/>
      <c r="Q54" s="132"/>
      <c r="R54" s="513"/>
      <c r="S54" s="644"/>
      <c r="T54" s="709"/>
      <c r="U54" s="495"/>
      <c r="V54" s="631"/>
      <c r="W54" s="648"/>
      <c r="X54" s="631"/>
      <c r="Y54" s="648"/>
      <c r="Z54" s="631"/>
      <c r="AA54" s="631"/>
      <c r="AB54" s="631"/>
      <c r="AC54" s="631"/>
      <c r="AD54" s="296"/>
      <c r="AE54" s="642"/>
      <c r="AF54" s="356"/>
      <c r="AG54" s="699"/>
      <c r="AH54" s="224"/>
      <c r="AI54" s="642"/>
      <c r="AJ54" s="356"/>
      <c r="AK54" s="87"/>
      <c r="AL54" s="224"/>
      <c r="AM54" s="647"/>
      <c r="AN54" s="711"/>
      <c r="AO54" s="711" t="s">
        <v>507</v>
      </c>
      <c r="AP54" s="177"/>
      <c r="AQ54" s="177"/>
      <c r="AR54" s="177"/>
      <c r="AS54" s="631"/>
      <c r="AT54" s="631"/>
      <c r="AU54" s="648"/>
      <c r="AV54" s="631"/>
      <c r="AW54" s="648"/>
      <c r="AX54" s="631"/>
      <c r="AY54" s="631"/>
      <c r="AZ54" s="631"/>
      <c r="BA54" s="631"/>
      <c r="BB54" s="646"/>
      <c r="BC54" s="523"/>
      <c r="BE54" s="129"/>
      <c r="BF54" s="129"/>
      <c r="BG54" s="129"/>
      <c r="BH54" s="129"/>
      <c r="BI54" s="50">
        <v>11</v>
      </c>
    </row>
    <row r="55" ht="11.5" customHeight="1">
      <c r="A55" s="488" t="s">
        <v>251</v>
      </c>
      <c r="B55" s="488"/>
      <c r="C55" s="488"/>
      <c r="D55" s="488"/>
      <c r="E55" s="500"/>
      <c r="F55" s="500"/>
      <c r="G55" s="500"/>
      <c r="H55" s="500"/>
      <c r="I55" s="512"/>
      <c r="J55" s="512"/>
      <c r="K55" s="507"/>
      <c r="L55" s="490"/>
      <c r="P55" s="132"/>
      <c r="Q55" s="132"/>
      <c r="R55" s="513"/>
      <c r="S55" s="644"/>
      <c r="T55" s="709"/>
      <c r="U55" s="495"/>
      <c r="V55" s="631"/>
      <c r="W55" s="648"/>
      <c r="X55" s="631"/>
      <c r="Y55" s="648"/>
      <c r="Z55" s="631"/>
      <c r="AA55" s="631"/>
      <c r="AB55" s="631"/>
      <c r="AC55" s="631"/>
      <c r="AD55" s="296"/>
      <c r="AE55" s="642"/>
      <c r="AF55" s="356"/>
      <c r="AG55" s="699"/>
      <c r="AH55" s="224"/>
      <c r="AI55" s="650"/>
      <c r="AJ55" s="172"/>
      <c r="AK55" s="450" t="s">
        <v>508</v>
      </c>
      <c r="AL55" s="631"/>
      <c r="AM55" s="631"/>
      <c r="AN55" s="631"/>
      <c r="AO55" s="631"/>
      <c r="AP55" s="631"/>
      <c r="AQ55" s="631"/>
      <c r="AR55" s="631"/>
      <c r="AS55" s="631"/>
      <c r="AT55" s="631"/>
      <c r="AU55" s="648"/>
      <c r="AV55" s="631"/>
      <c r="AW55" s="648"/>
      <c r="AX55" s="631"/>
      <c r="AY55" s="631"/>
      <c r="AZ55" s="631"/>
      <c r="BA55" s="631"/>
      <c r="BB55" s="646"/>
      <c r="BC55" s="523"/>
      <c r="BE55" s="129"/>
      <c r="BF55" s="129"/>
      <c r="BG55" s="129"/>
      <c r="BH55" s="129"/>
      <c r="BI55" s="50">
        <v>11</v>
      </c>
    </row>
    <row r="56" ht="11.5" customHeight="1">
      <c r="A56" s="488" t="s">
        <v>251</v>
      </c>
      <c r="B56" s="488" t="s">
        <v>252</v>
      </c>
      <c r="C56" s="488" t="s">
        <v>253</v>
      </c>
      <c r="D56" s="488" t="s">
        <v>519</v>
      </c>
      <c r="E56" s="500"/>
      <c r="F56" s="500"/>
      <c r="G56" s="500"/>
      <c r="H56" s="500"/>
      <c r="I56" s="512"/>
      <c r="J56" s="512"/>
      <c r="K56" s="507"/>
      <c r="L56" s="490"/>
      <c r="P56" s="132"/>
      <c r="Q56" s="132"/>
      <c r="R56" s="513"/>
      <c r="S56" s="617"/>
      <c r="T56" s="712"/>
      <c r="U56" s="495"/>
      <c r="V56" s="631"/>
      <c r="W56" s="632" t="str">
        <f>Z52&amp;"-"&amp;AB52</f>
        <v>-</v>
      </c>
      <c r="X56" s="631"/>
      <c r="Y56" s="632" t="str">
        <f>AB52&amp;"-"&amp;AD52</f>
        <v>-да</v>
      </c>
      <c r="Z56" s="631"/>
      <c r="AA56" s="631"/>
      <c r="AB56" s="631"/>
      <c r="AC56" s="631"/>
      <c r="AD56" s="220"/>
      <c r="AE56" s="653"/>
      <c r="AF56" s="654"/>
      <c r="AG56" s="177" t="s">
        <v>509</v>
      </c>
      <c r="AH56" s="631"/>
      <c r="AI56" s="631"/>
      <c r="AJ56" s="631"/>
      <c r="AK56" s="631"/>
      <c r="AL56" s="631"/>
      <c r="AM56" s="631"/>
      <c r="AN56" s="631"/>
      <c r="AO56" s="631"/>
      <c r="AP56" s="631"/>
      <c r="AQ56" s="631"/>
      <c r="AR56" s="631"/>
      <c r="AS56" s="631"/>
      <c r="AT56" s="631"/>
      <c r="AU56" s="632" t="str">
        <f>AX52&amp;"-"&amp;AZ52</f>
        <v>-</v>
      </c>
      <c r="AV56" s="631"/>
      <c r="AW56" s="632" t="str">
        <f>AZ52&amp;"-"&amp;BB52</f>
        <v>-</v>
      </c>
      <c r="AX56" s="631"/>
      <c r="AY56" s="631"/>
      <c r="AZ56" s="631"/>
      <c r="BA56" s="631"/>
      <c r="BB56" s="652" t="str">
        <f>BE52&amp;"-"&amp;BG52</f>
        <v>-</v>
      </c>
      <c r="BC56" s="523"/>
      <c r="BE56" s="129"/>
      <c r="BF56" s="129" t="str">
        <f t="shared" si="34"/>
        <v/>
      </c>
      <c r="BG56" s="129"/>
      <c r="BH56" s="129"/>
      <c r="BI56" s="50">
        <v>11</v>
      </c>
    </row>
    <row r="57" ht="11.5" customHeight="1">
      <c r="A57" s="488" t="s">
        <v>251</v>
      </c>
      <c r="B57" s="488" t="s">
        <v>252</v>
      </c>
      <c r="C57" s="488" t="s">
        <v>253</v>
      </c>
      <c r="D57" s="488" t="s">
        <v>519</v>
      </c>
      <c r="E57" s="500"/>
      <c r="F57" s="500"/>
      <c r="G57" s="500"/>
      <c r="H57" s="500"/>
      <c r="I57" s="512"/>
      <c r="J57" s="507"/>
      <c r="K57" s="488"/>
      <c r="L57" s="490"/>
      <c r="P57" s="132"/>
      <c r="Q57" s="132"/>
      <c r="R57" s="508"/>
      <c r="S57" s="524"/>
      <c r="T57" s="528" t="s">
        <v>469</v>
      </c>
      <c r="U57" s="214"/>
      <c r="V57" s="214"/>
      <c r="W57" s="214"/>
      <c r="X57" s="214"/>
      <c r="Y57" s="214"/>
      <c r="Z57" s="214"/>
      <c r="AA57" s="214"/>
      <c r="AB57" s="214"/>
      <c r="AC57" s="526"/>
      <c r="AD57" s="683"/>
      <c r="AE57" s="214"/>
      <c r="AF57" s="214"/>
      <c r="AG57" s="214"/>
      <c r="AH57" s="214"/>
      <c r="AI57" s="214"/>
      <c r="AJ57" s="214"/>
      <c r="AK57" s="214"/>
      <c r="AL57" s="214"/>
      <c r="AM57" s="214"/>
      <c r="AN57" s="214"/>
      <c r="AO57" s="214"/>
      <c r="AP57" s="214"/>
      <c r="AQ57" s="214"/>
      <c r="AR57" s="214"/>
      <c r="AS57" s="214"/>
      <c r="AT57" s="214"/>
      <c r="AU57" s="214"/>
      <c r="AV57" s="214"/>
      <c r="AW57" s="214"/>
      <c r="AX57" s="214"/>
      <c r="AY57" s="214"/>
      <c r="AZ57" s="214"/>
      <c r="BA57" s="214"/>
      <c r="BB57" s="526"/>
      <c r="BC57" s="527"/>
      <c r="BE57" s="129"/>
      <c r="BF57" s="129" t="str">
        <f t="shared" si="34"/>
        <v xml:space="preserve">Добавить строку</v>
      </c>
      <c r="BG57" s="129"/>
      <c r="BH57" s="129"/>
      <c r="BI57" s="50">
        <v>11</v>
      </c>
    </row>
    <row r="58" s="57" customFormat="1" ht="0" customHeight="1">
      <c r="A58" s="133" t="s">
        <v>251</v>
      </c>
      <c r="B58" s="133" t="s">
        <v>252</v>
      </c>
      <c r="C58" s="133" t="s">
        <v>253</v>
      </c>
      <c r="D58" s="133" t="s">
        <v>519</v>
      </c>
      <c r="E58" s="500"/>
      <c r="F58" s="500"/>
      <c r="G58" s="500"/>
      <c r="H58" s="500"/>
      <c r="I58" s="507"/>
      <c r="J58" s="133"/>
      <c r="K58" s="133"/>
      <c r="L58" s="212"/>
      <c r="M58" s="605"/>
      <c r="N58" s="605"/>
      <c r="O58" s="605"/>
      <c r="P58" s="132"/>
      <c r="Q58" s="132"/>
      <c r="R58" s="508"/>
      <c r="S58" s="601"/>
      <c r="T58" s="602"/>
      <c r="U58" s="603"/>
      <c r="V58" s="603"/>
      <c r="W58" s="603"/>
      <c r="X58" s="603"/>
      <c r="Y58" s="603"/>
      <c r="Z58" s="603"/>
      <c r="AA58" s="603"/>
      <c r="AB58" s="603"/>
      <c r="AC58" s="603"/>
      <c r="AD58" s="603"/>
      <c r="AE58" s="603"/>
      <c r="AF58" s="603"/>
      <c r="AG58" s="603"/>
      <c r="AH58" s="603"/>
      <c r="AI58" s="603"/>
      <c r="AJ58" s="603"/>
      <c r="AK58" s="603"/>
      <c r="AL58" s="603"/>
      <c r="AM58" s="603"/>
      <c r="AN58" s="603"/>
      <c r="AO58" s="603"/>
      <c r="AP58" s="603"/>
      <c r="AQ58" s="603"/>
      <c r="AR58" s="603"/>
      <c r="AS58" s="603"/>
      <c r="AT58" s="603"/>
      <c r="AU58" s="603"/>
      <c r="AV58" s="603"/>
      <c r="AW58" s="603"/>
      <c r="AX58" s="603"/>
      <c r="AY58" s="603"/>
      <c r="AZ58" s="603"/>
      <c r="BA58" s="603"/>
      <c r="BB58" s="603"/>
      <c r="BC58" s="604"/>
      <c r="BE58" s="129"/>
      <c r="BF58" s="129" t="str">
        <f t="shared" si="34"/>
        <v/>
      </c>
      <c r="BG58" s="129"/>
      <c r="BH58" s="129"/>
      <c r="BI58" s="57">
        <v>0</v>
      </c>
    </row>
    <row r="59" s="57" customFormat="1" ht="0" customHeight="1">
      <c r="A59" s="133" t="s">
        <v>251</v>
      </c>
      <c r="B59" s="133" t="s">
        <v>252</v>
      </c>
      <c r="C59" s="133" t="s">
        <v>253</v>
      </c>
      <c r="D59" s="133" t="s">
        <v>519</v>
      </c>
      <c r="E59" s="500"/>
      <c r="F59" s="500"/>
      <c r="G59" s="500"/>
      <c r="H59" s="489"/>
      <c r="I59" s="133"/>
      <c r="J59" s="133"/>
      <c r="K59" s="133"/>
      <c r="L59" s="212"/>
      <c r="M59" s="473"/>
      <c r="N59" s="473"/>
      <c r="O59" s="57"/>
      <c r="P59" s="167"/>
      <c r="Q59" s="533"/>
      <c r="R59" s="655"/>
      <c r="S59" s="601"/>
      <c r="T59" s="602"/>
      <c r="U59" s="603"/>
      <c r="V59" s="603"/>
      <c r="W59" s="603"/>
      <c r="X59" s="603"/>
      <c r="Y59" s="603"/>
      <c r="Z59" s="603"/>
      <c r="AA59" s="603"/>
      <c r="AB59" s="603"/>
      <c r="AC59" s="603"/>
      <c r="AD59" s="603"/>
      <c r="AE59" s="603"/>
      <c r="AF59" s="603"/>
      <c r="AG59" s="603"/>
      <c r="AH59" s="603"/>
      <c r="AI59" s="603"/>
      <c r="AJ59" s="603"/>
      <c r="AK59" s="603"/>
      <c r="AL59" s="603"/>
      <c r="AM59" s="603"/>
      <c r="AN59" s="603"/>
      <c r="AO59" s="603"/>
      <c r="AP59" s="603"/>
      <c r="AQ59" s="603"/>
      <c r="AR59" s="603"/>
      <c r="AS59" s="603"/>
      <c r="AT59" s="603"/>
      <c r="AU59" s="603"/>
      <c r="AV59" s="603"/>
      <c r="AW59" s="603"/>
      <c r="AX59" s="603"/>
      <c r="AY59" s="603"/>
      <c r="AZ59" s="603"/>
      <c r="BA59" s="603"/>
      <c r="BB59" s="603"/>
      <c r="BC59" s="604"/>
      <c r="BE59" s="129"/>
      <c r="BF59" s="129" t="str">
        <f t="shared" si="34"/>
        <v/>
      </c>
      <c r="BG59" s="129"/>
      <c r="BH59" s="129"/>
      <c r="BI59" s="57">
        <v>0</v>
      </c>
    </row>
    <row r="60" s="57" customFormat="1" ht="0" customHeight="1">
      <c r="A60" s="133" t="s">
        <v>251</v>
      </c>
      <c r="B60" s="133" t="s">
        <v>252</v>
      </c>
      <c r="C60" s="133" t="s">
        <v>253</v>
      </c>
      <c r="D60" s="133"/>
      <c r="E60" s="500"/>
      <c r="F60" s="500"/>
      <c r="G60" s="489"/>
      <c r="H60" s="133"/>
      <c r="I60" s="133"/>
      <c r="J60" s="133"/>
      <c r="K60" s="133"/>
      <c r="L60" s="212"/>
      <c r="M60" s="473"/>
      <c r="N60" s="473"/>
      <c r="P60" s="167"/>
      <c r="Q60" s="533"/>
      <c r="R60" s="167"/>
      <c r="S60" s="538"/>
      <c r="T60" s="541"/>
      <c r="U60" s="540"/>
      <c r="V60" s="540"/>
      <c r="W60" s="540"/>
      <c r="X60" s="540"/>
      <c r="Y60" s="540"/>
      <c r="Z60" s="540"/>
      <c r="AA60" s="540"/>
      <c r="AB60" s="540"/>
      <c r="AC60" s="540"/>
      <c r="AD60" s="540"/>
      <c r="AE60" s="540"/>
      <c r="AF60" s="540"/>
      <c r="AG60" s="540"/>
      <c r="AH60" s="540"/>
      <c r="AI60" s="540"/>
      <c r="AJ60" s="540"/>
      <c r="AK60" s="540"/>
      <c r="AL60" s="540"/>
      <c r="AM60" s="540"/>
      <c r="AN60" s="540"/>
      <c r="AO60" s="540"/>
      <c r="AP60" s="540"/>
      <c r="AQ60" s="540"/>
      <c r="AR60" s="540"/>
      <c r="AS60" s="540"/>
      <c r="AT60" s="540"/>
      <c r="AU60" s="540"/>
      <c r="AV60" s="540"/>
      <c r="AW60" s="540"/>
      <c r="AX60" s="540"/>
      <c r="AY60" s="540"/>
      <c r="AZ60" s="540"/>
      <c r="BA60" s="540"/>
      <c r="BB60" s="540"/>
      <c r="BC60" s="540"/>
      <c r="BE60" s="129"/>
      <c r="BF60" s="129" t="str">
        <f t="shared" si="34"/>
        <v/>
      </c>
      <c r="BG60" s="129"/>
      <c r="BH60" s="129"/>
      <c r="BI60" s="57">
        <v>0</v>
      </c>
    </row>
    <row r="61" s="57" customFormat="1" ht="0" customHeight="1">
      <c r="A61" s="133" t="s">
        <v>251</v>
      </c>
      <c r="B61" s="133" t="s">
        <v>252</v>
      </c>
      <c r="C61" s="133"/>
      <c r="D61" s="133"/>
      <c r="E61" s="500"/>
      <c r="F61" s="489"/>
      <c r="G61" s="133"/>
      <c r="H61" s="133"/>
      <c r="I61" s="133"/>
      <c r="J61" s="133"/>
      <c r="K61" s="133"/>
      <c r="L61" s="212"/>
      <c r="M61" s="537"/>
      <c r="N61" s="537"/>
      <c r="P61" s="167"/>
      <c r="Q61" s="533"/>
      <c r="R61" s="167"/>
      <c r="S61" s="538"/>
      <c r="T61" s="541" t="s">
        <v>212</v>
      </c>
      <c r="U61" s="540"/>
      <c r="V61" s="540"/>
      <c r="W61" s="540"/>
      <c r="X61" s="540"/>
      <c r="Y61" s="540"/>
      <c r="Z61" s="540"/>
      <c r="AA61" s="540"/>
      <c r="AB61" s="540"/>
      <c r="AC61" s="540"/>
      <c r="AD61" s="540"/>
      <c r="AE61" s="540"/>
      <c r="AF61" s="540"/>
      <c r="AG61" s="540"/>
      <c r="AH61" s="540"/>
      <c r="AI61" s="540"/>
      <c r="AJ61" s="540"/>
      <c r="AK61" s="540"/>
      <c r="AL61" s="540"/>
      <c r="AM61" s="540"/>
      <c r="AN61" s="540"/>
      <c r="AO61" s="540"/>
      <c r="AP61" s="540"/>
      <c r="AQ61" s="540"/>
      <c r="AR61" s="540"/>
      <c r="AS61" s="540"/>
      <c r="AT61" s="540"/>
      <c r="AU61" s="540"/>
      <c r="AV61" s="540"/>
      <c r="AW61" s="540"/>
      <c r="AX61" s="540"/>
      <c r="AY61" s="540"/>
      <c r="AZ61" s="540"/>
      <c r="BA61" s="540"/>
      <c r="BB61" s="540"/>
      <c r="BC61" s="540"/>
      <c r="BE61" s="129"/>
      <c r="BF61" s="129" t="str">
        <f t="shared" si="34"/>
        <v xml:space="preserve">Добавить централизованную систему для дифференциации</v>
      </c>
      <c r="BG61" s="129"/>
      <c r="BH61" s="129"/>
      <c r="BI61" s="57">
        <v>0</v>
      </c>
    </row>
    <row r="62" s="57" customFormat="1" ht="0" customHeight="1">
      <c r="A62" s="133" t="s">
        <v>251</v>
      </c>
      <c r="B62" s="133"/>
      <c r="C62" s="133"/>
      <c r="D62" s="133"/>
      <c r="E62" s="489"/>
      <c r="F62" s="133"/>
      <c r="G62" s="133"/>
      <c r="H62" s="133"/>
      <c r="I62" s="133"/>
      <c r="J62" s="133"/>
      <c r="K62" s="133"/>
      <c r="L62" s="212"/>
      <c r="M62" s="537"/>
      <c r="N62" s="537"/>
      <c r="O62" s="57"/>
      <c r="P62" s="167"/>
      <c r="Q62" s="533"/>
      <c r="R62" s="167"/>
      <c r="S62" s="538"/>
      <c r="T62" s="541" t="s">
        <v>213</v>
      </c>
      <c r="U62" s="540"/>
      <c r="V62" s="540"/>
      <c r="W62" s="540"/>
      <c r="X62" s="540"/>
      <c r="Y62" s="540"/>
      <c r="Z62" s="540"/>
      <c r="AA62" s="540"/>
      <c r="AB62" s="540"/>
      <c r="AC62" s="540"/>
      <c r="AD62" s="540"/>
      <c r="AE62" s="540"/>
      <c r="AF62" s="540"/>
      <c r="AG62" s="540"/>
      <c r="AH62" s="540"/>
      <c r="AI62" s="540"/>
      <c r="AJ62" s="540"/>
      <c r="AK62" s="540"/>
      <c r="AL62" s="540"/>
      <c r="AM62" s="540"/>
      <c r="AN62" s="540"/>
      <c r="AO62" s="540"/>
      <c r="AP62" s="540"/>
      <c r="AQ62" s="540"/>
      <c r="AR62" s="540"/>
      <c r="AS62" s="540"/>
      <c r="AT62" s="540"/>
      <c r="AU62" s="540"/>
      <c r="AV62" s="540"/>
      <c r="AW62" s="540"/>
      <c r="AX62" s="540"/>
      <c r="AY62" s="540"/>
      <c r="AZ62" s="540"/>
      <c r="BA62" s="540"/>
      <c r="BB62" s="540"/>
      <c r="BC62" s="540"/>
      <c r="BE62" s="129"/>
      <c r="BF62" s="129" t="str">
        <f t="shared" si="34"/>
        <v xml:space="preserve">Добавить территорию для дифференциации</v>
      </c>
      <c r="BG62" s="129"/>
      <c r="BH62" s="129"/>
      <c r="BI62" s="57">
        <v>0</v>
      </c>
    </row>
    <row r="63" s="57" customFormat="1" ht="0" customHeight="1">
      <c r="A63" s="133"/>
      <c r="B63" s="133"/>
      <c r="C63" s="133"/>
      <c r="D63" s="133"/>
      <c r="E63" s="133"/>
      <c r="F63" s="133"/>
      <c r="G63" s="133"/>
      <c r="H63" s="133"/>
      <c r="I63" s="133"/>
      <c r="J63" s="133"/>
      <c r="K63" s="133"/>
      <c r="L63" s="212"/>
      <c r="M63" s="537"/>
      <c r="N63" s="537"/>
      <c r="P63" s="167"/>
      <c r="Q63" s="533"/>
      <c r="R63" s="167"/>
      <c r="S63" s="538"/>
      <c r="T63" s="541" t="s">
        <v>214</v>
      </c>
      <c r="U63" s="540"/>
      <c r="V63" s="540"/>
      <c r="W63" s="540"/>
      <c r="X63" s="540"/>
      <c r="Y63" s="540"/>
      <c r="Z63" s="540"/>
      <c r="AA63" s="540"/>
      <c r="AB63" s="540"/>
      <c r="AC63" s="540"/>
      <c r="AD63" s="540"/>
      <c r="AE63" s="540"/>
      <c r="AF63" s="540"/>
      <c r="AG63" s="540"/>
      <c r="AH63" s="540"/>
      <c r="AI63" s="540"/>
      <c r="AJ63" s="540"/>
      <c r="AK63" s="540"/>
      <c r="AL63" s="540"/>
      <c r="AM63" s="540"/>
      <c r="AN63" s="540"/>
      <c r="AO63" s="540"/>
      <c r="AP63" s="540"/>
      <c r="AQ63" s="540"/>
      <c r="AR63" s="540"/>
      <c r="AS63" s="540"/>
      <c r="AT63" s="540"/>
      <c r="AU63" s="540"/>
      <c r="AV63" s="540"/>
      <c r="AW63" s="540"/>
      <c r="AX63" s="540"/>
      <c r="AY63" s="540"/>
      <c r="AZ63" s="540"/>
      <c r="BA63" s="540"/>
      <c r="BB63" s="540"/>
      <c r="BC63" s="540"/>
      <c r="BE63" s="129"/>
      <c r="BF63" s="129" t="str">
        <f t="shared" si="34"/>
        <v xml:space="preserve">Добавить наименование тарифа</v>
      </c>
      <c r="BG63" s="129"/>
      <c r="BH63" s="129"/>
      <c r="BI63" s="57">
        <v>0</v>
      </c>
    </row>
    <row r="64" ht="11.5" customHeight="1">
      <c r="M64" s="53"/>
      <c r="N64" s="53"/>
      <c r="O64" s="53"/>
      <c r="P64" s="53"/>
      <c r="Q64" s="53"/>
      <c r="R64" s="50"/>
      <c r="S64" s="50"/>
      <c r="BD64" s="50"/>
      <c r="BE64" s="50"/>
      <c r="BF64" s="50"/>
      <c r="BG64" s="50"/>
      <c r="BH64" s="50"/>
      <c r="BI64" s="50">
        <v>11</v>
      </c>
    </row>
    <row r="65" ht="19.949999999999999" customHeight="1">
      <c r="O65" s="53"/>
      <c r="S65" s="485"/>
      <c r="T65" s="583"/>
      <c r="U65" s="583"/>
      <c r="V65" s="583"/>
      <c r="W65" s="583"/>
      <c r="X65" s="583"/>
      <c r="Y65" s="583"/>
      <c r="Z65" s="583"/>
      <c r="AA65" s="583"/>
      <c r="AB65" s="583"/>
      <c r="AC65" s="583"/>
      <c r="AD65" s="583"/>
      <c r="AE65" s="583"/>
      <c r="AF65" s="583"/>
      <c r="AG65" s="583"/>
      <c r="AH65" s="583"/>
      <c r="AI65" s="583"/>
      <c r="AJ65" s="583"/>
      <c r="AK65" s="583"/>
      <c r="AL65" s="583"/>
      <c r="AM65" s="583"/>
      <c r="AN65" s="583"/>
      <c r="AO65" s="583"/>
      <c r="AP65" s="583"/>
      <c r="AQ65" s="583"/>
      <c r="AR65" s="583"/>
      <c r="AS65" s="583"/>
      <c r="AT65" s="583"/>
      <c r="AU65" s="583"/>
      <c r="AV65" s="583"/>
      <c r="AW65" s="583"/>
      <c r="AX65" s="583"/>
      <c r="AY65" s="583"/>
      <c r="AZ65" s="583"/>
      <c r="BA65" s="583"/>
      <c r="BB65" s="583"/>
      <c r="BC65" s="583"/>
      <c r="BI65" s="50">
        <v>19</v>
      </c>
    </row>
    <row r="66" ht="14.65" customHeight="1">
      <c r="O66" s="53"/>
      <c r="T66" s="583"/>
      <c r="U66" s="583"/>
      <c r="V66" s="583"/>
      <c r="W66" s="583"/>
      <c r="X66" s="583"/>
      <c r="Y66" s="583"/>
      <c r="Z66" s="583"/>
      <c r="AA66" s="583"/>
      <c r="AB66" s="583"/>
      <c r="AC66" s="583"/>
      <c r="AD66" s="583"/>
      <c r="AE66" s="583"/>
      <c r="AF66" s="583"/>
      <c r="AG66" s="583"/>
      <c r="AH66" s="583"/>
      <c r="AI66" s="583"/>
      <c r="AJ66" s="583"/>
      <c r="AK66" s="583"/>
      <c r="AL66" s="583"/>
      <c r="AM66" s="583"/>
      <c r="AN66" s="583"/>
      <c r="AO66" s="583"/>
      <c r="AP66" s="583"/>
      <c r="AQ66" s="583"/>
      <c r="AR66" s="583"/>
      <c r="AS66" s="583"/>
      <c r="AT66" s="583"/>
      <c r="AU66" s="583"/>
      <c r="AV66" s="583"/>
      <c r="AW66" s="583"/>
      <c r="AX66" s="583"/>
      <c r="AY66" s="583"/>
      <c r="AZ66" s="583"/>
      <c r="BA66" s="583"/>
      <c r="BB66" s="583"/>
      <c r="BC66" s="583"/>
      <c r="BI66" s="50">
        <v>14</v>
      </c>
    </row>
    <row r="67" ht="19.949999999999999" customHeight="1">
      <c r="O67" s="53"/>
      <c r="S67" s="485"/>
      <c r="T67" s="583"/>
      <c r="U67" s="583"/>
      <c r="V67" s="583"/>
      <c r="W67" s="583"/>
      <c r="X67" s="583"/>
      <c r="Y67" s="583"/>
      <c r="Z67" s="583"/>
      <c r="AA67" s="583"/>
      <c r="AB67" s="583"/>
      <c r="AC67" s="583"/>
      <c r="AD67" s="583"/>
      <c r="AE67" s="583"/>
      <c r="AF67" s="583"/>
      <c r="AG67" s="583"/>
      <c r="AH67" s="583"/>
      <c r="AI67" s="583"/>
      <c r="AJ67" s="583"/>
      <c r="AK67" s="583"/>
      <c r="AL67" s="583"/>
      <c r="AM67" s="583"/>
      <c r="AN67" s="583"/>
      <c r="AO67" s="583"/>
      <c r="AP67" s="583"/>
      <c r="AQ67" s="583"/>
      <c r="AR67" s="583"/>
      <c r="AS67" s="583"/>
      <c r="AT67" s="583"/>
      <c r="AU67" s="583"/>
      <c r="AV67" s="583"/>
      <c r="AW67" s="583"/>
      <c r="AX67" s="583"/>
      <c r="AY67" s="583"/>
      <c r="AZ67" s="583"/>
      <c r="BA67" s="583"/>
      <c r="BB67" s="583"/>
      <c r="BC67" s="583"/>
      <c r="BI67" s="50">
        <v>19</v>
      </c>
    </row>
    <row r="68" ht="14.65" customHeight="1">
      <c r="O68" s="53"/>
      <c r="BI68" s="50">
        <v>14</v>
      </c>
    </row>
    <row r="69" ht="14.25" hidden="1" customHeight="1">
      <c r="A69" s="53" t="s">
        <v>83</v>
      </c>
      <c r="B69" s="53">
        <v>0</v>
      </c>
      <c r="C69" s="53">
        <v>0</v>
      </c>
      <c r="D69" s="53">
        <v>0</v>
      </c>
      <c r="E69" s="53">
        <v>0</v>
      </c>
      <c r="F69" s="53">
        <v>0</v>
      </c>
      <c r="G69" s="53">
        <v>0</v>
      </c>
      <c r="H69" s="53">
        <v>0</v>
      </c>
      <c r="I69" s="53">
        <v>0</v>
      </c>
      <c r="J69" s="53">
        <v>0</v>
      </c>
      <c r="K69" s="53">
        <v>0</v>
      </c>
      <c r="L69" s="113">
        <v>0</v>
      </c>
      <c r="M69" s="61">
        <v>0</v>
      </c>
      <c r="N69" s="61">
        <v>0</v>
      </c>
      <c r="O69" s="61">
        <v>0</v>
      </c>
      <c r="P69" s="61">
        <v>0</v>
      </c>
      <c r="Q69" s="547">
        <v>0</v>
      </c>
      <c r="R69" s="487">
        <v>3</v>
      </c>
      <c r="S69" s="86">
        <v>12</v>
      </c>
      <c r="T69" s="50">
        <v>31</v>
      </c>
      <c r="U69" s="50">
        <v>0</v>
      </c>
      <c r="V69" s="50">
        <v>0</v>
      </c>
      <c r="W69" s="50">
        <v>0</v>
      </c>
      <c r="X69" s="50">
        <v>0</v>
      </c>
      <c r="Y69" s="50">
        <v>0</v>
      </c>
      <c r="Z69" s="50">
        <v>0</v>
      </c>
      <c r="AA69" s="50">
        <v>0</v>
      </c>
      <c r="AB69" s="50">
        <v>0</v>
      </c>
      <c r="AC69" s="50">
        <v>0</v>
      </c>
      <c r="AD69" s="50">
        <v>3</v>
      </c>
      <c r="AE69" s="50">
        <v>3</v>
      </c>
      <c r="AF69" s="50">
        <v>3</v>
      </c>
      <c r="AG69" s="50">
        <v>24</v>
      </c>
      <c r="AH69" s="50">
        <v>3</v>
      </c>
      <c r="AI69" s="50">
        <v>3</v>
      </c>
      <c r="AJ69" s="50">
        <v>3</v>
      </c>
      <c r="AK69" s="50">
        <v>24</v>
      </c>
      <c r="AL69" s="50">
        <v>3</v>
      </c>
      <c r="AM69" s="50">
        <v>3</v>
      </c>
      <c r="AN69" s="50">
        <v>3</v>
      </c>
      <c r="AO69" s="50">
        <v>18</v>
      </c>
      <c r="AP69" s="50">
        <v>3</v>
      </c>
      <c r="AQ69" s="50">
        <v>3</v>
      </c>
      <c r="AR69" s="50">
        <v>3</v>
      </c>
      <c r="AS69" s="50">
        <v>18</v>
      </c>
      <c r="AT69" s="50">
        <v>21</v>
      </c>
      <c r="AU69" s="50">
        <v>21</v>
      </c>
      <c r="AV69" s="50">
        <v>21</v>
      </c>
      <c r="AW69" s="50">
        <v>21</v>
      </c>
      <c r="AX69" s="50">
        <v>11</v>
      </c>
      <c r="AY69" s="50">
        <v>3</v>
      </c>
      <c r="AZ69" s="50">
        <v>11</v>
      </c>
      <c r="BA69" s="50">
        <v>0</v>
      </c>
      <c r="BB69" s="50">
        <v>4</v>
      </c>
      <c r="BC69" s="50">
        <v>115</v>
      </c>
      <c r="BD69" s="57">
        <v>10</v>
      </c>
      <c r="BE69" s="57">
        <v>10</v>
      </c>
      <c r="BF69" s="57">
        <v>10</v>
      </c>
      <c r="BG69" s="57">
        <v>10</v>
      </c>
      <c r="BH69" s="57">
        <v>10</v>
      </c>
      <c r="BI69" s="50">
        <v>23</v>
      </c>
    </row>
  </sheetData>
  <sheetProtection autoFilter="0" deleteColumns="1" deleteRows="1" formatCells="1" formatColumns="0" formatRows="0" insertColumns="1" insertHyperlinks="1" insertRows="1" objects="0" pivotTables="1" scenarios="0" selectLockedCells="0" selectUnlockedCells="0" sheet="1" sort="1"/>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D8:AD12"/>
    <mergeCell ref="AE8:AE11"/>
    <mergeCell ref="AF8:AF11"/>
    <mergeCell ref="AG8:AG11"/>
    <mergeCell ref="AH8:AH11"/>
    <mergeCell ref="AI8:AI10"/>
    <mergeCell ref="AJ8:AJ10"/>
    <mergeCell ref="AK8:AK10"/>
    <mergeCell ref="AL8:AL10"/>
    <mergeCell ref="AM8:AM9"/>
    <mergeCell ref="AN8:AN9"/>
    <mergeCell ref="AO8:AO9"/>
    <mergeCell ref="AP8:AP9"/>
    <mergeCell ref="BC8:BC13"/>
    <mergeCell ref="S28:AZ28"/>
    <mergeCell ref="S29:AZ29"/>
    <mergeCell ref="S31:T31"/>
    <mergeCell ref="V31:AB31"/>
    <mergeCell ref="AD31:AZ31"/>
    <mergeCell ref="S32:T32"/>
    <mergeCell ref="V32:AB32"/>
    <mergeCell ref="AD32:AZ32"/>
    <mergeCell ref="S33:T33"/>
    <mergeCell ref="V33:AB33"/>
    <mergeCell ref="AD33:AZ33"/>
    <mergeCell ref="S34:T34"/>
    <mergeCell ref="V34:AB34"/>
    <mergeCell ref="AD34:AZ34"/>
    <mergeCell ref="S36:T36"/>
    <mergeCell ref="V36:AB36"/>
    <mergeCell ref="AD36:AZ36"/>
    <mergeCell ref="S37:T37"/>
    <mergeCell ref="V37:AB37"/>
    <mergeCell ref="AD37:AZ37"/>
    <mergeCell ref="V39:AC39"/>
    <mergeCell ref="AD39:BA39"/>
    <mergeCell ref="S40:BB40"/>
    <mergeCell ref="BC40:BC44"/>
    <mergeCell ref="S41:S44"/>
    <mergeCell ref="T41:T44"/>
    <mergeCell ref="V41:AB41"/>
    <mergeCell ref="AC41:AC44"/>
    <mergeCell ref="AD41:AG44"/>
    <mergeCell ref="AH41:AK44"/>
    <mergeCell ref="AL41:AO44"/>
    <mergeCell ref="AP41:AS44"/>
    <mergeCell ref="AT41:AZ41"/>
    <mergeCell ref="BA41:BA44"/>
    <mergeCell ref="BB41:BB44"/>
    <mergeCell ref="V42:W43"/>
    <mergeCell ref="X42:Y43"/>
    <mergeCell ref="Z42:AB43"/>
    <mergeCell ref="AT42:AU43"/>
    <mergeCell ref="AV42:AW43"/>
    <mergeCell ref="AX42:AZ43"/>
    <mergeCell ref="AA44:AB44"/>
    <mergeCell ref="AY44:AZ44"/>
    <mergeCell ref="AA45:AB45"/>
    <mergeCell ref="AY45:AZ45"/>
    <mergeCell ref="E46:E62"/>
    <mergeCell ref="V46:AC46"/>
    <mergeCell ref="AD46:BB46"/>
    <mergeCell ref="F47:F61"/>
    <mergeCell ref="V47:AC47"/>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F52:AF55"/>
    <mergeCell ref="AG52:AG55"/>
    <mergeCell ref="AH52:AH55"/>
    <mergeCell ref="AI52:AI54"/>
    <mergeCell ref="AJ52:AJ54"/>
    <mergeCell ref="AK52:AK54"/>
    <mergeCell ref="AL52:AL54"/>
    <mergeCell ref="AM52:AM53"/>
    <mergeCell ref="AN52:AN53"/>
    <mergeCell ref="AO52:AO53"/>
    <mergeCell ref="AP52:AP53"/>
    <mergeCell ref="BC52:BC57"/>
    <mergeCell ref="T65:BC65"/>
    <mergeCell ref="T67:BC67"/>
  </mergeCells>
  <dataValidations count="4" disablePrompts="0">
    <dataValidation sqref="S65591:BC65597 S983095:BC983101 S917559:BC917565 S852023:BC852029 S786487:BC786493 S720951:BC720957 S655415:BC655421 S589879:BC589885 S524343:BC524349 S458807:BC458813 S393271:BC393277 S327735:BC327741 S262199:BC262205 S196663:BC196669 S131127:BC131133" type="none" allowBlank="1" errorStyle="stop" imeMode="noControl" operator="between" showDropDown="0" showErrorMessage="0" showInputMessage="0"/>
    <dataValidation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type="none" allowBlank="1" errorStyle="stop" imeMode="noControl" operator="between" promptTitle="checkPeriodRange" showDropDown="0" showErrorMessage="0" showInputMessage="0"/>
    <dataValidation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5" disablePrompts="0">
        <x14:dataValidation xr:uid="{00C800DF-0043-4FA0-B168-00550037008E}"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V983092:BB983092 V917556:BB917556 V852020:BB852020 V786484:BB786484 V720948:BB720948 V655412:BB655412 V589876:BB589876 V524340:BB524340 V458804:BB458804 V393268:BB393268 V327732:BB327732 V262196:BB262196 V196660:BB196660 V131124:BB131124 V65588:BB65588</xm:sqref>
        </x14:dataValidation>
        <x14:dataValidation xr:uid="{00CE00B4-00CB-4801-B3B8-0005006E007C}" type="decimal" allowBlank="1" error="Допускается ввод только действительных чисел!" errorStyle="stop" errorTitle="Ошибка" imeMode="noControl" operator="between" showDropDown="0" showErrorMessage="1" showInputMessage="0">
          <x14:formula1>
            <xm:f>-9.99999999999999E+23</xm:f>
          </x14:formula1>
          <x14:formula2>
            <xm:f>9.99999999999999E+23</xm:f>
          </x14:formula2>
          <xm:sqref>AO52:AO53 AG8:AG11 AO8:AO9 AG52:AG55</xm:sqref>
        </x14:dataValidation>
        <x14:dataValidation xr:uid="{00080070-00C6-4CCC-92A9-0012002100E5}" type="textLength" allowBlank="1" error="Допускается ввод не более 900 символов!" errorStyle="stop" errorTitle="Ошибка" imeMode="noControl" operator="lessThanOrEqual" showDropDown="0" showErrorMessage="1" showInputMessage="1">
          <x14:formula1>
            <xm:f>900</xm:f>
          </x14:formula1>
          <xm:sqref>BC65583:BC65590 BC131119:BC131126 BC196655:BC196662 BC262191:BC262198 BC327727:BC327734 BC393263:BC393270 BC458799:BC458806 BC524335:BC524342 BC589871:BC589878 BC655407:BC655414 BC720943:BC720950 BC786479:BC786486 BC852015:BC852022 BC917551:BC917558 BC983087:BC983094 AS8 T8:T12 AS52 T52:T56</xm:sqref>
        </x14:dataValidation>
        <x14:dataValidation xr:uid="{00E3000F-003A-4755-A5EC-00A200B80096}" type="list" allowBlank="1" error="Выберите значение из списка" errorStyle="stop" errorTitle="Ошибка" imeMode="noControl" operator="between" showDropDown="0" showErrorMessage="1" showInputMessage="1">
          <x14:formula1>
            <xm:f>kind_of_scheme_in</xm:f>
          </x14:formula1>
          <xm:sqref>AD917555:AS917555 AD983091:AS983091 AD65587:AS65587 AD131123:AS131123 AD196659:AS196659 AD262195:AS262195 AD327731:AS327731 AD393267:AS393267 AD458803:AS458803 AD524339:AS524339 AD589875:AS589875 AD655411:AS655411 AD720947:AS720947 AD786483:AS786483 AD852019:AS852019</xm:sqref>
        </x14:dataValidation>
        <x14:dataValidation xr:uid="{002500D9-000F-40A8-893A-002F00650071}" type="list" allowBlank="1" error="Выберите значение из списка" errorStyle="stop" errorTitle="Ошибка" imeMode="noControl" operator="between" showDropDown="0" showErrorMessage="1" showInputMessage="1">
          <x14:formula1>
            <xm:f>kind_of_heat_transfer</xm:f>
          </x14:formula1>
          <xm:sqref>T65589 T131125 T196661 T262197 T327733 T393269 T458805 T524341 T589877 T655413 T720949 T786485 T852021 T917557 T983093</xm:sqref>
        </x14:dataValidation>
      </x14:dataValidations>
    </ext>
  </extLs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zoomScale="90" workbookViewId="0">
      <pane xSplit="28" ySplit="40" topLeftCell="AC41" activePane="bottomRight" state="frozen"/>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4.140625"/>
    <col customWidth="1" hidden="1" min="10" max="10" style="53" width="9.8515625"/>
    <col customWidth="1" hidden="1" min="11" max="11" style="53" width="14.7109375"/>
    <col customWidth="1" hidden="1" min="12" max="12" style="113" width="19.140625"/>
    <col customWidth="1" hidden="1" min="13" max="14" style="61" width="12.28125"/>
    <col customWidth="1" hidden="1" min="15" max="15" style="61" width="23.421875"/>
    <col customWidth="1" min="16" max="16" style="60" width="3.00390625"/>
    <col customWidth="1" min="17" max="18" style="487" width="3.00390625"/>
    <col customWidth="1" min="19" max="19" style="86" width="12.00390625"/>
    <col customWidth="1" min="20" max="20" style="50" width="35.00390625"/>
    <col customWidth="1" min="21" max="21" style="50" width="0.140625"/>
    <col customWidth="1" hidden="1" min="22" max="24" style="50" width="24.7109375"/>
    <col customWidth="1" hidden="1" min="25" max="25" style="50" width="11.7109375"/>
    <col customWidth="1" hidden="1" min="26" max="26" style="50" width="3.7109375"/>
    <col customWidth="1" hidden="1" min="27" max="27" style="50" width="11.7109375"/>
    <col customWidth="1" hidden="1" min="28" max="28" style="50" width="8.57421875"/>
    <col customWidth="1" min="29" max="29" style="50" width="24.7109375"/>
    <col customWidth="1" min="30" max="31" style="50" width="24.00390625"/>
    <col customWidth="1" min="32" max="32" style="50" width="11.00390625"/>
    <col customWidth="1" min="33" max="33" style="50" width="3.7109375"/>
    <col customWidth="1" min="34" max="34" style="50" width="11.00390625"/>
    <col customWidth="1" hidden="1" min="35" max="35" style="50" width="8.57421875"/>
    <col customWidth="1" min="36" max="36" style="50" width="4.00390625"/>
    <col customWidth="1" min="37" max="37" style="50" width="115.00390625"/>
    <col customWidth="1" min="38" max="42" style="57" width="10.00390625"/>
    <col hidden="1" min="43" max="43" style="50" width="10.57421875"/>
  </cols>
  <sheetData>
    <row r="1" ht="22.5" hidden="1" customHeight="1">
      <c r="X1" s="50"/>
      <c r="Y1" s="50"/>
      <c r="AE1" s="50"/>
      <c r="AF1" s="50"/>
      <c r="AQ1" s="50" t="s">
        <v>14</v>
      </c>
    </row>
    <row r="2" ht="23.25" hidden="1" customHeight="1">
      <c r="A2" s="488"/>
      <c r="B2" s="488"/>
      <c r="C2" s="488"/>
      <c r="D2" s="488"/>
      <c r="E2" s="489">
        <v>1</v>
      </c>
      <c r="F2" s="488"/>
      <c r="G2" s="488"/>
      <c r="H2" s="488"/>
      <c r="I2" s="488"/>
      <c r="J2" s="488"/>
      <c r="K2" s="488"/>
      <c r="L2" s="490"/>
      <c r="M2" s="491"/>
      <c r="N2" s="491"/>
      <c r="O2" s="491"/>
      <c r="P2" s="60"/>
      <c r="Q2" s="143"/>
      <c r="R2" s="492"/>
      <c r="S2" s="493" t="e">
        <f>INDEX(PT_DIFFERENTIATION_NUM_NTAR,MATCH(A2,PT_DIFFERENTIATION_NTAR_ID,0))</f>
        <v>#VALUE!</v>
      </c>
      <c r="T2" s="494" t="s">
        <v>123</v>
      </c>
      <c r="U2" s="495"/>
      <c r="V2" s="496"/>
      <c r="W2" s="497"/>
      <c r="X2" s="497"/>
      <c r="Y2" s="497"/>
      <c r="Z2" s="497"/>
      <c r="AA2" s="497"/>
      <c r="AB2" s="498"/>
      <c r="AC2" s="496" t="e">
        <f>INDEX(PT_DIFFERENTIATION_NTAR,MATCH(A2,PT_DIFFERENTIATION_NTAR_ID,0))</f>
        <v>#VALUE!</v>
      </c>
      <c r="AD2" s="497"/>
      <c r="AE2" s="497"/>
      <c r="AF2" s="497"/>
      <c r="AG2" s="497"/>
      <c r="AH2" s="497"/>
      <c r="AI2" s="497"/>
      <c r="AJ2" s="498"/>
      <c r="AK2" s="4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129"/>
      <c r="AN2" s="129" t="str">
        <f t="shared" ref="AN2:AN9" si="35">IF(T2="","",T2)</f>
        <v xml:space="preserve">Наименование тарифа</v>
      </c>
      <c r="AO2" s="129"/>
      <c r="AP2" s="129"/>
      <c r="AQ2" s="50">
        <v>0</v>
      </c>
    </row>
    <row r="3" ht="23.25" hidden="1" customHeight="1">
      <c r="A3" s="488"/>
      <c r="B3" s="488"/>
      <c r="C3" s="488"/>
      <c r="D3" s="488"/>
      <c r="E3" s="500"/>
      <c r="F3" s="489">
        <v>1</v>
      </c>
      <c r="G3" s="488"/>
      <c r="H3" s="488"/>
      <c r="I3" s="488"/>
      <c r="J3" s="488"/>
      <c r="K3" s="488"/>
      <c r="L3" s="490"/>
      <c r="M3" s="491"/>
      <c r="N3" s="491"/>
      <c r="O3" s="491"/>
      <c r="P3" s="51"/>
      <c r="Q3" s="501"/>
      <c r="R3" s="502"/>
      <c r="S3" s="493" t="e">
        <f>INDEX(PT_DIFFERENTIATION_NUM_TER,MATCH(B3,PT_DIFFERENTIATION_TER_ID,0))</f>
        <v>#VALUE!</v>
      </c>
      <c r="T3" s="503" t="s">
        <v>402</v>
      </c>
      <c r="U3" s="495"/>
      <c r="V3" s="496"/>
      <c r="W3" s="497"/>
      <c r="X3" s="497"/>
      <c r="Y3" s="497"/>
      <c r="Z3" s="497"/>
      <c r="AA3" s="497"/>
      <c r="AB3" s="498"/>
      <c r="AC3" s="496" t="e">
        <f>INDEX(PT_DIFFERENTIATION_TER,MATCH(B3,PT_DIFFERENTIATION_TER_ID,0))</f>
        <v>#VALUE!</v>
      </c>
      <c r="AD3" s="497"/>
      <c r="AE3" s="497"/>
      <c r="AF3" s="497"/>
      <c r="AG3" s="497"/>
      <c r="AH3" s="497"/>
      <c r="AI3" s="497"/>
      <c r="AJ3" s="498"/>
      <c r="AK3" s="499" t="s">
        <v>403</v>
      </c>
      <c r="AM3" s="129"/>
      <c r="AN3" s="129" t="str">
        <f t="shared" si="35"/>
        <v xml:space="preserve">Территория действия тарифа</v>
      </c>
      <c r="AO3" s="129"/>
      <c r="AP3" s="129"/>
      <c r="AQ3" s="50">
        <v>0</v>
      </c>
    </row>
    <row r="4" ht="23.25" hidden="1" customHeight="1">
      <c r="A4" s="488"/>
      <c r="B4" s="488"/>
      <c r="C4" s="488"/>
      <c r="D4" s="488"/>
      <c r="E4" s="500"/>
      <c r="F4" s="500"/>
      <c r="G4" s="489">
        <v>1</v>
      </c>
      <c r="H4" s="488"/>
      <c r="I4" s="488"/>
      <c r="J4" s="488"/>
      <c r="K4" s="488"/>
      <c r="L4" s="490"/>
      <c r="M4" s="491"/>
      <c r="N4" s="491"/>
      <c r="O4" s="491"/>
      <c r="P4" s="504"/>
      <c r="Q4" s="501"/>
      <c r="R4" s="502"/>
      <c r="S4" s="493" t="e">
        <f>INDEX(PT_DIFFERENTIATION_NUM_CS,MATCH(C4,PT_DIFFERENTIATION_CS_ID,0))</f>
        <v>#VALUE!</v>
      </c>
      <c r="T4" s="505" t="s">
        <v>520</v>
      </c>
      <c r="U4" s="495"/>
      <c r="V4" s="496"/>
      <c r="W4" s="497"/>
      <c r="X4" s="497"/>
      <c r="Y4" s="497"/>
      <c r="Z4" s="497"/>
      <c r="AA4" s="497"/>
      <c r="AB4" s="498"/>
      <c r="AC4" s="496" t="e">
        <f>INDEX(PT_DIFFERENTIATION_CS,MATCH(C4,PT_DIFFERENTIATION_CS_ID,0))</f>
        <v>#VALUE!</v>
      </c>
      <c r="AD4" s="497"/>
      <c r="AE4" s="497"/>
      <c r="AF4" s="497"/>
      <c r="AG4" s="497"/>
      <c r="AH4" s="497"/>
      <c r="AI4" s="497"/>
      <c r="AJ4" s="498"/>
      <c r="AK4" s="499" t="s">
        <v>521</v>
      </c>
      <c r="AM4" s="129"/>
      <c r="AN4" s="129" t="str">
        <f t="shared" si="35"/>
        <v xml:space="preserve">Наименование централизованной системы водоотведения</v>
      </c>
      <c r="AO4" s="129"/>
      <c r="AP4" s="129"/>
      <c r="AQ4" s="50">
        <v>0</v>
      </c>
    </row>
    <row r="5" ht="23.25" hidden="1" customHeight="1">
      <c r="A5" s="488"/>
      <c r="B5" s="488"/>
      <c r="C5" s="488"/>
      <c r="D5" s="488"/>
      <c r="E5" s="500"/>
      <c r="F5" s="500"/>
      <c r="G5" s="500"/>
      <c r="H5" s="500"/>
      <c r="I5" s="507" t="e">
        <f>S4&amp;".1"</f>
        <v>#VALUE!</v>
      </c>
      <c r="J5" s="488"/>
      <c r="K5" s="488"/>
      <c r="L5" s="490"/>
      <c r="P5" s="132">
        <v>1</v>
      </c>
      <c r="Q5" s="132"/>
      <c r="R5" s="508"/>
      <c r="S5" s="493" t="e">
        <f>$I5</f>
        <v>#VALUE!</v>
      </c>
      <c r="T5" s="509" t="s">
        <v>484</v>
      </c>
      <c r="U5" s="495"/>
      <c r="V5" s="685"/>
      <c r="W5" s="686"/>
      <c r="X5" s="686"/>
      <c r="Y5" s="686"/>
      <c r="Z5" s="686"/>
      <c r="AA5" s="686"/>
      <c r="AB5" s="687"/>
      <c r="AC5" s="688"/>
      <c r="AD5" s="689"/>
      <c r="AE5" s="689"/>
      <c r="AF5" s="689"/>
      <c r="AG5" s="689"/>
      <c r="AH5" s="689"/>
      <c r="AI5" s="689"/>
      <c r="AJ5" s="690"/>
      <c r="AK5" s="499" t="s">
        <v>485</v>
      </c>
      <c r="AM5" s="129"/>
      <c r="AN5" s="129" t="str">
        <f t="shared" si="35"/>
        <v xml:space="preserve">Наименование признака дифференциации</v>
      </c>
      <c r="AO5" s="129"/>
      <c r="AP5" s="129"/>
      <c r="AQ5" s="50">
        <v>0</v>
      </c>
    </row>
    <row r="6" ht="23.25" hidden="1" customHeight="1">
      <c r="A6" s="488"/>
      <c r="B6" s="488"/>
      <c r="C6" s="488"/>
      <c r="D6" s="488"/>
      <c r="E6" s="500"/>
      <c r="F6" s="500"/>
      <c r="G6" s="500"/>
      <c r="H6" s="500"/>
      <c r="I6" s="512"/>
      <c r="J6" s="507" t="e">
        <f>I5&amp;".1"</f>
        <v>#VALUE!</v>
      </c>
      <c r="K6" s="488"/>
      <c r="L6" s="490" t="s">
        <v>411</v>
      </c>
      <c r="P6" s="132"/>
      <c r="Q6" s="132">
        <v>1</v>
      </c>
      <c r="R6" s="513"/>
      <c r="S6" s="493" t="e">
        <f>$J6</f>
        <v>#VALUE!</v>
      </c>
      <c r="T6" s="514" t="s">
        <v>412</v>
      </c>
      <c r="U6" s="495"/>
      <c r="V6" s="440"/>
      <c r="W6" s="510"/>
      <c r="X6" s="510"/>
      <c r="Y6" s="510"/>
      <c r="Z6" s="510"/>
      <c r="AA6" s="510"/>
      <c r="AB6" s="511"/>
      <c r="AC6" s="440"/>
      <c r="AD6" s="510"/>
      <c r="AE6" s="510"/>
      <c r="AF6" s="510"/>
      <c r="AG6" s="510"/>
      <c r="AH6" s="510"/>
      <c r="AI6" s="510"/>
      <c r="AJ6" s="511"/>
      <c r="AK6" s="626" t="s">
        <v>486</v>
      </c>
      <c r="AM6" s="129"/>
      <c r="AN6" s="129" t="str">
        <f t="shared" si="35"/>
        <v xml:space="preserve">Группа потребителей</v>
      </c>
      <c r="AO6" s="129"/>
      <c r="AP6" s="129"/>
      <c r="AQ6" s="50">
        <v>0</v>
      </c>
    </row>
    <row r="7" ht="23.25" hidden="1" customHeight="1">
      <c r="A7" s="488"/>
      <c r="B7" s="488"/>
      <c r="C7" s="488"/>
      <c r="D7" s="488"/>
      <c r="E7" s="500"/>
      <c r="F7" s="500"/>
      <c r="G7" s="500"/>
      <c r="H7" s="500"/>
      <c r="I7" s="512"/>
      <c r="J7" s="512"/>
      <c r="K7" s="507" t="e">
        <f>J6&amp;".1"</f>
        <v>#VALUE!</v>
      </c>
      <c r="L7" s="490"/>
      <c r="P7" s="132"/>
      <c r="Q7" s="132"/>
      <c r="R7" s="513">
        <v>1</v>
      </c>
      <c r="S7" s="493" t="e">
        <f>$K7</f>
        <v>#VALUE!</v>
      </c>
      <c r="T7" s="691"/>
      <c r="U7" s="495"/>
      <c r="V7" s="516"/>
      <c r="W7" s="516"/>
      <c r="X7" s="518"/>
      <c r="Y7" s="519"/>
      <c r="Z7" s="224" t="s">
        <v>67</v>
      </c>
      <c r="AA7" s="519"/>
      <c r="AB7" s="224" t="s">
        <v>67</v>
      </c>
      <c r="AC7" s="516"/>
      <c r="AD7" s="516"/>
      <c r="AE7" s="518"/>
      <c r="AF7" s="519"/>
      <c r="AG7" s="224" t="s">
        <v>67</v>
      </c>
      <c r="AH7" s="579"/>
      <c r="AI7" s="224" t="s">
        <v>67</v>
      </c>
      <c r="AJ7" s="692"/>
      <c r="AK7" s="69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 t="e">
        <f>STRCHECKDATE(V8:AJ8)</f>
        <v>#NAME?</v>
      </c>
      <c r="AM7" s="129"/>
      <c r="AN7" s="129" t="str">
        <f t="shared" si="35"/>
        <v/>
      </c>
      <c r="AO7" s="129"/>
      <c r="AP7" s="129"/>
      <c r="AQ7" s="50">
        <v>0</v>
      </c>
    </row>
    <row r="8" ht="14.25" hidden="1" customHeight="1">
      <c r="A8" s="488"/>
      <c r="B8" s="488"/>
      <c r="C8" s="488"/>
      <c r="D8" s="488"/>
      <c r="E8" s="500"/>
      <c r="F8" s="500"/>
      <c r="G8" s="500"/>
      <c r="H8" s="500"/>
      <c r="I8" s="512"/>
      <c r="J8" s="512"/>
      <c r="K8" s="507"/>
      <c r="L8" s="490"/>
      <c r="P8" s="132"/>
      <c r="Q8" s="132"/>
      <c r="R8" s="513"/>
      <c r="S8" s="467"/>
      <c r="T8" s="495"/>
      <c r="U8" s="495"/>
      <c r="V8" s="517"/>
      <c r="W8" s="517"/>
      <c r="X8" s="521" t="str">
        <f>Y7&amp;"-"&amp;AA7</f>
        <v>-</v>
      </c>
      <c r="Y8" s="522"/>
      <c r="Z8" s="224"/>
      <c r="AA8" s="522"/>
      <c r="AB8" s="224"/>
      <c r="AC8" s="517"/>
      <c r="AD8" s="517"/>
      <c r="AE8" s="521" t="str">
        <f>AF7&amp;"-"&amp;AH7</f>
        <v>-</v>
      </c>
      <c r="AF8" s="522"/>
      <c r="AG8" s="224"/>
      <c r="AH8" s="581"/>
      <c r="AI8" s="224"/>
      <c r="AJ8" s="694"/>
      <c r="AK8" s="693"/>
      <c r="AM8" s="129"/>
      <c r="AN8" s="129" t="str">
        <f t="shared" si="35"/>
        <v/>
      </c>
      <c r="AO8" s="129"/>
      <c r="AP8" s="129"/>
      <c r="AQ8" s="50">
        <v>0</v>
      </c>
    </row>
    <row r="9" ht="21" hidden="1" customHeight="1">
      <c r="A9" s="488"/>
      <c r="B9" s="488"/>
      <c r="C9" s="488"/>
      <c r="D9" s="488"/>
      <c r="E9" s="500"/>
      <c r="F9" s="500"/>
      <c r="G9" s="500"/>
      <c r="H9" s="500"/>
      <c r="I9" s="512"/>
      <c r="J9" s="507"/>
      <c r="K9" s="488"/>
      <c r="L9" s="490"/>
      <c r="P9" s="132"/>
      <c r="Q9" s="132"/>
      <c r="R9" s="508"/>
      <c r="S9" s="524"/>
      <c r="T9" s="528" t="s">
        <v>487</v>
      </c>
      <c r="U9" s="214"/>
      <c r="V9" s="214"/>
      <c r="W9" s="214"/>
      <c r="X9" s="214"/>
      <c r="Y9" s="214"/>
      <c r="Z9" s="214"/>
      <c r="AA9" s="214"/>
      <c r="AB9" s="214"/>
      <c r="AC9" s="214"/>
      <c r="AD9" s="214"/>
      <c r="AE9" s="214"/>
      <c r="AF9" s="214"/>
      <c r="AG9" s="214"/>
      <c r="AH9" s="214"/>
      <c r="AI9" s="214"/>
      <c r="AJ9" s="214"/>
      <c r="AK9" s="499" t="s">
        <v>488</v>
      </c>
      <c r="AM9" s="129"/>
      <c r="AN9" s="129" t="str">
        <f t="shared" si="35"/>
        <v xml:space="preserve">Добавить значение признака дифференциации</v>
      </c>
      <c r="AO9" s="129"/>
      <c r="AP9" s="129"/>
      <c r="AQ9" s="50">
        <v>0</v>
      </c>
    </row>
    <row r="10" ht="21" hidden="1" customHeight="1">
      <c r="A10" s="488"/>
      <c r="B10" s="488"/>
      <c r="C10" s="488"/>
      <c r="D10" s="488"/>
      <c r="E10" s="500"/>
      <c r="F10" s="500"/>
      <c r="G10" s="500"/>
      <c r="H10" s="500"/>
      <c r="I10" s="507"/>
      <c r="J10" s="488"/>
      <c r="K10" s="488"/>
      <c r="L10" s="490"/>
      <c r="P10" s="132"/>
      <c r="Q10" s="132"/>
      <c r="R10" s="508"/>
      <c r="S10" s="524"/>
      <c r="T10" s="532" t="s">
        <v>417</v>
      </c>
      <c r="U10" s="214"/>
      <c r="V10" s="214"/>
      <c r="W10" s="214"/>
      <c r="X10" s="214"/>
      <c r="Y10" s="214"/>
      <c r="Z10" s="214"/>
      <c r="AA10" s="214"/>
      <c r="AB10" s="529"/>
      <c r="AC10" s="214"/>
      <c r="AD10" s="214"/>
      <c r="AE10" s="214"/>
      <c r="AF10" s="214"/>
      <c r="AG10" s="214"/>
      <c r="AH10" s="214"/>
      <c r="AI10" s="529"/>
      <c r="AJ10" s="214"/>
      <c r="AK10" s="695"/>
      <c r="AM10" s="129"/>
      <c r="AN10" s="129" t="str">
        <f t="shared" ref="AN10:AN53" si="36">IF(T10="","",T10)</f>
        <v xml:space="preserve">Добавить группу потребителей</v>
      </c>
      <c r="AO10" s="129"/>
      <c r="AP10" s="129"/>
      <c r="AQ10" s="50">
        <v>0</v>
      </c>
    </row>
    <row r="11" ht="21" hidden="1" customHeight="1">
      <c r="A11" s="488"/>
      <c r="B11" s="488"/>
      <c r="C11" s="488"/>
      <c r="D11" s="488"/>
      <c r="E11" s="500"/>
      <c r="F11" s="500"/>
      <c r="G11" s="500"/>
      <c r="H11" s="489"/>
      <c r="I11" s="488"/>
      <c r="J11" s="488"/>
      <c r="K11" s="488"/>
      <c r="L11" s="490"/>
      <c r="M11" s="491"/>
      <c r="N11" s="491"/>
      <c r="O11" s="53"/>
      <c r="P11" s="143"/>
      <c r="Q11" s="531"/>
      <c r="R11" s="492"/>
      <c r="S11" s="524"/>
      <c r="T11" s="696" t="s">
        <v>489</v>
      </c>
      <c r="U11" s="214"/>
      <c r="V11" s="214"/>
      <c r="W11" s="214"/>
      <c r="X11" s="214"/>
      <c r="Y11" s="214"/>
      <c r="Z11" s="214"/>
      <c r="AA11" s="214"/>
      <c r="AB11" s="529"/>
      <c r="AC11" s="214"/>
      <c r="AD11" s="214"/>
      <c r="AE11" s="214"/>
      <c r="AF11" s="214"/>
      <c r="AG11" s="214"/>
      <c r="AH11" s="214"/>
      <c r="AI11" s="529"/>
      <c r="AJ11" s="214"/>
      <c r="AK11" s="530"/>
      <c r="AM11" s="129"/>
      <c r="AN11" s="129" t="str">
        <f t="shared" si="36"/>
        <v xml:space="preserve">Добавить наименование признака дифференциации</v>
      </c>
      <c r="AO11" s="129"/>
      <c r="AP11" s="129"/>
      <c r="AQ11" s="50">
        <v>0</v>
      </c>
    </row>
    <row r="12" s="57" customFormat="1" ht="14.25" hidden="1" customHeight="1">
      <c r="A12" s="133"/>
      <c r="B12" s="133"/>
      <c r="C12" s="133"/>
      <c r="D12" s="133"/>
      <c r="E12" s="500"/>
      <c r="F12" s="489"/>
      <c r="G12" s="133"/>
      <c r="H12" s="133"/>
      <c r="I12" s="133"/>
      <c r="J12" s="133"/>
      <c r="K12" s="133"/>
      <c r="L12" s="212"/>
      <c r="M12" s="537"/>
      <c r="N12" s="537"/>
      <c r="P12" s="167"/>
      <c r="Q12" s="533"/>
      <c r="R12" s="167"/>
      <c r="S12" s="538"/>
      <c r="T12" s="541" t="s">
        <v>212</v>
      </c>
      <c r="U12" s="540"/>
      <c r="V12" s="540"/>
      <c r="W12" s="540"/>
      <c r="X12" s="540"/>
      <c r="Y12" s="540"/>
      <c r="Z12" s="540"/>
      <c r="AA12" s="540"/>
      <c r="AB12" s="540"/>
      <c r="AC12" s="540"/>
      <c r="AD12" s="540"/>
      <c r="AE12" s="540"/>
      <c r="AF12" s="540"/>
      <c r="AG12" s="540"/>
      <c r="AH12" s="540"/>
      <c r="AI12" s="540"/>
      <c r="AJ12" s="540"/>
      <c r="AK12" s="540"/>
      <c r="AM12" s="129"/>
      <c r="AN12" s="129" t="str">
        <f t="shared" si="36"/>
        <v xml:space="preserve">Добавить централизованную систему для дифференциации</v>
      </c>
      <c r="AO12" s="129"/>
      <c r="AP12" s="129"/>
      <c r="AQ12" s="57">
        <v>0</v>
      </c>
    </row>
    <row r="13" s="57" customFormat="1" ht="14.25" hidden="1" customHeight="1">
      <c r="A13" s="133"/>
      <c r="B13" s="133"/>
      <c r="C13" s="133"/>
      <c r="D13" s="133"/>
      <c r="E13" s="489"/>
      <c r="F13" s="133"/>
      <c r="G13" s="133"/>
      <c r="H13" s="133"/>
      <c r="I13" s="133"/>
      <c r="J13" s="133"/>
      <c r="K13" s="133"/>
      <c r="L13" s="212"/>
      <c r="M13" s="537"/>
      <c r="N13" s="537"/>
      <c r="O13" s="57"/>
      <c r="P13" s="167"/>
      <c r="Q13" s="533"/>
      <c r="R13" s="167"/>
      <c r="S13" s="538"/>
      <c r="T13" s="541" t="s">
        <v>213</v>
      </c>
      <c r="U13" s="540"/>
      <c r="V13" s="540"/>
      <c r="W13" s="540"/>
      <c r="X13" s="540"/>
      <c r="Y13" s="540"/>
      <c r="Z13" s="540"/>
      <c r="AA13" s="540"/>
      <c r="AB13" s="540"/>
      <c r="AC13" s="540"/>
      <c r="AD13" s="540"/>
      <c r="AE13" s="540"/>
      <c r="AF13" s="540"/>
      <c r="AG13" s="540"/>
      <c r="AH13" s="540"/>
      <c r="AI13" s="540"/>
      <c r="AJ13" s="540"/>
      <c r="AK13" s="540"/>
      <c r="AM13" s="129"/>
      <c r="AN13" s="129" t="str">
        <f t="shared" si="36"/>
        <v xml:space="preserve">Добавить территорию для дифференциации</v>
      </c>
      <c r="AO13" s="129"/>
      <c r="AP13" s="129"/>
      <c r="AQ13" s="57">
        <v>0</v>
      </c>
    </row>
    <row r="14" ht="14.25" hidden="1" customHeight="1">
      <c r="AB14" s="50"/>
      <c r="AI14" s="50"/>
      <c r="AQ14" s="50">
        <v>0</v>
      </c>
    </row>
    <row r="15" ht="14.25" hidden="1" customHeight="1">
      <c r="AC15" s="542"/>
      <c r="AD15" s="542"/>
      <c r="AE15" s="543"/>
      <c r="AF15" s="544"/>
      <c r="AG15" s="545" t="s">
        <v>67</v>
      </c>
      <c r="AH15" s="544"/>
      <c r="AI15" s="545" t="s">
        <v>67</v>
      </c>
      <c r="AQ15" s="50">
        <v>0</v>
      </c>
    </row>
    <row r="16" ht="14.25" hidden="1" customHeight="1">
      <c r="AC16" s="542"/>
      <c r="AD16" s="542"/>
      <c r="AE16" s="521" t="str">
        <f>AF15&amp;"-"&amp;AH15</f>
        <v>-</v>
      </c>
      <c r="AF16" s="545"/>
      <c r="AG16" s="545"/>
      <c r="AH16" s="545"/>
      <c r="AI16" s="545"/>
      <c r="AQ16" s="50">
        <v>0</v>
      </c>
    </row>
    <row r="17" ht="14.25" hidden="1" customHeight="1">
      <c r="AI17" s="50"/>
      <c r="AQ17" s="50">
        <v>0</v>
      </c>
    </row>
    <row r="18" s="53" customFormat="1" ht="22.5" hidden="1" customHeight="1">
      <c r="L18" s="113"/>
      <c r="M18" s="61"/>
      <c r="N18" s="61"/>
      <c r="O18" s="546" t="s">
        <v>419</v>
      </c>
      <c r="P18" s="61"/>
      <c r="Q18" s="547"/>
      <c r="R18" s="547"/>
      <c r="S18" s="491"/>
      <c r="Y18" s="546"/>
      <c r="AA18" s="546"/>
      <c r="AB18" s="53"/>
      <c r="AF18" s="546"/>
      <c r="AH18" s="546"/>
      <c r="AI18" s="53"/>
      <c r="AL18" s="57"/>
      <c r="AM18" s="57"/>
      <c r="AN18" s="57"/>
      <c r="AO18" s="57"/>
      <c r="AP18" s="57"/>
      <c r="AQ18" s="53">
        <v>0</v>
      </c>
    </row>
    <row r="19" s="53" customFormat="1" ht="14.25" hidden="1" customHeight="1">
      <c r="L19" s="113"/>
      <c r="M19" s="61"/>
      <c r="N19" s="61"/>
      <c r="O19" s="61"/>
      <c r="P19" s="61"/>
      <c r="Q19" s="547"/>
      <c r="R19" s="547"/>
      <c r="S19" s="491"/>
      <c r="AB19" s="53"/>
      <c r="AI19" s="53"/>
      <c r="AL19" s="57"/>
      <c r="AM19" s="57"/>
      <c r="AN19" s="57"/>
      <c r="AO19" s="57"/>
      <c r="AP19" s="57"/>
      <c r="AQ19" s="53">
        <v>0</v>
      </c>
    </row>
    <row r="20" s="53" customFormat="1" ht="12" hidden="1" customHeight="1">
      <c r="L20" s="113"/>
      <c r="M20" s="61"/>
      <c r="N20" s="61"/>
      <c r="O20" s="490" t="s">
        <v>420</v>
      </c>
      <c r="P20" s="61"/>
      <c r="Q20" s="697"/>
      <c r="R20" s="697"/>
      <c r="S20" s="491"/>
      <c r="T20" s="53" t="s">
        <v>421</v>
      </c>
      <c r="Z20" s="151" t="s">
        <v>422</v>
      </c>
      <c r="AB20" s="151" t="s">
        <v>423</v>
      </c>
      <c r="AC20" s="53" t="s">
        <v>421</v>
      </c>
      <c r="AG20" s="151" t="s">
        <v>424</v>
      </c>
      <c r="AI20" s="151" t="s">
        <v>423</v>
      </c>
      <c r="AQ20" s="53">
        <v>0</v>
      </c>
    </row>
    <row r="21" ht="14.25" hidden="1" customHeight="1">
      <c r="O21" s="490"/>
      <c r="AQ21" s="50">
        <v>0</v>
      </c>
    </row>
    <row r="22" ht="14.25" hidden="1" customHeight="1">
      <c r="O22" s="490"/>
      <c r="AQ22" s="50">
        <v>0</v>
      </c>
    </row>
    <row r="23" ht="14.65" customHeight="1">
      <c r="Q23" s="548"/>
      <c r="R23" s="548"/>
      <c r="S23" s="549"/>
      <c r="T23" s="91"/>
      <c r="U23" s="91"/>
      <c r="V23" s="50"/>
      <c r="W23" s="50"/>
      <c r="X23" s="50"/>
      <c r="Y23" s="50"/>
      <c r="Z23" s="50"/>
      <c r="AA23" s="50"/>
      <c r="AB23" s="50"/>
      <c r="AC23" s="50"/>
      <c r="AD23" s="50"/>
      <c r="AE23" s="50"/>
      <c r="AF23" s="50"/>
      <c r="AG23" s="50"/>
      <c r="AH23" s="50"/>
      <c r="AI23" s="50"/>
      <c r="AQ23" s="50">
        <v>14</v>
      </c>
    </row>
    <row r="24" ht="14.65" customHeight="1">
      <c r="Q24" s="548"/>
      <c r="R24" s="548"/>
      <c r="S24" s="461" t="str">
        <f>IF(TEMPLATE_GROUP="P",PT_P_FORM_VOTV_4_NAME_FORM,PT_R_FORM_VOTV_16_NAME_FORM)</f>
        <v xml:space="preserve">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461"/>
      <c r="U24" s="461"/>
      <c r="V24" s="461"/>
      <c r="W24" s="461"/>
      <c r="X24" s="461"/>
      <c r="Y24" s="461"/>
      <c r="Z24" s="461"/>
      <c r="AA24" s="461"/>
      <c r="AB24" s="461"/>
      <c r="AC24" s="461"/>
      <c r="AD24" s="461"/>
      <c r="AE24" s="461"/>
      <c r="AF24" s="461"/>
      <c r="AG24" s="461"/>
      <c r="AH24" s="461"/>
      <c r="AI24" s="240"/>
      <c r="AQ24" s="50">
        <v>14</v>
      </c>
    </row>
    <row r="25" ht="14.65" customHeight="1">
      <c r="Q25" s="548"/>
      <c r="R25" s="548"/>
      <c r="S25" s="316" t="str">
        <f>IF(org=0,"Не определено",org)</f>
        <v xml:space="preserve">АО "ДГК"</v>
      </c>
      <c r="T25" s="316"/>
      <c r="U25" s="316"/>
      <c r="V25" s="316"/>
      <c r="W25" s="316"/>
      <c r="X25" s="316"/>
      <c r="Y25" s="316"/>
      <c r="Z25" s="316"/>
      <c r="AA25" s="316"/>
      <c r="AB25" s="316"/>
      <c r="AC25" s="316"/>
      <c r="AD25" s="316"/>
      <c r="AE25" s="316"/>
      <c r="AF25" s="316"/>
      <c r="AG25" s="316"/>
      <c r="AH25" s="316"/>
      <c r="AI25" s="240"/>
      <c r="AQ25" s="50">
        <v>14</v>
      </c>
    </row>
    <row r="26" ht="14.25" hidden="1" customHeight="1">
      <c r="Q26" s="548"/>
      <c r="R26" s="548"/>
      <c r="S26" s="549"/>
      <c r="T26" s="91"/>
      <c r="U26" s="91"/>
      <c r="V26" s="550"/>
      <c r="W26" s="550"/>
      <c r="X26" s="550"/>
      <c r="Y26" s="550"/>
      <c r="Z26" s="550"/>
      <c r="AA26" s="550"/>
      <c r="AB26" s="550"/>
      <c r="AC26" s="550"/>
      <c r="AD26" s="550"/>
      <c r="AE26" s="550"/>
      <c r="AF26" s="550"/>
      <c r="AG26" s="550"/>
      <c r="AH26" s="550"/>
      <c r="AI26" s="550"/>
      <c r="AJ26" s="50"/>
      <c r="AQ26" s="50">
        <v>0</v>
      </c>
    </row>
    <row r="27" s="184" customFormat="1" ht="25.5" hidden="1" customHeight="1">
      <c r="A27" s="151"/>
      <c r="B27" s="151"/>
      <c r="C27" s="151"/>
      <c r="D27" s="151"/>
      <c r="E27" s="151"/>
      <c r="F27" s="151"/>
      <c r="G27" s="151"/>
      <c r="H27" s="151"/>
      <c r="I27" s="151"/>
      <c r="J27" s="151"/>
      <c r="K27" s="151"/>
      <c r="L27" s="490"/>
      <c r="M27" s="151"/>
      <c r="N27" s="151"/>
      <c r="O27" s="151"/>
      <c r="S27" s="551" t="s">
        <v>42</v>
      </c>
      <c r="T27" s="551"/>
      <c r="U27" s="552"/>
      <c r="V27" s="553" t="str">
        <f>IF(TITLE_NAME_OR_PR_CHANGE="",IF(TITLE_NAME_OR_PR="","",TITLE_NAME_OR_PR),TITLE_NAME_OR_PR_CHANGE)</f>
        <v/>
      </c>
      <c r="W27" s="553"/>
      <c r="X27" s="553"/>
      <c r="Y27" s="553"/>
      <c r="Z27" s="553"/>
      <c r="AA27" s="553"/>
      <c r="AB27" s="50"/>
      <c r="AC27" s="553" t="str">
        <f>IF(TITLE_NAME_OR_PR_CHANGE="",IF(TITLE_NAME_OR_PR="","",TITLE_NAME_OR_PR),TITLE_NAME_OR_PR_CHANGE)</f>
        <v/>
      </c>
      <c r="AD27" s="553"/>
      <c r="AE27" s="553"/>
      <c r="AF27" s="553"/>
      <c r="AG27" s="553"/>
      <c r="AH27" s="553"/>
      <c r="AI27" s="50"/>
      <c r="AJ27" s="50"/>
      <c r="AK27" s="554"/>
      <c r="AL27" s="129"/>
      <c r="AM27" s="129"/>
      <c r="AN27" s="129"/>
      <c r="AO27" s="129"/>
      <c r="AP27" s="129"/>
      <c r="AQ27" s="184">
        <v>0</v>
      </c>
    </row>
    <row r="28" s="184" customFormat="1" ht="18.75" hidden="1" customHeight="1">
      <c r="A28" s="151"/>
      <c r="B28" s="151"/>
      <c r="C28" s="151"/>
      <c r="D28" s="151"/>
      <c r="E28" s="151"/>
      <c r="F28" s="151"/>
      <c r="G28" s="151"/>
      <c r="H28" s="151"/>
      <c r="I28" s="151"/>
      <c r="J28" s="151"/>
      <c r="K28" s="151"/>
      <c r="L28" s="490"/>
      <c r="M28" s="151"/>
      <c r="N28" s="151"/>
      <c r="O28" s="151"/>
      <c r="S28" s="551" t="s">
        <v>425</v>
      </c>
      <c r="T28" s="551"/>
      <c r="U28" s="552"/>
      <c r="V28" s="555">
        <f>IF(TITLE_DATE_PR_CHANGE="",IF(TITLE_DATE_PR="","",TITLE_DATE_PR),TITLE_DATE_PR_CHANGE)</f>
        <v>46212.428518518522</v>
      </c>
      <c r="W28" s="555"/>
      <c r="X28" s="555"/>
      <c r="Y28" s="555"/>
      <c r="Z28" s="555"/>
      <c r="AA28" s="555"/>
      <c r="AB28" s="50"/>
      <c r="AC28" s="555">
        <f>IF(TITLE_DATE_PR_CHANGE="",IF(TITLE_DATE_PR="","",TITLE_DATE_PR),TITLE_DATE_PR_CHANGE)</f>
        <v>46212.428518518522</v>
      </c>
      <c r="AD28" s="555"/>
      <c r="AE28" s="555"/>
      <c r="AF28" s="555"/>
      <c r="AG28" s="555"/>
      <c r="AH28" s="555"/>
      <c r="AI28" s="50"/>
      <c r="AJ28" s="50"/>
      <c r="AK28" s="554"/>
      <c r="AL28" s="129"/>
      <c r="AM28" s="129"/>
      <c r="AN28" s="129"/>
      <c r="AO28" s="129"/>
      <c r="AP28" s="129"/>
      <c r="AQ28" s="184">
        <v>0</v>
      </c>
    </row>
    <row r="29" s="184" customFormat="1" ht="18.75" hidden="1" customHeight="1">
      <c r="A29" s="151"/>
      <c r="B29" s="151"/>
      <c r="C29" s="151"/>
      <c r="D29" s="151"/>
      <c r="E29" s="151"/>
      <c r="F29" s="151"/>
      <c r="G29" s="151"/>
      <c r="H29" s="151"/>
      <c r="I29" s="151"/>
      <c r="J29" s="151"/>
      <c r="K29" s="151"/>
      <c r="L29" s="490"/>
      <c r="M29" s="151"/>
      <c r="N29" s="151"/>
      <c r="O29" s="151"/>
      <c r="S29" s="551" t="s">
        <v>426</v>
      </c>
      <c r="T29" s="551"/>
      <c r="U29" s="552"/>
      <c r="V29" s="553" t="str">
        <f>IF(TITLE_NUMBER_PR_CHANGE="",IF(TITLE_NUMBER_PR="","",TITLE_NUMBER_PR),TITLE_NUMBER_PR_CHANGE)</f>
        <v>Исх-260/1397</v>
      </c>
      <c r="W29" s="553"/>
      <c r="X29" s="553"/>
      <c r="Y29" s="553"/>
      <c r="Z29" s="553"/>
      <c r="AA29" s="553"/>
      <c r="AB29" s="50"/>
      <c r="AC29" s="553" t="str">
        <f>IF(TITLE_NUMBER_PR_CHANGE="",IF(TITLE_NUMBER_PR="","",TITLE_NUMBER_PR),TITLE_NUMBER_PR_CHANGE)</f>
        <v>Исх-260/1397</v>
      </c>
      <c r="AD29" s="553"/>
      <c r="AE29" s="553"/>
      <c r="AF29" s="553"/>
      <c r="AG29" s="553"/>
      <c r="AH29" s="553"/>
      <c r="AI29" s="50"/>
      <c r="AJ29" s="50"/>
      <c r="AK29" s="554"/>
      <c r="AL29" s="129"/>
      <c r="AM29" s="129"/>
      <c r="AN29" s="129"/>
      <c r="AO29" s="129"/>
      <c r="AP29" s="129"/>
      <c r="AQ29" s="184">
        <v>0</v>
      </c>
    </row>
    <row r="30" s="184" customFormat="1" ht="18.75" hidden="1" customHeight="1">
      <c r="A30" s="151"/>
      <c r="B30" s="151"/>
      <c r="C30" s="151"/>
      <c r="D30" s="151"/>
      <c r="E30" s="151"/>
      <c r="F30" s="151"/>
      <c r="G30" s="151"/>
      <c r="H30" s="151"/>
      <c r="I30" s="151"/>
      <c r="J30" s="151"/>
      <c r="K30" s="151"/>
      <c r="L30" s="490"/>
      <c r="M30" s="151"/>
      <c r="N30" s="151"/>
      <c r="O30" s="151"/>
      <c r="S30" s="551" t="s">
        <v>43</v>
      </c>
      <c r="T30" s="551"/>
      <c r="U30" s="552"/>
      <c r="V30" s="553" t="str">
        <f>IF(TITLE_IST_PUB_CHANGE="",IF(TITLE_IST_PUB="","",TITLE_IST_PUB),TITLE_IST_PUB_CHANGE)</f>
        <v/>
      </c>
      <c r="W30" s="553"/>
      <c r="X30" s="553"/>
      <c r="Y30" s="553"/>
      <c r="Z30" s="553"/>
      <c r="AA30" s="553"/>
      <c r="AB30" s="50"/>
      <c r="AC30" s="553" t="str">
        <f>IF(TITLE_IST_PUB_CHANGE="",IF(TITLE_IST_PUB="","",TITLE_IST_PUB),TITLE_IST_PUB_CHANGE)</f>
        <v/>
      </c>
      <c r="AD30" s="553"/>
      <c r="AE30" s="553"/>
      <c r="AF30" s="553"/>
      <c r="AG30" s="553"/>
      <c r="AH30" s="553"/>
      <c r="AI30" s="50"/>
      <c r="AJ30" s="50"/>
      <c r="AK30" s="554"/>
      <c r="AL30" s="129"/>
      <c r="AM30" s="129"/>
      <c r="AN30" s="129"/>
      <c r="AO30" s="129"/>
      <c r="AP30" s="129"/>
      <c r="AQ30" s="184">
        <v>0</v>
      </c>
    </row>
    <row r="31" ht="14.25" customHeight="1">
      <c r="Q31" s="548"/>
      <c r="R31" s="548"/>
      <c r="S31" s="549"/>
      <c r="T31" s="91"/>
      <c r="U31" s="91"/>
      <c r="V31" s="550"/>
      <c r="W31" s="550"/>
      <c r="X31" s="550"/>
      <c r="Y31" s="550"/>
      <c r="Z31" s="550"/>
      <c r="AA31" s="550"/>
      <c r="AB31" s="550"/>
      <c r="AC31" s="550"/>
      <c r="AD31" s="550"/>
      <c r="AE31" s="550"/>
      <c r="AF31" s="550"/>
      <c r="AG31" s="550"/>
      <c r="AH31" s="550"/>
      <c r="AI31" s="550"/>
      <c r="AJ31" s="50"/>
      <c r="AQ31" s="50">
        <v>0</v>
      </c>
    </row>
    <row r="32" s="184" customFormat="1" ht="18.75" customHeight="1">
      <c r="A32" s="151"/>
      <c r="B32" s="151"/>
      <c r="C32" s="151"/>
      <c r="D32" s="151"/>
      <c r="E32" s="151"/>
      <c r="F32" s="151"/>
      <c r="G32" s="151"/>
      <c r="H32" s="151"/>
      <c r="I32" s="151"/>
      <c r="J32" s="151"/>
      <c r="K32" s="151"/>
      <c r="L32" s="490"/>
      <c r="M32" s="151"/>
      <c r="N32" s="151"/>
      <c r="O32" s="151"/>
      <c r="S32" s="551" t="s">
        <v>427</v>
      </c>
      <c r="T32" s="551"/>
      <c r="U32" s="552"/>
      <c r="V32" s="555">
        <f>IF(TITLE_DATE_PR_CHANGE="",IF(TITLE_DATE_PR="","",TITLE_DATE_PR),TITLE_DATE_PR_CHANGE)</f>
        <v>46212.428518518522</v>
      </c>
      <c r="W32" s="555"/>
      <c r="X32" s="555"/>
      <c r="Y32" s="555"/>
      <c r="Z32" s="555"/>
      <c r="AA32" s="555"/>
      <c r="AB32" s="50"/>
      <c r="AC32" s="555">
        <f>IF(TITLE_DATE_PR_CHANGE="",IF(TITLE_DATE_PR="","",TITLE_DATE_PR),TITLE_DATE_PR_CHANGE)</f>
        <v>46212.428518518522</v>
      </c>
      <c r="AD32" s="555"/>
      <c r="AE32" s="555"/>
      <c r="AF32" s="555"/>
      <c r="AG32" s="555"/>
      <c r="AH32" s="555"/>
      <c r="AI32" s="50"/>
      <c r="AJ32" s="50"/>
      <c r="AK32" s="554"/>
      <c r="AL32" s="129"/>
      <c r="AM32" s="129"/>
      <c r="AN32" s="129"/>
      <c r="AO32" s="129"/>
      <c r="AP32" s="129"/>
      <c r="AQ32" s="184">
        <v>0</v>
      </c>
    </row>
    <row r="33" s="184" customFormat="1" ht="18.75" customHeight="1">
      <c r="A33" s="151"/>
      <c r="B33" s="151"/>
      <c r="C33" s="151"/>
      <c r="D33" s="151"/>
      <c r="E33" s="151"/>
      <c r="F33" s="151"/>
      <c r="G33" s="151"/>
      <c r="H33" s="151"/>
      <c r="I33" s="151"/>
      <c r="J33" s="151"/>
      <c r="K33" s="151"/>
      <c r="L33" s="490"/>
      <c r="M33" s="151"/>
      <c r="N33" s="151"/>
      <c r="O33" s="151"/>
      <c r="S33" s="551" t="s">
        <v>428</v>
      </c>
      <c r="T33" s="551"/>
      <c r="U33" s="552"/>
      <c r="V33" s="553" t="str">
        <f>IF(TITLE_NUMBER_PR_CHANGE="",IF(TITLE_NUMBER_PR="","",TITLE_NUMBER_PR),TITLE_NUMBER_PR_CHANGE)</f>
        <v>Исх-260/1397</v>
      </c>
      <c r="W33" s="553"/>
      <c r="X33" s="553"/>
      <c r="Y33" s="553"/>
      <c r="Z33" s="553"/>
      <c r="AA33" s="553"/>
      <c r="AB33" s="50"/>
      <c r="AC33" s="553" t="str">
        <f>IF(TITLE_NUMBER_PR_CHANGE="",IF(TITLE_NUMBER_PR="","",TITLE_NUMBER_PR),TITLE_NUMBER_PR_CHANGE)</f>
        <v>Исх-260/1397</v>
      </c>
      <c r="AD33" s="553"/>
      <c r="AE33" s="553"/>
      <c r="AF33" s="553"/>
      <c r="AG33" s="553"/>
      <c r="AH33" s="553"/>
      <c r="AI33" s="50"/>
      <c r="AJ33" s="50"/>
      <c r="AK33" s="554"/>
      <c r="AL33" s="129"/>
      <c r="AM33" s="129"/>
      <c r="AN33" s="129"/>
      <c r="AO33" s="129"/>
      <c r="AP33" s="129"/>
      <c r="AQ33" s="184">
        <v>0</v>
      </c>
    </row>
    <row r="34" s="184" customFormat="1" ht="1.05" customHeight="1">
      <c r="A34" s="151"/>
      <c r="B34" s="151"/>
      <c r="C34" s="151"/>
      <c r="D34" s="151"/>
      <c r="E34" s="151"/>
      <c r="F34" s="151"/>
      <c r="G34" s="151"/>
      <c r="H34" s="151"/>
      <c r="I34" s="151"/>
      <c r="J34" s="151"/>
      <c r="K34" s="151"/>
      <c r="L34" s="490"/>
      <c r="M34" s="151"/>
      <c r="N34" s="151"/>
      <c r="O34" s="151"/>
      <c r="S34" s="50"/>
      <c r="T34" s="50"/>
      <c r="U34" s="140"/>
      <c r="V34" s="50"/>
      <c r="W34" s="50"/>
      <c r="X34" s="50"/>
      <c r="Y34" s="50"/>
      <c r="Z34" s="50"/>
      <c r="AA34" s="50"/>
      <c r="AB34" s="57" t="s">
        <v>429</v>
      </c>
      <c r="AC34" s="50"/>
      <c r="AD34" s="50"/>
      <c r="AE34" s="50"/>
      <c r="AF34" s="50"/>
      <c r="AG34" s="50"/>
      <c r="AH34" s="50"/>
      <c r="AI34" s="57" t="s">
        <v>429</v>
      </c>
      <c r="AL34" s="129"/>
      <c r="AM34" s="129"/>
      <c r="AN34" s="129"/>
      <c r="AO34" s="129"/>
      <c r="AP34" s="129"/>
      <c r="AQ34" s="184">
        <v>1</v>
      </c>
    </row>
    <row r="35" ht="14.65" customHeight="1">
      <c r="Q35" s="548"/>
      <c r="R35" s="548"/>
      <c r="S35" s="549"/>
      <c r="T35" s="91"/>
      <c r="U35" s="556"/>
      <c r="V35" s="557"/>
      <c r="W35" s="557"/>
      <c r="X35" s="557"/>
      <c r="Y35" s="557"/>
      <c r="Z35" s="557"/>
      <c r="AA35" s="557"/>
      <c r="AB35" s="557"/>
      <c r="AC35" s="557"/>
      <c r="AD35" s="557"/>
      <c r="AE35" s="557"/>
      <c r="AF35" s="557"/>
      <c r="AG35" s="557"/>
      <c r="AH35" s="557"/>
      <c r="AI35" s="557"/>
      <c r="AQ35" s="50">
        <v>14</v>
      </c>
    </row>
    <row r="36" ht="14.65" customHeight="1">
      <c r="Q36" s="548"/>
      <c r="R36" s="548"/>
      <c r="S36" s="157" t="s">
        <v>305</v>
      </c>
      <c r="T36" s="157"/>
      <c r="U36" s="157"/>
      <c r="V36" s="157"/>
      <c r="W36" s="157"/>
      <c r="X36" s="157"/>
      <c r="Y36" s="157"/>
      <c r="Z36" s="157"/>
      <c r="AA36" s="157"/>
      <c r="AB36" s="157"/>
      <c r="AC36" s="157"/>
      <c r="AD36" s="157"/>
      <c r="AE36" s="157"/>
      <c r="AF36" s="157"/>
      <c r="AG36" s="157"/>
      <c r="AH36" s="157"/>
      <c r="AI36" s="157"/>
      <c r="AJ36" s="157"/>
      <c r="AK36" s="157" t="s">
        <v>306</v>
      </c>
      <c r="AQ36" s="50">
        <v>14</v>
      </c>
    </row>
    <row r="37" ht="14.65" customHeight="1">
      <c r="Q37" s="548"/>
      <c r="R37" s="548"/>
      <c r="S37" s="493" t="s">
        <v>89</v>
      </c>
      <c r="T37" s="358" t="s">
        <v>430</v>
      </c>
      <c r="U37" s="558"/>
      <c r="V37" s="559" t="s">
        <v>431</v>
      </c>
      <c r="W37" s="560"/>
      <c r="X37" s="560"/>
      <c r="Y37" s="560"/>
      <c r="Z37" s="560"/>
      <c r="AA37" s="561"/>
      <c r="AB37" s="562" t="s">
        <v>432</v>
      </c>
      <c r="AC37" s="559" t="s">
        <v>431</v>
      </c>
      <c r="AD37" s="560"/>
      <c r="AE37" s="560"/>
      <c r="AF37" s="560"/>
      <c r="AG37" s="560"/>
      <c r="AH37" s="561"/>
      <c r="AI37" s="562" t="s">
        <v>433</v>
      </c>
      <c r="AJ37" s="563" t="s">
        <v>434</v>
      </c>
      <c r="AK37" s="157"/>
      <c r="AQ37" s="50">
        <v>14</v>
      </c>
    </row>
    <row r="38" ht="35.649999999999999" customHeight="1">
      <c r="Q38" s="548"/>
      <c r="R38" s="548"/>
      <c r="S38" s="493"/>
      <c r="T38" s="358"/>
      <c r="U38" s="564"/>
      <c r="V38" s="320" t="s">
        <v>490</v>
      </c>
      <c r="W38" s="73" t="s">
        <v>437</v>
      </c>
      <c r="X38" s="72"/>
      <c r="Y38" s="73" t="s">
        <v>438</v>
      </c>
      <c r="Z38" s="145"/>
      <c r="AA38" s="72"/>
      <c r="AB38" s="566"/>
      <c r="AC38" s="320" t="s">
        <v>490</v>
      </c>
      <c r="AD38" s="73" t="s">
        <v>437</v>
      </c>
      <c r="AE38" s="72"/>
      <c r="AF38" s="73" t="s">
        <v>438</v>
      </c>
      <c r="AG38" s="145"/>
      <c r="AH38" s="72"/>
      <c r="AI38" s="566"/>
      <c r="AJ38" s="567"/>
      <c r="AK38" s="157"/>
      <c r="AQ38" s="50">
        <v>34</v>
      </c>
    </row>
    <row r="39" ht="90.299999999999997" customHeight="1">
      <c r="A39" s="151"/>
      <c r="B39" s="151" t="s">
        <v>135</v>
      </c>
      <c r="C39" s="151" t="s">
        <v>136</v>
      </c>
      <c r="D39" s="151" t="s">
        <v>137</v>
      </c>
      <c r="E39" s="490" t="s">
        <v>439</v>
      </c>
      <c r="F39" s="490" t="s">
        <v>440</v>
      </c>
      <c r="G39" s="490" t="s">
        <v>441</v>
      </c>
      <c r="H39" s="490"/>
      <c r="I39" s="490" t="s">
        <v>491</v>
      </c>
      <c r="J39" s="490" t="s">
        <v>444</v>
      </c>
      <c r="K39" s="490" t="s">
        <v>492</v>
      </c>
      <c r="L39" s="490" t="s">
        <v>420</v>
      </c>
      <c r="Q39" s="548"/>
      <c r="R39" s="548"/>
      <c r="S39" s="493"/>
      <c r="T39" s="358"/>
      <c r="U39" s="568"/>
      <c r="V39" s="320" t="s">
        <v>522</v>
      </c>
      <c r="W39" s="246" t="s">
        <v>523</v>
      </c>
      <c r="X39" s="246" t="s">
        <v>495</v>
      </c>
      <c r="Y39" s="246" t="s">
        <v>448</v>
      </c>
      <c r="Z39" s="424" t="s">
        <v>449</v>
      </c>
      <c r="AA39" s="426"/>
      <c r="AB39" s="570"/>
      <c r="AC39" s="320" t="s">
        <v>522</v>
      </c>
      <c r="AD39" s="246" t="s">
        <v>523</v>
      </c>
      <c r="AE39" s="246" t="s">
        <v>495</v>
      </c>
      <c r="AF39" s="246" t="s">
        <v>448</v>
      </c>
      <c r="AG39" s="424" t="s">
        <v>449</v>
      </c>
      <c r="AH39" s="426"/>
      <c r="AI39" s="570"/>
      <c r="AJ39" s="571"/>
      <c r="AK39" s="157"/>
      <c r="AQ39" s="50">
        <v>86</v>
      </c>
    </row>
    <row r="40" s="131" customFormat="1" ht="11.25" hidden="1" customHeight="1">
      <c r="A40" s="151"/>
      <c r="B40" s="151"/>
      <c r="C40" s="151"/>
      <c r="D40" s="151"/>
      <c r="E40" s="151"/>
      <c r="F40" s="151"/>
      <c r="G40" s="151"/>
      <c r="H40" s="151"/>
      <c r="I40" s="151"/>
      <c r="J40" s="151"/>
      <c r="K40" s="151"/>
      <c r="L40" s="490"/>
      <c r="M40" s="61"/>
      <c r="N40" s="61"/>
      <c r="O40" s="61"/>
      <c r="P40" s="572"/>
      <c r="Q40" s="573"/>
      <c r="R40" s="574">
        <v>1</v>
      </c>
      <c r="S40" s="575" t="s">
        <v>109</v>
      </c>
      <c r="T40" s="576" t="s">
        <v>110</v>
      </c>
      <c r="U40" s="577" t="str">
        <f ca="1">OFFSET(U40,0,-1)</f>
        <v>2</v>
      </c>
      <c r="V40" s="578">
        <f ca="1">OFFSET(V40,0,-1)+1</f>
        <v>3</v>
      </c>
      <c r="W40" s="578">
        <f ca="1">OFFSET(W40,0,-1)+1</f>
        <v>4</v>
      </c>
      <c r="X40" s="578">
        <f ca="1">OFFSET(X40,0,-1)+1</f>
        <v>5</v>
      </c>
      <c r="Y40" s="578">
        <f ca="1">OFFSET(Y40,0,-1)+1</f>
        <v>6</v>
      </c>
      <c r="Z40" s="578">
        <f ca="1">OFFSET(Z40,0,-1)+1</f>
        <v>7</v>
      </c>
      <c r="AA40" s="578"/>
      <c r="AB40" s="578">
        <f ca="1">OFFSET(AB40,0,-2)+1</f>
        <v>8</v>
      </c>
      <c r="AC40" s="578">
        <f ca="1">OFFSET(AC40,0,-1)+1</f>
        <v>9</v>
      </c>
      <c r="AD40" s="578">
        <f ca="1">OFFSET(AD40,0,-1)+1</f>
        <v>10</v>
      </c>
      <c r="AE40" s="578">
        <f ca="1">OFFSET(AE40,0,-1)+1</f>
        <v>11</v>
      </c>
      <c r="AF40" s="578">
        <f ca="1">OFFSET(AF40,0,-1)+1</f>
        <v>12</v>
      </c>
      <c r="AG40" s="578">
        <f ca="1">OFFSET(AG40,0,-1)+1</f>
        <v>13</v>
      </c>
      <c r="AH40" s="578"/>
      <c r="AI40" s="578">
        <f ca="1">OFFSET(AI40,0,-2)+1</f>
        <v>14</v>
      </c>
      <c r="AJ40" s="577">
        <f ca="1">OFFSET(AJ40,0,-1)</f>
        <v>14</v>
      </c>
      <c r="AK40" s="578">
        <f ca="1">OFFSET(AK40,0,-1)+1</f>
        <v>15</v>
      </c>
      <c r="AL40" s="57"/>
      <c r="AM40" s="57"/>
      <c r="AN40" s="57"/>
      <c r="AO40" s="57"/>
      <c r="AP40" s="57"/>
      <c r="AQ40" s="131">
        <v>0</v>
      </c>
    </row>
    <row r="41" ht="24" customHeight="1">
      <c r="A41" s="488" t="s">
        <v>271</v>
      </c>
      <c r="B41" s="488"/>
      <c r="C41" s="488"/>
      <c r="D41" s="488"/>
      <c r="E41" s="489">
        <v>1</v>
      </c>
      <c r="F41" s="488"/>
      <c r="G41" s="488"/>
      <c r="H41" s="488"/>
      <c r="I41" s="488"/>
      <c r="J41" s="488"/>
      <c r="K41" s="488"/>
      <c r="L41" s="490"/>
      <c r="M41" s="491"/>
      <c r="N41" s="491"/>
      <c r="O41" s="491"/>
      <c r="P41" s="60"/>
      <c r="Q41" s="143"/>
      <c r="R41" s="492"/>
      <c r="S41" s="493">
        <f>INDEX(PT_DIFFERENTIATION_NUM_NTAR,MATCH(A41,PT_DIFFERENTIATION_NTAR_ID,0))</f>
        <v>0</v>
      </c>
      <c r="T41" s="494" t="s">
        <v>123</v>
      </c>
      <c r="U41" s="495"/>
      <c r="V41" s="496"/>
      <c r="W41" s="497"/>
      <c r="X41" s="497"/>
      <c r="Y41" s="497"/>
      <c r="Z41" s="497"/>
      <c r="AA41" s="497"/>
      <c r="AB41" s="498"/>
      <c r="AC41" s="496" t="str">
        <f>INDEX(PT_DIFFERENTIATION_NTAR,MATCH(A41,PT_DIFFERENTIATION_NTAR_ID,0))</f>
        <v/>
      </c>
      <c r="AD41" s="497"/>
      <c r="AE41" s="497"/>
      <c r="AF41" s="497"/>
      <c r="AG41" s="497"/>
      <c r="AH41" s="497"/>
      <c r="AI41" s="497"/>
      <c r="AJ41" s="498"/>
      <c r="AK41" s="4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129"/>
      <c r="AN41" s="129" t="str">
        <f t="shared" si="36"/>
        <v xml:space="preserve">Наименование тарифа</v>
      </c>
      <c r="AO41" s="129"/>
      <c r="AP41" s="129"/>
      <c r="AQ41" s="50">
        <v>23</v>
      </c>
    </row>
    <row r="42" ht="24" customHeight="1">
      <c r="A42" s="488" t="s">
        <v>271</v>
      </c>
      <c r="B42" s="488" t="s">
        <v>272</v>
      </c>
      <c r="C42" s="488"/>
      <c r="D42" s="488"/>
      <c r="E42" s="500"/>
      <c r="F42" s="489">
        <v>1</v>
      </c>
      <c r="G42" s="488"/>
      <c r="H42" s="488"/>
      <c r="I42" s="488"/>
      <c r="J42" s="488"/>
      <c r="K42" s="488"/>
      <c r="L42" s="490"/>
      <c r="M42" s="491"/>
      <c r="N42" s="491"/>
      <c r="O42" s="491"/>
      <c r="P42" s="51"/>
      <c r="Q42" s="501"/>
      <c r="R42" s="502"/>
      <c r="S42" s="493" t="str">
        <f>INDEX(PT_DIFFERENTIATION_NUM_TER,MATCH(B42,PT_DIFFERENTIATION_TER_ID,0))</f>
        <v>.</v>
      </c>
      <c r="T42" s="503" t="s">
        <v>402</v>
      </c>
      <c r="U42" s="495"/>
      <c r="V42" s="496"/>
      <c r="W42" s="497"/>
      <c r="X42" s="497"/>
      <c r="Y42" s="497"/>
      <c r="Z42" s="497"/>
      <c r="AA42" s="497"/>
      <c r="AB42" s="498"/>
      <c r="AC42" s="496" t="str">
        <f>INDEX(PT_DIFFERENTIATION_TER,MATCH(B42,PT_DIFFERENTIATION_TER_ID,0))</f>
        <v/>
      </c>
      <c r="AD42" s="497"/>
      <c r="AE42" s="497"/>
      <c r="AF42" s="497"/>
      <c r="AG42" s="497"/>
      <c r="AH42" s="497"/>
      <c r="AI42" s="497"/>
      <c r="AJ42" s="498"/>
      <c r="AK42" s="499" t="s">
        <v>403</v>
      </c>
      <c r="AM42" s="129"/>
      <c r="AN42" s="129" t="str">
        <f t="shared" si="36"/>
        <v xml:space="preserve">Территория действия тарифа</v>
      </c>
      <c r="AO42" s="129"/>
      <c r="AP42" s="129"/>
      <c r="AQ42" s="50">
        <v>23</v>
      </c>
    </row>
    <row r="43" ht="24" customHeight="1">
      <c r="A43" s="488" t="s">
        <v>271</v>
      </c>
      <c r="B43" s="488" t="s">
        <v>272</v>
      </c>
      <c r="C43" s="488" t="s">
        <v>273</v>
      </c>
      <c r="D43" s="488"/>
      <c r="E43" s="500"/>
      <c r="F43" s="500"/>
      <c r="G43" s="489">
        <v>1</v>
      </c>
      <c r="H43" s="488"/>
      <c r="I43" s="488"/>
      <c r="J43" s="488"/>
      <c r="K43" s="488"/>
      <c r="L43" s="490"/>
      <c r="M43" s="491"/>
      <c r="N43" s="491"/>
      <c r="O43" s="491"/>
      <c r="P43" s="504"/>
      <c r="Q43" s="501"/>
      <c r="R43" s="502"/>
      <c r="S43" s="493" t="str">
        <f>INDEX(PT_DIFFERENTIATION_NUM_CS,MATCH(C43,PT_DIFFERENTIATION_CS_ID,0))</f>
        <v>..</v>
      </c>
      <c r="T43" s="505" t="s">
        <v>520</v>
      </c>
      <c r="U43" s="495"/>
      <c r="V43" s="496"/>
      <c r="W43" s="497"/>
      <c r="X43" s="497"/>
      <c r="Y43" s="497"/>
      <c r="Z43" s="497"/>
      <c r="AA43" s="497"/>
      <c r="AB43" s="498"/>
      <c r="AC43" s="496" t="str">
        <f>INDEX(PT_DIFFERENTIATION_CS,MATCH(C43,PT_DIFFERENTIATION_CS_ID,0))</f>
        <v/>
      </c>
      <c r="AD43" s="497"/>
      <c r="AE43" s="497"/>
      <c r="AF43" s="497"/>
      <c r="AG43" s="497"/>
      <c r="AH43" s="497"/>
      <c r="AI43" s="497"/>
      <c r="AJ43" s="498"/>
      <c r="AK43" s="499" t="s">
        <v>521</v>
      </c>
      <c r="AM43" s="129"/>
      <c r="AN43" s="129" t="str">
        <f t="shared" si="36"/>
        <v xml:space="preserve">Наименование централизованной системы водоотведения</v>
      </c>
      <c r="AO43" s="129"/>
      <c r="AP43" s="129"/>
      <c r="AQ43" s="50">
        <v>23</v>
      </c>
    </row>
    <row r="44" ht="24" customHeight="1">
      <c r="A44" s="488" t="s">
        <v>271</v>
      </c>
      <c r="B44" s="488" t="s">
        <v>272</v>
      </c>
      <c r="C44" s="488" t="s">
        <v>273</v>
      </c>
      <c r="D44" s="488" t="s">
        <v>524</v>
      </c>
      <c r="E44" s="500"/>
      <c r="F44" s="500"/>
      <c r="G44" s="500"/>
      <c r="H44" s="500"/>
      <c r="I44" s="507" t="str">
        <f>S43&amp;".1"</f>
        <v>...1</v>
      </c>
      <c r="J44" s="488"/>
      <c r="K44" s="488"/>
      <c r="L44" s="490"/>
      <c r="P44" s="132">
        <v>1</v>
      </c>
      <c r="Q44" s="132"/>
      <c r="R44" s="508"/>
      <c r="S44" s="493" t="str">
        <f>$I44</f>
        <v>...1</v>
      </c>
      <c r="T44" s="509" t="s">
        <v>484</v>
      </c>
      <c r="U44" s="495"/>
      <c r="V44" s="685"/>
      <c r="W44" s="686"/>
      <c r="X44" s="686"/>
      <c r="Y44" s="686"/>
      <c r="Z44" s="686"/>
      <c r="AA44" s="686"/>
      <c r="AB44" s="687"/>
      <c r="AC44" s="688"/>
      <c r="AD44" s="689"/>
      <c r="AE44" s="689"/>
      <c r="AF44" s="689"/>
      <c r="AG44" s="689"/>
      <c r="AH44" s="689"/>
      <c r="AI44" s="689"/>
      <c r="AJ44" s="690"/>
      <c r="AK44" s="499" t="s">
        <v>485</v>
      </c>
      <c r="AM44" s="129"/>
      <c r="AN44" s="129" t="str">
        <f t="shared" si="36"/>
        <v xml:space="preserve">Наименование признака дифференциации</v>
      </c>
      <c r="AO44" s="129"/>
      <c r="AP44" s="129"/>
      <c r="AQ44" s="50">
        <v>23</v>
      </c>
    </row>
    <row r="45" ht="24" customHeight="1">
      <c r="A45" s="488" t="s">
        <v>271</v>
      </c>
      <c r="B45" s="488" t="s">
        <v>272</v>
      </c>
      <c r="C45" s="488" t="s">
        <v>273</v>
      </c>
      <c r="D45" s="488" t="s">
        <v>524</v>
      </c>
      <c r="E45" s="500"/>
      <c r="F45" s="500"/>
      <c r="G45" s="500"/>
      <c r="H45" s="500"/>
      <c r="I45" s="512"/>
      <c r="J45" s="507" t="str">
        <f>I44&amp;".1"</f>
        <v>...1.1</v>
      </c>
      <c r="K45" s="488"/>
      <c r="L45" s="490" t="s">
        <v>411</v>
      </c>
      <c r="P45" s="132"/>
      <c r="Q45" s="132">
        <v>1</v>
      </c>
      <c r="R45" s="513"/>
      <c r="S45" s="493" t="str">
        <f>$J45</f>
        <v>...1.1</v>
      </c>
      <c r="T45" s="514" t="s">
        <v>412</v>
      </c>
      <c r="U45" s="495"/>
      <c r="V45" s="440"/>
      <c r="W45" s="510"/>
      <c r="X45" s="510"/>
      <c r="Y45" s="510"/>
      <c r="Z45" s="510"/>
      <c r="AA45" s="510"/>
      <c r="AB45" s="511"/>
      <c r="AC45" s="440"/>
      <c r="AD45" s="510"/>
      <c r="AE45" s="510"/>
      <c r="AF45" s="510"/>
      <c r="AG45" s="510"/>
      <c r="AH45" s="510"/>
      <c r="AI45" s="510"/>
      <c r="AJ45" s="511"/>
      <c r="AK45" s="626" t="s">
        <v>486</v>
      </c>
      <c r="AM45" s="129"/>
      <c r="AN45" s="129" t="str">
        <f t="shared" si="36"/>
        <v xml:space="preserve">Группа потребителей</v>
      </c>
      <c r="AO45" s="129"/>
      <c r="AP45" s="129"/>
      <c r="AQ45" s="50">
        <v>23</v>
      </c>
    </row>
    <row r="46" ht="24" customHeight="1">
      <c r="A46" s="488" t="s">
        <v>271</v>
      </c>
      <c r="B46" s="488" t="s">
        <v>272</v>
      </c>
      <c r="C46" s="488" t="s">
        <v>273</v>
      </c>
      <c r="D46" s="488" t="s">
        <v>524</v>
      </c>
      <c r="E46" s="500"/>
      <c r="F46" s="500"/>
      <c r="G46" s="500"/>
      <c r="H46" s="500"/>
      <c r="I46" s="512"/>
      <c r="J46" s="512"/>
      <c r="K46" s="507" t="str">
        <f>J45&amp;".1"</f>
        <v>...1.1.1</v>
      </c>
      <c r="L46" s="490"/>
      <c r="P46" s="132"/>
      <c r="Q46" s="132"/>
      <c r="R46" s="513">
        <v>1</v>
      </c>
      <c r="S46" s="493" t="str">
        <f>$K46</f>
        <v>...1.1.1</v>
      </c>
      <c r="T46" s="691"/>
      <c r="U46" s="495"/>
      <c r="V46" s="542"/>
      <c r="W46" s="542"/>
      <c r="X46" s="543"/>
      <c r="Y46" s="544"/>
      <c r="Z46" s="545" t="s">
        <v>67</v>
      </c>
      <c r="AA46" s="544"/>
      <c r="AB46" s="545" t="s">
        <v>67</v>
      </c>
      <c r="AC46" s="516"/>
      <c r="AD46" s="516"/>
      <c r="AE46" s="518"/>
      <c r="AF46" s="519"/>
      <c r="AG46" s="224" t="s">
        <v>67</v>
      </c>
      <c r="AH46" s="579"/>
      <c r="AI46" s="224" t="s">
        <v>19</v>
      </c>
      <c r="AJ46" s="692"/>
      <c r="AK46" s="69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 t="e">
        <f>STRCHECKDATE(V47:AJ47)</f>
        <v>#NAME?</v>
      </c>
      <c r="AM46" s="129"/>
      <c r="AN46" s="129" t="str">
        <f t="shared" si="36"/>
        <v/>
      </c>
      <c r="AO46" s="129"/>
      <c r="AP46" s="129"/>
      <c r="AQ46" s="50">
        <v>23</v>
      </c>
    </row>
    <row r="47" ht="0" customHeight="1">
      <c r="A47" s="488" t="s">
        <v>271</v>
      </c>
      <c r="B47" s="488" t="s">
        <v>272</v>
      </c>
      <c r="C47" s="488" t="s">
        <v>273</v>
      </c>
      <c r="D47" s="488" t="s">
        <v>524</v>
      </c>
      <c r="E47" s="500"/>
      <c r="F47" s="500"/>
      <c r="G47" s="500"/>
      <c r="H47" s="500"/>
      <c r="I47" s="512"/>
      <c r="J47" s="512"/>
      <c r="K47" s="507"/>
      <c r="L47" s="490"/>
      <c r="P47" s="132"/>
      <c r="Q47" s="132"/>
      <c r="R47" s="513"/>
      <c r="S47" s="467"/>
      <c r="T47" s="495"/>
      <c r="U47" s="495"/>
      <c r="V47" s="542"/>
      <c r="W47" s="542"/>
      <c r="X47" s="521" t="str">
        <f>Y46&amp;"-"&amp;AA46</f>
        <v>-</v>
      </c>
      <c r="Y47" s="545"/>
      <c r="Z47" s="545"/>
      <c r="AA47" s="545"/>
      <c r="AB47" s="545"/>
      <c r="AC47" s="517"/>
      <c r="AD47" s="517"/>
      <c r="AE47" s="521" t="str">
        <f>AF46&amp;"-"&amp;AH46</f>
        <v>-</v>
      </c>
      <c r="AF47" s="522"/>
      <c r="AG47" s="224"/>
      <c r="AH47" s="581"/>
      <c r="AI47" s="224"/>
      <c r="AJ47" s="694"/>
      <c r="AK47" s="693"/>
      <c r="AM47" s="129"/>
      <c r="AN47" s="129" t="str">
        <f t="shared" si="36"/>
        <v/>
      </c>
      <c r="AO47" s="129"/>
      <c r="AP47" s="129"/>
      <c r="AQ47" s="50">
        <v>0</v>
      </c>
    </row>
    <row r="48" ht="21" customHeight="1">
      <c r="A48" s="488" t="s">
        <v>271</v>
      </c>
      <c r="B48" s="488" t="s">
        <v>272</v>
      </c>
      <c r="C48" s="488" t="s">
        <v>273</v>
      </c>
      <c r="D48" s="488" t="s">
        <v>524</v>
      </c>
      <c r="E48" s="500"/>
      <c r="F48" s="500"/>
      <c r="G48" s="500"/>
      <c r="H48" s="500"/>
      <c r="I48" s="512"/>
      <c r="J48" s="507"/>
      <c r="K48" s="488"/>
      <c r="L48" s="490"/>
      <c r="P48" s="132"/>
      <c r="Q48" s="132"/>
      <c r="R48" s="508"/>
      <c r="S48" s="524"/>
      <c r="T48" s="528" t="s">
        <v>487</v>
      </c>
      <c r="U48" s="214"/>
      <c r="V48" s="214"/>
      <c r="W48" s="214"/>
      <c r="X48" s="214"/>
      <c r="Y48" s="214"/>
      <c r="Z48" s="214"/>
      <c r="AA48" s="214"/>
      <c r="AB48" s="214"/>
      <c r="AC48" s="214"/>
      <c r="AD48" s="214"/>
      <c r="AE48" s="214"/>
      <c r="AF48" s="214"/>
      <c r="AG48" s="214"/>
      <c r="AH48" s="214"/>
      <c r="AI48" s="214"/>
      <c r="AJ48" s="214"/>
      <c r="AK48" s="499" t="s">
        <v>488</v>
      </c>
      <c r="AM48" s="129"/>
      <c r="AN48" s="129" t="str">
        <f t="shared" si="36"/>
        <v xml:space="preserve">Добавить значение признака дифференциации</v>
      </c>
      <c r="AO48" s="129"/>
      <c r="AP48" s="129"/>
      <c r="AQ48" s="50">
        <v>20</v>
      </c>
    </row>
    <row r="49" ht="22" customHeight="1">
      <c r="A49" s="488" t="s">
        <v>271</v>
      </c>
      <c r="B49" s="488" t="s">
        <v>272</v>
      </c>
      <c r="C49" s="488" t="s">
        <v>273</v>
      </c>
      <c r="D49" s="488" t="s">
        <v>524</v>
      </c>
      <c r="E49" s="500"/>
      <c r="F49" s="500"/>
      <c r="G49" s="500"/>
      <c r="H49" s="500"/>
      <c r="I49" s="507"/>
      <c r="J49" s="488"/>
      <c r="K49" s="488"/>
      <c r="L49" s="490"/>
      <c r="P49" s="132"/>
      <c r="Q49" s="132"/>
      <c r="R49" s="508"/>
      <c r="S49" s="524"/>
      <c r="T49" s="532" t="s">
        <v>417</v>
      </c>
      <c r="U49" s="214"/>
      <c r="V49" s="214"/>
      <c r="W49" s="214"/>
      <c r="X49" s="214"/>
      <c r="Y49" s="214"/>
      <c r="Z49" s="214"/>
      <c r="AA49" s="214"/>
      <c r="AB49" s="529"/>
      <c r="AC49" s="214"/>
      <c r="AD49" s="214"/>
      <c r="AE49" s="214"/>
      <c r="AF49" s="214"/>
      <c r="AG49" s="214"/>
      <c r="AH49" s="214"/>
      <c r="AI49" s="529"/>
      <c r="AJ49" s="214"/>
      <c r="AK49" s="695"/>
      <c r="AM49" s="129"/>
      <c r="AN49" s="129" t="str">
        <f t="shared" si="36"/>
        <v xml:space="preserve">Добавить группу потребителей</v>
      </c>
      <c r="AO49" s="129"/>
      <c r="AP49" s="129"/>
      <c r="AQ49" s="50">
        <v>21</v>
      </c>
    </row>
    <row r="50" ht="22" customHeight="1">
      <c r="A50" s="488" t="s">
        <v>271</v>
      </c>
      <c r="B50" s="488" t="s">
        <v>272</v>
      </c>
      <c r="C50" s="488" t="s">
        <v>273</v>
      </c>
      <c r="D50" s="488" t="s">
        <v>524</v>
      </c>
      <c r="E50" s="500"/>
      <c r="F50" s="500"/>
      <c r="G50" s="500"/>
      <c r="H50" s="489"/>
      <c r="I50" s="488"/>
      <c r="J50" s="488"/>
      <c r="K50" s="488"/>
      <c r="L50" s="490"/>
      <c r="M50" s="491"/>
      <c r="N50" s="491"/>
      <c r="O50" s="53"/>
      <c r="P50" s="143"/>
      <c r="Q50" s="531"/>
      <c r="R50" s="492"/>
      <c r="S50" s="524"/>
      <c r="T50" s="696" t="s">
        <v>489</v>
      </c>
      <c r="U50" s="214"/>
      <c r="V50" s="214"/>
      <c r="W50" s="214"/>
      <c r="X50" s="214"/>
      <c r="Y50" s="214"/>
      <c r="Z50" s="214"/>
      <c r="AA50" s="214"/>
      <c r="AB50" s="529"/>
      <c r="AC50" s="214"/>
      <c r="AD50" s="214"/>
      <c r="AE50" s="214"/>
      <c r="AF50" s="214"/>
      <c r="AG50" s="214"/>
      <c r="AH50" s="214"/>
      <c r="AI50" s="529"/>
      <c r="AJ50" s="214"/>
      <c r="AK50" s="530"/>
      <c r="AM50" s="129"/>
      <c r="AN50" s="129" t="str">
        <f t="shared" si="36"/>
        <v xml:space="preserve">Добавить наименование признака дифференциации</v>
      </c>
      <c r="AO50" s="129"/>
      <c r="AP50" s="129"/>
      <c r="AQ50" s="50">
        <v>21</v>
      </c>
    </row>
    <row r="51" s="57" customFormat="1" ht="0" customHeight="1">
      <c r="A51" s="133" t="s">
        <v>271</v>
      </c>
      <c r="B51" s="133" t="s">
        <v>272</v>
      </c>
      <c r="C51" s="133"/>
      <c r="D51" s="133"/>
      <c r="E51" s="500"/>
      <c r="F51" s="489"/>
      <c r="G51" s="133"/>
      <c r="H51" s="133"/>
      <c r="I51" s="133"/>
      <c r="J51" s="133"/>
      <c r="K51" s="133"/>
      <c r="L51" s="212"/>
      <c r="M51" s="537"/>
      <c r="N51" s="537"/>
      <c r="P51" s="167"/>
      <c r="Q51" s="533"/>
      <c r="R51" s="167"/>
      <c r="S51" s="538"/>
      <c r="T51" s="541" t="s">
        <v>212</v>
      </c>
      <c r="U51" s="540"/>
      <c r="V51" s="540"/>
      <c r="W51" s="540"/>
      <c r="X51" s="540"/>
      <c r="Y51" s="540"/>
      <c r="Z51" s="540"/>
      <c r="AA51" s="540"/>
      <c r="AB51" s="540"/>
      <c r="AC51" s="540"/>
      <c r="AD51" s="540"/>
      <c r="AE51" s="540"/>
      <c r="AF51" s="540"/>
      <c r="AG51" s="540"/>
      <c r="AH51" s="540"/>
      <c r="AI51" s="540"/>
      <c r="AJ51" s="540"/>
      <c r="AK51" s="540"/>
      <c r="AM51" s="129"/>
      <c r="AN51" s="129" t="str">
        <f t="shared" si="36"/>
        <v xml:space="preserve">Добавить централизованную систему для дифференциации</v>
      </c>
      <c r="AO51" s="129"/>
      <c r="AP51" s="129"/>
      <c r="AQ51" s="57">
        <v>0</v>
      </c>
    </row>
    <row r="52" s="57" customFormat="1" ht="0" customHeight="1">
      <c r="A52" s="133" t="s">
        <v>271</v>
      </c>
      <c r="B52" s="133"/>
      <c r="C52" s="133"/>
      <c r="D52" s="133"/>
      <c r="E52" s="489"/>
      <c r="F52" s="133"/>
      <c r="G52" s="133"/>
      <c r="H52" s="133"/>
      <c r="I52" s="133"/>
      <c r="J52" s="133"/>
      <c r="K52" s="133"/>
      <c r="L52" s="212"/>
      <c r="M52" s="537"/>
      <c r="N52" s="537"/>
      <c r="O52" s="57"/>
      <c r="P52" s="167"/>
      <c r="Q52" s="533"/>
      <c r="R52" s="167"/>
      <c r="S52" s="538"/>
      <c r="T52" s="541" t="s">
        <v>213</v>
      </c>
      <c r="U52" s="540"/>
      <c r="V52" s="540"/>
      <c r="W52" s="540"/>
      <c r="X52" s="540"/>
      <c r="Y52" s="540"/>
      <c r="Z52" s="540"/>
      <c r="AA52" s="540"/>
      <c r="AB52" s="540"/>
      <c r="AC52" s="540"/>
      <c r="AD52" s="540"/>
      <c r="AE52" s="540"/>
      <c r="AF52" s="540"/>
      <c r="AG52" s="540"/>
      <c r="AH52" s="540"/>
      <c r="AI52" s="540"/>
      <c r="AJ52" s="540"/>
      <c r="AK52" s="540"/>
      <c r="AM52" s="129"/>
      <c r="AN52" s="129" t="str">
        <f t="shared" si="36"/>
        <v xml:space="preserve">Добавить территорию для дифференциации</v>
      </c>
      <c r="AO52" s="129"/>
      <c r="AP52" s="129"/>
      <c r="AQ52" s="57">
        <v>0</v>
      </c>
    </row>
    <row r="53" s="57" customFormat="1" ht="0" customHeight="1">
      <c r="A53" s="133"/>
      <c r="B53" s="133"/>
      <c r="C53" s="133"/>
      <c r="D53" s="133"/>
      <c r="E53" s="133"/>
      <c r="F53" s="133"/>
      <c r="G53" s="133"/>
      <c r="H53" s="133"/>
      <c r="I53" s="133"/>
      <c r="J53" s="133"/>
      <c r="K53" s="133"/>
      <c r="L53" s="212"/>
      <c r="M53" s="537"/>
      <c r="N53" s="537"/>
      <c r="P53" s="167"/>
      <c r="Q53" s="533"/>
      <c r="R53" s="167"/>
      <c r="S53" s="538"/>
      <c r="T53" s="541" t="s">
        <v>214</v>
      </c>
      <c r="U53" s="540"/>
      <c r="V53" s="540"/>
      <c r="W53" s="540"/>
      <c r="X53" s="540"/>
      <c r="Y53" s="540"/>
      <c r="Z53" s="540"/>
      <c r="AA53" s="540"/>
      <c r="AB53" s="540"/>
      <c r="AC53" s="540"/>
      <c r="AD53" s="540"/>
      <c r="AE53" s="540"/>
      <c r="AF53" s="540"/>
      <c r="AG53" s="540"/>
      <c r="AH53" s="540"/>
      <c r="AI53" s="540"/>
      <c r="AJ53" s="540"/>
      <c r="AK53" s="540"/>
      <c r="AM53" s="129"/>
      <c r="AN53" s="129" t="str">
        <f t="shared" si="36"/>
        <v xml:space="preserve">Добавить наименование тарифа</v>
      </c>
      <c r="AO53" s="129"/>
      <c r="AP53" s="129"/>
      <c r="AQ53" s="57">
        <v>0</v>
      </c>
    </row>
    <row r="54" ht="11.5" customHeight="1">
      <c r="M54" s="53"/>
      <c r="N54" s="53"/>
      <c r="O54" s="53"/>
      <c r="P54" s="50"/>
      <c r="Q54" s="50"/>
      <c r="R54" s="50"/>
      <c r="S54" s="50"/>
      <c r="AL54" s="50"/>
      <c r="AM54" s="50"/>
      <c r="AN54" s="50"/>
      <c r="AO54" s="50"/>
      <c r="AP54" s="50"/>
      <c r="AQ54" s="50">
        <v>11</v>
      </c>
    </row>
    <row r="55" ht="14.65" customHeight="1">
      <c r="O55" s="53"/>
      <c r="S55" s="485"/>
      <c r="T55" s="583"/>
      <c r="U55" s="583"/>
      <c r="V55" s="583"/>
      <c r="W55" s="583"/>
      <c r="X55" s="583"/>
      <c r="Y55" s="583"/>
      <c r="Z55" s="583"/>
      <c r="AA55" s="583"/>
      <c r="AB55" s="583"/>
      <c r="AC55" s="583"/>
      <c r="AD55" s="583"/>
      <c r="AE55" s="583"/>
      <c r="AF55" s="583"/>
      <c r="AG55" s="583"/>
      <c r="AH55" s="583"/>
      <c r="AI55" s="583"/>
      <c r="AJ55" s="583"/>
      <c r="AK55" s="583"/>
      <c r="AQ55" s="50">
        <v>14</v>
      </c>
    </row>
    <row r="56" ht="14.65" customHeight="1">
      <c r="O56" s="53"/>
      <c r="AQ56" s="50">
        <v>14</v>
      </c>
    </row>
    <row r="57" ht="14.65" customHeight="1">
      <c r="O57" s="53"/>
      <c r="S57" s="485"/>
      <c r="T57" s="583"/>
      <c r="U57" s="583"/>
      <c r="V57" s="583"/>
      <c r="W57" s="583"/>
      <c r="X57" s="583"/>
      <c r="Y57" s="583"/>
      <c r="Z57" s="583"/>
      <c r="AA57" s="583"/>
      <c r="AB57" s="583"/>
      <c r="AC57" s="583"/>
      <c r="AD57" s="583"/>
      <c r="AE57" s="583"/>
      <c r="AF57" s="583"/>
      <c r="AG57" s="583"/>
      <c r="AH57" s="583"/>
      <c r="AI57" s="583"/>
      <c r="AJ57" s="583"/>
      <c r="AK57" s="583"/>
      <c r="AQ57" s="50">
        <v>14</v>
      </c>
    </row>
    <row r="58" ht="22.5" hidden="1" customHeight="1">
      <c r="A58" s="53" t="s">
        <v>83</v>
      </c>
      <c r="B58" s="53">
        <v>0</v>
      </c>
      <c r="C58" s="53">
        <v>0</v>
      </c>
      <c r="D58" s="53">
        <v>0</v>
      </c>
      <c r="E58" s="53">
        <v>0</v>
      </c>
      <c r="F58" s="53">
        <v>0</v>
      </c>
      <c r="G58" s="53">
        <v>0</v>
      </c>
      <c r="H58" s="53">
        <v>0</v>
      </c>
      <c r="I58" s="53">
        <v>0</v>
      </c>
      <c r="J58" s="53">
        <v>0</v>
      </c>
      <c r="K58" s="53">
        <v>0</v>
      </c>
      <c r="L58" s="113">
        <v>0</v>
      </c>
      <c r="M58" s="61">
        <v>0</v>
      </c>
      <c r="N58" s="61">
        <v>0</v>
      </c>
      <c r="O58" s="61">
        <v>0</v>
      </c>
      <c r="P58" s="60">
        <v>3</v>
      </c>
      <c r="Q58" s="487">
        <v>3</v>
      </c>
      <c r="R58" s="487">
        <v>3</v>
      </c>
      <c r="S58" s="86">
        <v>12</v>
      </c>
      <c r="T58" s="50">
        <v>35</v>
      </c>
      <c r="U58" s="50">
        <v>0</v>
      </c>
      <c r="V58" s="50">
        <v>0</v>
      </c>
      <c r="W58" s="50">
        <v>0</v>
      </c>
      <c r="X58" s="50">
        <v>0</v>
      </c>
      <c r="Y58" s="50">
        <v>0</v>
      </c>
      <c r="Z58" s="50">
        <v>0</v>
      </c>
      <c r="AA58" s="50">
        <v>0</v>
      </c>
      <c r="AB58" s="50">
        <v>0</v>
      </c>
      <c r="AC58" s="50">
        <v>24</v>
      </c>
      <c r="AD58" s="50">
        <v>24</v>
      </c>
      <c r="AE58" s="50">
        <v>24</v>
      </c>
      <c r="AF58" s="50">
        <v>11</v>
      </c>
      <c r="AG58" s="50">
        <v>3</v>
      </c>
      <c r="AH58" s="50">
        <v>11</v>
      </c>
      <c r="AI58" s="50">
        <v>0</v>
      </c>
      <c r="AJ58" s="50">
        <v>4</v>
      </c>
      <c r="AK58" s="50">
        <v>115</v>
      </c>
      <c r="AL58" s="57">
        <v>10</v>
      </c>
      <c r="AM58" s="57">
        <v>10</v>
      </c>
      <c r="AN58" s="57">
        <v>10</v>
      </c>
      <c r="AO58" s="57">
        <v>10</v>
      </c>
      <c r="AP58" s="57">
        <v>10</v>
      </c>
      <c r="AQ58" s="50">
        <v>23</v>
      </c>
    </row>
  </sheetData>
  <sheetProtection autoFilter="0" deleteColumns="1" deleteRows="1" formatCells="1" formatColumns="0" formatRows="0" insertColumns="1" insertHyperlinks="1" insertRows="1" objects="0" pivotTables="1" scenarios="0" selectLockedCells="0" selectUnlockedCells="0" sheet="1" sort="1"/>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Z7:Z8"/>
    <mergeCell ref="AA7:AA8"/>
    <mergeCell ref="AB7:AB8"/>
    <mergeCell ref="AF7:AF8"/>
    <mergeCell ref="AG7:AG8"/>
    <mergeCell ref="AH7:AH8"/>
    <mergeCell ref="AI7:AI8"/>
    <mergeCell ref="AK7:AK8"/>
    <mergeCell ref="AF15:AF16"/>
    <mergeCell ref="AG15:AG16"/>
    <mergeCell ref="AH15:AH16"/>
    <mergeCell ref="AI15:AI16"/>
    <mergeCell ref="S24:AH24"/>
    <mergeCell ref="S25:AH25"/>
    <mergeCell ref="S27:T27"/>
    <mergeCell ref="V27:AA27"/>
    <mergeCell ref="AC27:AH27"/>
    <mergeCell ref="S28:T28"/>
    <mergeCell ref="V28:AA28"/>
    <mergeCell ref="AC28:AH28"/>
    <mergeCell ref="S29:T29"/>
    <mergeCell ref="V29:AA29"/>
    <mergeCell ref="AC29:AH29"/>
    <mergeCell ref="S30:T30"/>
    <mergeCell ref="V30:AA30"/>
    <mergeCell ref="AC30:AH30"/>
    <mergeCell ref="S32:T32"/>
    <mergeCell ref="V32:AA32"/>
    <mergeCell ref="AC32:AH32"/>
    <mergeCell ref="S33:T33"/>
    <mergeCell ref="V33:AA33"/>
    <mergeCell ref="AC33:AH33"/>
    <mergeCell ref="V35:AB35"/>
    <mergeCell ref="AC35:AI35"/>
    <mergeCell ref="S36:AJ36"/>
    <mergeCell ref="AK36:AK39"/>
    <mergeCell ref="S37:S39"/>
    <mergeCell ref="T37:T39"/>
    <mergeCell ref="V37:AA37"/>
    <mergeCell ref="AB37:AB39"/>
    <mergeCell ref="AC37:AH37"/>
    <mergeCell ref="AI37:AI39"/>
    <mergeCell ref="AJ37:AJ39"/>
    <mergeCell ref="W38:X38"/>
    <mergeCell ref="Y38:AA38"/>
    <mergeCell ref="AD38:AE38"/>
    <mergeCell ref="AF38:AH38"/>
    <mergeCell ref="Z39:AA39"/>
    <mergeCell ref="AG39:AH39"/>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K46:K47"/>
    <mergeCell ref="Y46:Y47"/>
    <mergeCell ref="Z46:Z47"/>
    <mergeCell ref="AA46:AA47"/>
    <mergeCell ref="AB46:AB47"/>
    <mergeCell ref="AF46:AF47"/>
    <mergeCell ref="AG46:AG47"/>
    <mergeCell ref="AH46:AH47"/>
    <mergeCell ref="AI46:AI47"/>
    <mergeCell ref="AK46:AK47"/>
    <mergeCell ref="T55:AK55"/>
    <mergeCell ref="T57:AK57"/>
  </mergeCells>
  <dataValidations count="4" disablePrompts="0">
    <dataValidation sqref="S131116:AK131122 S196652:AK196658 S262188:AK262194 S327724:AK327730 S393260:AK393266 S458796:AK458802 S524332:AK524338 S589868:AK589874 S655404:AK655410 S720940:AK720946 S786476:AK786482 S852012:AK852018 S917548:AK917554 S983084:AK983090 S65580:AK65586" type="none" allowBlank="1" errorStyle="stop" imeMode="noControl" operator="between" showDropDown="0" showErrorMessage="0" showInputMessage="0"/>
    <dataValidation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type="none" allowBlank="1" errorStyle="stop" imeMode="noControl" operator="between" promptTitle="checkPeriodRange"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8F004D-0068-4CAA-A048-00B400DF007D}"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V983081:AJ983081 V65577:AJ65577 V131113:AJ131113 V196649:AJ196649 V262185:AJ262185 V327721:AJ327721 V393257:AJ393257 V458793:AJ458793 V524329:AJ524329 V589865:AJ589865 V655401:AJ655401 V720937:AJ720937 V786473:AJ786473 V852009:AJ852009 V917545:AJ917545</xm:sqref>
        </x14:dataValidation>
        <x14:dataValidation xr:uid="{00BC005E-0004-4526-AE4B-0094005F0089}" type="list" allowBlank="1" error="Выберите значение из списка" errorStyle="stop" errorTitle="Ошибка" imeMode="noControl" operator="between" showDropDown="0" showErrorMessage="1" showInputMessage="1">
          <x14:formula1>
            <xm:f>kind_of_heat_transfer</xm:f>
          </x14:formula1>
          <xm:sqref>T65578 T131114 T196650 T262186 T327722 T393258 T458794 T524330 T589866 T655402 T720938 T786474 T852010 T917546 T983082</xm:sqref>
        </x14:dataValidation>
        <x14:dataValidation xr:uid="{00AC00F6-00D9-443B-B6E5-00CA000000BD}" type="textLength" allowBlank="1" error="Допускается ввод не более 900 символов!" errorStyle="stop" errorTitle="Ошибка" imeMode="noControl" operator="lessThanOrEqual" showDropDown="0" showErrorMessage="1" showInputMessage="1">
          <x14:formula1>
            <xm:f>900</xm:f>
          </x14:formula1>
          <xm: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xm:sqref>
        </x14:dataValidation>
        <x14:dataValidation xr:uid="{00B2000C-0097-4034-B5D9-00BE0025003E}" type="list" allowBlank="1" error="Выберите значение из списка" errorStyle="stop" errorTitle="Ошибка" imeMode="noControl" operator="between" showDropDown="0" showErrorMessage="1" showInputMessage="1">
          <x14:formula1>
            <xm:f>kind_of_scheme_in</xm:f>
          </x14:formula1>
          <xm:sqref>V983080 V65576 V131112 V196648 V262184 V327720 V393256 V458792 V524328 V589864 V655400 V720936 V786472 V852008 V917544 AC983080 AC65576 AC131112 AC196648 AC262184 AC327720 AC393256 AC458792 AC524328 AC589864 AC655400 AC720936 AC786472 AC852008 AC917544</xm:sqref>
        </x14:dataValidation>
      </x14:dataValidations>
    </ext>
  </extLs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zoomScale="90" workbookViewId="0">
      <pane xSplit="28" ySplit="40" topLeftCell="AC41" activePane="bottomRight" state="frozen"/>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4.140625"/>
    <col customWidth="1" hidden="1" min="10" max="10" style="53" width="9.8515625"/>
    <col customWidth="1" hidden="1" min="11" max="11" style="53" width="14.7109375"/>
    <col customWidth="1" hidden="1" min="12" max="12" style="113" width="19.140625"/>
    <col customWidth="1" hidden="1" min="13" max="14" style="61" width="12.28125"/>
    <col customWidth="1" hidden="1" min="15" max="15" style="61" width="23.421875"/>
    <col customWidth="1" min="16" max="16" style="60" width="3.00390625"/>
    <col customWidth="1" min="17" max="18" style="487" width="3.00390625"/>
    <col customWidth="1" min="19" max="19" style="86" width="12.00390625"/>
    <col customWidth="1" min="20" max="20" style="50" width="35.00390625"/>
    <col customWidth="1" min="21" max="21" style="50" width="0.140625"/>
    <col customWidth="1" hidden="1" min="22" max="24" style="50" width="24.7109375"/>
    <col customWidth="1" hidden="1" min="25" max="25" style="50" width="11.7109375"/>
    <col customWidth="1" hidden="1" min="26" max="26" style="50" width="3.7109375"/>
    <col customWidth="1" hidden="1" min="27" max="27" style="50" width="11.7109375"/>
    <col customWidth="1" hidden="1" min="28" max="28" style="50" width="8.57421875"/>
    <col customWidth="1" min="29" max="29" style="50" width="24.7109375"/>
    <col customWidth="1" min="30" max="31" style="50" width="24.00390625"/>
    <col customWidth="1" min="32" max="32" style="50" width="11.00390625"/>
    <col customWidth="1" min="33" max="33" style="50" width="3.7109375"/>
    <col customWidth="1" min="34" max="34" style="50" width="11.00390625"/>
    <col customWidth="1" hidden="1" min="35" max="35" style="50" width="8.57421875"/>
    <col customWidth="1" min="36" max="36" style="50" width="4.00390625"/>
    <col customWidth="1" min="37" max="37" style="50" width="115.00390625"/>
    <col customWidth="1" min="38" max="42" style="57" width="10.00390625"/>
    <col hidden="1" min="43" max="43" style="50" width="10.57421875"/>
  </cols>
  <sheetData>
    <row r="1" ht="22.5" hidden="1" customHeight="1">
      <c r="X1" s="50"/>
      <c r="Y1" s="50"/>
      <c r="AE1" s="50"/>
      <c r="AF1" s="50"/>
      <c r="AQ1" s="50" t="s">
        <v>14</v>
      </c>
    </row>
    <row r="2" ht="23.25" hidden="1" customHeight="1">
      <c r="A2" s="488"/>
      <c r="B2" s="488"/>
      <c r="C2" s="488"/>
      <c r="D2" s="488"/>
      <c r="E2" s="489">
        <v>1</v>
      </c>
      <c r="F2" s="488"/>
      <c r="G2" s="488"/>
      <c r="H2" s="488"/>
      <c r="I2" s="488"/>
      <c r="J2" s="488"/>
      <c r="K2" s="488"/>
      <c r="L2" s="490"/>
      <c r="M2" s="491"/>
      <c r="N2" s="491"/>
      <c r="O2" s="491"/>
      <c r="P2" s="60"/>
      <c r="Q2" s="143"/>
      <c r="R2" s="492"/>
      <c r="S2" s="493" t="e">
        <f>INDEX(PT_DIFFERENTIATION_NUM_NTAR,MATCH(A2,PT_DIFFERENTIATION_NTAR_ID,0))</f>
        <v>#VALUE!</v>
      </c>
      <c r="T2" s="494" t="s">
        <v>123</v>
      </c>
      <c r="U2" s="495"/>
      <c r="V2" s="496"/>
      <c r="W2" s="497"/>
      <c r="X2" s="497"/>
      <c r="Y2" s="497"/>
      <c r="Z2" s="497"/>
      <c r="AA2" s="497"/>
      <c r="AB2" s="498"/>
      <c r="AC2" s="496" t="e">
        <f>INDEX(PT_DIFFERENTIATION_NTAR,MATCH(A2,PT_DIFFERENTIATION_NTAR_ID,0))</f>
        <v>#VALUE!</v>
      </c>
      <c r="AD2" s="497"/>
      <c r="AE2" s="497"/>
      <c r="AF2" s="497"/>
      <c r="AG2" s="497"/>
      <c r="AH2" s="497"/>
      <c r="AI2" s="497"/>
      <c r="AJ2" s="498"/>
      <c r="AK2" s="4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129"/>
      <c r="AN2" s="129" t="str">
        <f t="shared" ref="AN2:AN9" si="37">IF(T2="","",T2)</f>
        <v xml:space="preserve">Наименование тарифа</v>
      </c>
      <c r="AO2" s="129"/>
      <c r="AP2" s="129"/>
      <c r="AQ2" s="50">
        <v>0</v>
      </c>
    </row>
    <row r="3" ht="23.25" hidden="1" customHeight="1">
      <c r="A3" s="488"/>
      <c r="B3" s="488"/>
      <c r="C3" s="488"/>
      <c r="D3" s="488"/>
      <c r="E3" s="500"/>
      <c r="F3" s="489">
        <v>1</v>
      </c>
      <c r="G3" s="488"/>
      <c r="H3" s="488"/>
      <c r="I3" s="488"/>
      <c r="J3" s="488"/>
      <c r="K3" s="488"/>
      <c r="L3" s="490"/>
      <c r="M3" s="491"/>
      <c r="N3" s="491"/>
      <c r="O3" s="491"/>
      <c r="P3" s="51"/>
      <c r="Q3" s="501"/>
      <c r="R3" s="502"/>
      <c r="S3" s="493" t="e">
        <f>INDEX(PT_DIFFERENTIATION_NUM_TER,MATCH(B3,PT_DIFFERENTIATION_TER_ID,0))</f>
        <v>#VALUE!</v>
      </c>
      <c r="T3" s="503" t="s">
        <v>402</v>
      </c>
      <c r="U3" s="495"/>
      <c r="V3" s="496"/>
      <c r="W3" s="497"/>
      <c r="X3" s="497"/>
      <c r="Y3" s="497"/>
      <c r="Z3" s="497"/>
      <c r="AA3" s="497"/>
      <c r="AB3" s="498"/>
      <c r="AC3" s="496" t="e">
        <f>INDEX(PT_DIFFERENTIATION_TER,MATCH(B3,PT_DIFFERENTIATION_TER_ID,0))</f>
        <v>#VALUE!</v>
      </c>
      <c r="AD3" s="497"/>
      <c r="AE3" s="497"/>
      <c r="AF3" s="497"/>
      <c r="AG3" s="497"/>
      <c r="AH3" s="497"/>
      <c r="AI3" s="497"/>
      <c r="AJ3" s="498"/>
      <c r="AK3" s="499" t="s">
        <v>403</v>
      </c>
      <c r="AM3" s="129"/>
      <c r="AN3" s="129" t="str">
        <f t="shared" si="37"/>
        <v xml:space="preserve">Территория действия тарифа</v>
      </c>
      <c r="AO3" s="129"/>
      <c r="AP3" s="129"/>
      <c r="AQ3" s="50">
        <v>0</v>
      </c>
    </row>
    <row r="4" ht="23.25" hidden="1" customHeight="1">
      <c r="A4" s="488"/>
      <c r="B4" s="488"/>
      <c r="C4" s="488"/>
      <c r="D4" s="488"/>
      <c r="E4" s="500"/>
      <c r="F4" s="500"/>
      <c r="G4" s="489">
        <v>1</v>
      </c>
      <c r="H4" s="488"/>
      <c r="I4" s="488"/>
      <c r="J4" s="488"/>
      <c r="K4" s="488"/>
      <c r="L4" s="490"/>
      <c r="M4" s="491"/>
      <c r="N4" s="491"/>
      <c r="O4" s="491"/>
      <c r="P4" s="504"/>
      <c r="Q4" s="501"/>
      <c r="R4" s="502"/>
      <c r="S4" s="493" t="e">
        <f>INDEX(PT_DIFFERENTIATION_NUM_CS,MATCH(C4,PT_DIFFERENTIATION_CS_ID,0))</f>
        <v>#VALUE!</v>
      </c>
      <c r="T4" s="505" t="s">
        <v>520</v>
      </c>
      <c r="U4" s="495"/>
      <c r="V4" s="496"/>
      <c r="W4" s="497"/>
      <c r="X4" s="497"/>
      <c r="Y4" s="497"/>
      <c r="Z4" s="497"/>
      <c r="AA4" s="497"/>
      <c r="AB4" s="498"/>
      <c r="AC4" s="496" t="e">
        <f>INDEX(PT_DIFFERENTIATION_CS,MATCH(C4,PT_DIFFERENTIATION_CS_ID,0))</f>
        <v>#VALUE!</v>
      </c>
      <c r="AD4" s="497"/>
      <c r="AE4" s="497"/>
      <c r="AF4" s="497"/>
      <c r="AG4" s="497"/>
      <c r="AH4" s="497"/>
      <c r="AI4" s="497"/>
      <c r="AJ4" s="498"/>
      <c r="AK4" s="499" t="s">
        <v>521</v>
      </c>
      <c r="AM4" s="129"/>
      <c r="AN4" s="129" t="str">
        <f t="shared" si="37"/>
        <v xml:space="preserve">Наименование централизованной системы водоотведения</v>
      </c>
      <c r="AO4" s="129"/>
      <c r="AP4" s="129"/>
      <c r="AQ4" s="50">
        <v>0</v>
      </c>
    </row>
    <row r="5" ht="23.25" hidden="1" customHeight="1">
      <c r="A5" s="488"/>
      <c r="B5" s="488"/>
      <c r="C5" s="488"/>
      <c r="D5" s="488"/>
      <c r="E5" s="500"/>
      <c r="F5" s="500"/>
      <c r="G5" s="500"/>
      <c r="H5" s="500"/>
      <c r="I5" s="507" t="e">
        <f>S4&amp;".1"</f>
        <v>#VALUE!</v>
      </c>
      <c r="J5" s="488"/>
      <c r="K5" s="488"/>
      <c r="L5" s="490"/>
      <c r="P5" s="132">
        <v>1</v>
      </c>
      <c r="Q5" s="132"/>
      <c r="R5" s="508"/>
      <c r="S5" s="493" t="e">
        <f>$I5</f>
        <v>#VALUE!</v>
      </c>
      <c r="T5" s="509" t="s">
        <v>484</v>
      </c>
      <c r="U5" s="495"/>
      <c r="V5" s="685"/>
      <c r="W5" s="686"/>
      <c r="X5" s="686"/>
      <c r="Y5" s="686"/>
      <c r="Z5" s="686"/>
      <c r="AA5" s="686"/>
      <c r="AB5" s="687"/>
      <c r="AC5" s="688"/>
      <c r="AD5" s="689"/>
      <c r="AE5" s="689"/>
      <c r="AF5" s="689"/>
      <c r="AG5" s="689"/>
      <c r="AH5" s="689"/>
      <c r="AI5" s="689"/>
      <c r="AJ5" s="690"/>
      <c r="AK5" s="499" t="s">
        <v>485</v>
      </c>
      <c r="AM5" s="129"/>
      <c r="AN5" s="129" t="str">
        <f t="shared" si="37"/>
        <v xml:space="preserve">Наименование признака дифференциации</v>
      </c>
      <c r="AO5" s="129"/>
      <c r="AP5" s="129"/>
      <c r="AQ5" s="50">
        <v>0</v>
      </c>
    </row>
    <row r="6" ht="23.25" hidden="1" customHeight="1">
      <c r="A6" s="488"/>
      <c r="B6" s="488"/>
      <c r="C6" s="488"/>
      <c r="D6" s="488"/>
      <c r="E6" s="500"/>
      <c r="F6" s="500"/>
      <c r="G6" s="500"/>
      <c r="H6" s="500"/>
      <c r="I6" s="512"/>
      <c r="J6" s="507" t="e">
        <f>I5&amp;".1"</f>
        <v>#VALUE!</v>
      </c>
      <c r="K6" s="488"/>
      <c r="L6" s="490" t="s">
        <v>411</v>
      </c>
      <c r="P6" s="132"/>
      <c r="Q6" s="132">
        <v>1</v>
      </c>
      <c r="R6" s="513"/>
      <c r="S6" s="493" t="e">
        <f>$J6</f>
        <v>#VALUE!</v>
      </c>
      <c r="T6" s="514" t="s">
        <v>412</v>
      </c>
      <c r="U6" s="495"/>
      <c r="V6" s="440"/>
      <c r="W6" s="510"/>
      <c r="X6" s="510"/>
      <c r="Y6" s="510"/>
      <c r="Z6" s="510"/>
      <c r="AA6" s="510"/>
      <c r="AB6" s="511"/>
      <c r="AC6" s="440"/>
      <c r="AD6" s="510"/>
      <c r="AE6" s="510"/>
      <c r="AF6" s="510"/>
      <c r="AG6" s="510"/>
      <c r="AH6" s="510"/>
      <c r="AI6" s="510"/>
      <c r="AJ6" s="511"/>
      <c r="AK6" s="626" t="s">
        <v>486</v>
      </c>
      <c r="AM6" s="129"/>
      <c r="AN6" s="129" t="str">
        <f t="shared" si="37"/>
        <v xml:space="preserve">Группа потребителей</v>
      </c>
      <c r="AO6" s="129"/>
      <c r="AP6" s="129"/>
      <c r="AQ6" s="50">
        <v>0</v>
      </c>
    </row>
    <row r="7" ht="23.25" hidden="1" customHeight="1">
      <c r="A7" s="488"/>
      <c r="B7" s="488"/>
      <c r="C7" s="488"/>
      <c r="D7" s="488"/>
      <c r="E7" s="500"/>
      <c r="F7" s="500"/>
      <c r="G7" s="500"/>
      <c r="H7" s="500"/>
      <c r="I7" s="512"/>
      <c r="J7" s="512"/>
      <c r="K7" s="507" t="e">
        <f>J6&amp;".1"</f>
        <v>#VALUE!</v>
      </c>
      <c r="L7" s="490"/>
      <c r="P7" s="132"/>
      <c r="Q7" s="132"/>
      <c r="R7" s="513">
        <v>1</v>
      </c>
      <c r="S7" s="493" t="e">
        <f>$K7</f>
        <v>#VALUE!</v>
      </c>
      <c r="T7" s="691"/>
      <c r="U7" s="495"/>
      <c r="V7" s="516"/>
      <c r="W7" s="516"/>
      <c r="X7" s="518"/>
      <c r="Y7" s="519"/>
      <c r="Z7" s="224" t="s">
        <v>67</v>
      </c>
      <c r="AA7" s="519"/>
      <c r="AB7" s="224" t="s">
        <v>67</v>
      </c>
      <c r="AC7" s="516"/>
      <c r="AD7" s="516"/>
      <c r="AE7" s="518"/>
      <c r="AF7" s="519"/>
      <c r="AG7" s="224" t="s">
        <v>67</v>
      </c>
      <c r="AH7" s="579"/>
      <c r="AI7" s="224" t="s">
        <v>67</v>
      </c>
      <c r="AJ7" s="692"/>
      <c r="AK7" s="69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 t="e">
        <f>STRCHECKDATE(V8:AJ8)</f>
        <v>#NAME?</v>
      </c>
      <c r="AM7" s="129"/>
      <c r="AN7" s="129" t="str">
        <f t="shared" si="37"/>
        <v/>
      </c>
      <c r="AO7" s="129"/>
      <c r="AP7" s="129"/>
      <c r="AQ7" s="50">
        <v>0</v>
      </c>
    </row>
    <row r="8" ht="14.25" hidden="1" customHeight="1">
      <c r="A8" s="488"/>
      <c r="B8" s="488"/>
      <c r="C8" s="488"/>
      <c r="D8" s="488"/>
      <c r="E8" s="500"/>
      <c r="F8" s="500"/>
      <c r="G8" s="500"/>
      <c r="H8" s="500"/>
      <c r="I8" s="512"/>
      <c r="J8" s="512"/>
      <c r="K8" s="507"/>
      <c r="L8" s="490"/>
      <c r="P8" s="132"/>
      <c r="Q8" s="132"/>
      <c r="R8" s="513"/>
      <c r="S8" s="467"/>
      <c r="T8" s="495"/>
      <c r="U8" s="495"/>
      <c r="V8" s="517"/>
      <c r="W8" s="517"/>
      <c r="X8" s="521" t="str">
        <f>Y7&amp;"-"&amp;AA7</f>
        <v>-</v>
      </c>
      <c r="Y8" s="522"/>
      <c r="Z8" s="224"/>
      <c r="AA8" s="522"/>
      <c r="AB8" s="224"/>
      <c r="AC8" s="517"/>
      <c r="AD8" s="517"/>
      <c r="AE8" s="521" t="str">
        <f>AF7&amp;"-"&amp;AH7</f>
        <v>-</v>
      </c>
      <c r="AF8" s="522"/>
      <c r="AG8" s="224"/>
      <c r="AH8" s="581"/>
      <c r="AI8" s="224"/>
      <c r="AJ8" s="694"/>
      <c r="AK8" s="693"/>
      <c r="AM8" s="129"/>
      <c r="AN8" s="129" t="str">
        <f t="shared" si="37"/>
        <v/>
      </c>
      <c r="AO8" s="129"/>
      <c r="AP8" s="129"/>
      <c r="AQ8" s="50">
        <v>0</v>
      </c>
    </row>
    <row r="9" ht="21" hidden="1" customHeight="1">
      <c r="A9" s="488"/>
      <c r="B9" s="488"/>
      <c r="C9" s="488"/>
      <c r="D9" s="488"/>
      <c r="E9" s="500"/>
      <c r="F9" s="500"/>
      <c r="G9" s="500"/>
      <c r="H9" s="500"/>
      <c r="I9" s="512"/>
      <c r="J9" s="507"/>
      <c r="K9" s="488"/>
      <c r="L9" s="490"/>
      <c r="P9" s="132"/>
      <c r="Q9" s="132"/>
      <c r="R9" s="508"/>
      <c r="S9" s="524"/>
      <c r="T9" s="528" t="s">
        <v>487</v>
      </c>
      <c r="U9" s="214"/>
      <c r="V9" s="214"/>
      <c r="W9" s="214"/>
      <c r="X9" s="214"/>
      <c r="Y9" s="214"/>
      <c r="Z9" s="214"/>
      <c r="AA9" s="214"/>
      <c r="AB9" s="214"/>
      <c r="AC9" s="214"/>
      <c r="AD9" s="214"/>
      <c r="AE9" s="214"/>
      <c r="AF9" s="214"/>
      <c r="AG9" s="214"/>
      <c r="AH9" s="214"/>
      <c r="AI9" s="214"/>
      <c r="AJ9" s="214"/>
      <c r="AK9" s="499" t="s">
        <v>488</v>
      </c>
      <c r="AM9" s="129"/>
      <c r="AN9" s="129" t="str">
        <f t="shared" si="37"/>
        <v xml:space="preserve">Добавить значение признака дифференциации</v>
      </c>
      <c r="AO9" s="129"/>
      <c r="AP9" s="129"/>
      <c r="AQ9" s="50">
        <v>0</v>
      </c>
    </row>
    <row r="10" ht="21" hidden="1" customHeight="1">
      <c r="A10" s="488"/>
      <c r="B10" s="488"/>
      <c r="C10" s="488"/>
      <c r="D10" s="488"/>
      <c r="E10" s="500"/>
      <c r="F10" s="500"/>
      <c r="G10" s="500"/>
      <c r="H10" s="500"/>
      <c r="I10" s="507"/>
      <c r="J10" s="488"/>
      <c r="K10" s="488"/>
      <c r="L10" s="490"/>
      <c r="P10" s="132"/>
      <c r="Q10" s="132"/>
      <c r="R10" s="508"/>
      <c r="S10" s="524"/>
      <c r="T10" s="532" t="s">
        <v>417</v>
      </c>
      <c r="U10" s="214"/>
      <c r="V10" s="214"/>
      <c r="W10" s="214"/>
      <c r="X10" s="214"/>
      <c r="Y10" s="214"/>
      <c r="Z10" s="214"/>
      <c r="AA10" s="214"/>
      <c r="AB10" s="529"/>
      <c r="AC10" s="214"/>
      <c r="AD10" s="214"/>
      <c r="AE10" s="214"/>
      <c r="AF10" s="214"/>
      <c r="AG10" s="214"/>
      <c r="AH10" s="214"/>
      <c r="AI10" s="529"/>
      <c r="AJ10" s="214"/>
      <c r="AK10" s="695"/>
      <c r="AM10" s="129"/>
      <c r="AN10" s="129" t="str">
        <f t="shared" ref="AN10:AN53" si="38">IF(T10="","",T10)</f>
        <v xml:space="preserve">Добавить группу потребителей</v>
      </c>
      <c r="AO10" s="129"/>
      <c r="AP10" s="129"/>
      <c r="AQ10" s="50">
        <v>0</v>
      </c>
    </row>
    <row r="11" ht="21" hidden="1" customHeight="1">
      <c r="A11" s="488"/>
      <c r="B11" s="488"/>
      <c r="C11" s="488"/>
      <c r="D11" s="488"/>
      <c r="E11" s="500"/>
      <c r="F11" s="500"/>
      <c r="G11" s="500"/>
      <c r="H11" s="489"/>
      <c r="I11" s="488"/>
      <c r="J11" s="488"/>
      <c r="K11" s="488"/>
      <c r="L11" s="490"/>
      <c r="M11" s="491"/>
      <c r="N11" s="491"/>
      <c r="O11" s="53"/>
      <c r="P11" s="143"/>
      <c r="Q11" s="531"/>
      <c r="R11" s="492"/>
      <c r="S11" s="524"/>
      <c r="T11" s="696" t="s">
        <v>489</v>
      </c>
      <c r="U11" s="214"/>
      <c r="V11" s="214"/>
      <c r="W11" s="214"/>
      <c r="X11" s="214"/>
      <c r="Y11" s="214"/>
      <c r="Z11" s="214"/>
      <c r="AA11" s="214"/>
      <c r="AB11" s="529"/>
      <c r="AC11" s="214"/>
      <c r="AD11" s="214"/>
      <c r="AE11" s="214"/>
      <c r="AF11" s="214"/>
      <c r="AG11" s="214"/>
      <c r="AH11" s="214"/>
      <c r="AI11" s="529"/>
      <c r="AJ11" s="214"/>
      <c r="AK11" s="530"/>
      <c r="AM11" s="129"/>
      <c r="AN11" s="129" t="str">
        <f t="shared" si="38"/>
        <v xml:space="preserve">Добавить наименование признака дифференциации</v>
      </c>
      <c r="AO11" s="129"/>
      <c r="AP11" s="129"/>
      <c r="AQ11" s="50">
        <v>0</v>
      </c>
    </row>
    <row r="12" s="57" customFormat="1" ht="14.25" hidden="1" customHeight="1">
      <c r="A12" s="133"/>
      <c r="B12" s="133"/>
      <c r="C12" s="133"/>
      <c r="D12" s="133"/>
      <c r="E12" s="500"/>
      <c r="F12" s="489"/>
      <c r="G12" s="133"/>
      <c r="H12" s="133"/>
      <c r="I12" s="133"/>
      <c r="J12" s="133"/>
      <c r="K12" s="133"/>
      <c r="L12" s="212"/>
      <c r="M12" s="537"/>
      <c r="N12" s="537"/>
      <c r="P12" s="167"/>
      <c r="Q12" s="533"/>
      <c r="R12" s="167"/>
      <c r="S12" s="538"/>
      <c r="T12" s="541" t="s">
        <v>212</v>
      </c>
      <c r="U12" s="540"/>
      <c r="V12" s="540"/>
      <c r="W12" s="540"/>
      <c r="X12" s="540"/>
      <c r="Y12" s="540"/>
      <c r="Z12" s="540"/>
      <c r="AA12" s="540"/>
      <c r="AB12" s="540"/>
      <c r="AC12" s="540"/>
      <c r="AD12" s="540"/>
      <c r="AE12" s="540"/>
      <c r="AF12" s="540"/>
      <c r="AG12" s="540"/>
      <c r="AH12" s="540"/>
      <c r="AI12" s="540"/>
      <c r="AJ12" s="540"/>
      <c r="AK12" s="540"/>
      <c r="AM12" s="129"/>
      <c r="AN12" s="129" t="str">
        <f t="shared" si="38"/>
        <v xml:space="preserve">Добавить централизованную систему для дифференциации</v>
      </c>
      <c r="AO12" s="129"/>
      <c r="AP12" s="129"/>
      <c r="AQ12" s="57">
        <v>0</v>
      </c>
    </row>
    <row r="13" s="57" customFormat="1" ht="14.25" hidden="1" customHeight="1">
      <c r="A13" s="133"/>
      <c r="B13" s="133"/>
      <c r="C13" s="133"/>
      <c r="D13" s="133"/>
      <c r="E13" s="489"/>
      <c r="F13" s="133"/>
      <c r="G13" s="133"/>
      <c r="H13" s="133"/>
      <c r="I13" s="133"/>
      <c r="J13" s="133"/>
      <c r="K13" s="133"/>
      <c r="L13" s="212"/>
      <c r="M13" s="537"/>
      <c r="N13" s="537"/>
      <c r="O13" s="57"/>
      <c r="P13" s="167"/>
      <c r="Q13" s="533"/>
      <c r="R13" s="167"/>
      <c r="S13" s="538"/>
      <c r="T13" s="541" t="s">
        <v>213</v>
      </c>
      <c r="U13" s="540"/>
      <c r="V13" s="540"/>
      <c r="W13" s="540"/>
      <c r="X13" s="540"/>
      <c r="Y13" s="540"/>
      <c r="Z13" s="540"/>
      <c r="AA13" s="540"/>
      <c r="AB13" s="540"/>
      <c r="AC13" s="540"/>
      <c r="AD13" s="540"/>
      <c r="AE13" s="540"/>
      <c r="AF13" s="540"/>
      <c r="AG13" s="540"/>
      <c r="AH13" s="540"/>
      <c r="AI13" s="540"/>
      <c r="AJ13" s="540"/>
      <c r="AK13" s="540"/>
      <c r="AM13" s="129"/>
      <c r="AN13" s="129" t="str">
        <f t="shared" si="38"/>
        <v xml:space="preserve">Добавить территорию для дифференциации</v>
      </c>
      <c r="AO13" s="129"/>
      <c r="AP13" s="129"/>
      <c r="AQ13" s="57">
        <v>0</v>
      </c>
    </row>
    <row r="14" ht="14.25" hidden="1" customHeight="1">
      <c r="AB14" s="50"/>
      <c r="AI14" s="50"/>
      <c r="AQ14" s="50">
        <v>0</v>
      </c>
    </row>
    <row r="15" ht="14.25" hidden="1" customHeight="1">
      <c r="AC15" s="542"/>
      <c r="AD15" s="542"/>
      <c r="AE15" s="543"/>
      <c r="AF15" s="544"/>
      <c r="AG15" s="545" t="s">
        <v>67</v>
      </c>
      <c r="AH15" s="544"/>
      <c r="AI15" s="545" t="s">
        <v>67</v>
      </c>
      <c r="AQ15" s="50">
        <v>0</v>
      </c>
    </row>
    <row r="16" ht="14.25" hidden="1" customHeight="1">
      <c r="AC16" s="542"/>
      <c r="AD16" s="542"/>
      <c r="AE16" s="521" t="str">
        <f>AF15&amp;"-"&amp;AH15</f>
        <v>-</v>
      </c>
      <c r="AF16" s="545"/>
      <c r="AG16" s="545"/>
      <c r="AH16" s="545"/>
      <c r="AI16" s="545"/>
      <c r="AQ16" s="50">
        <v>0</v>
      </c>
    </row>
    <row r="17" ht="14.25" hidden="1" customHeight="1">
      <c r="AI17" s="50"/>
      <c r="AQ17" s="50">
        <v>0</v>
      </c>
    </row>
    <row r="18" s="53" customFormat="1" ht="22.5" hidden="1" customHeight="1">
      <c r="L18" s="113"/>
      <c r="M18" s="61"/>
      <c r="N18" s="61"/>
      <c r="O18" s="546" t="s">
        <v>419</v>
      </c>
      <c r="P18" s="61"/>
      <c r="Q18" s="547"/>
      <c r="R18" s="547"/>
      <c r="S18" s="491"/>
      <c r="Y18" s="546"/>
      <c r="AA18" s="546"/>
      <c r="AB18" s="53"/>
      <c r="AF18" s="546"/>
      <c r="AH18" s="546"/>
      <c r="AI18" s="53"/>
      <c r="AL18" s="57"/>
      <c r="AM18" s="57"/>
      <c r="AN18" s="57"/>
      <c r="AO18" s="57"/>
      <c r="AP18" s="57"/>
      <c r="AQ18" s="53">
        <v>0</v>
      </c>
    </row>
    <row r="19" s="53" customFormat="1" ht="14.25" hidden="1" customHeight="1">
      <c r="L19" s="113"/>
      <c r="M19" s="61"/>
      <c r="N19" s="61"/>
      <c r="O19" s="61"/>
      <c r="P19" s="61"/>
      <c r="Q19" s="547"/>
      <c r="R19" s="547"/>
      <c r="S19" s="491"/>
      <c r="AB19" s="53"/>
      <c r="AI19" s="53"/>
      <c r="AL19" s="57"/>
      <c r="AM19" s="57"/>
      <c r="AN19" s="57"/>
      <c r="AO19" s="57"/>
      <c r="AP19" s="57"/>
      <c r="AQ19" s="53">
        <v>0</v>
      </c>
    </row>
    <row r="20" s="53" customFormat="1" ht="12" hidden="1" customHeight="1">
      <c r="L20" s="113"/>
      <c r="M20" s="61"/>
      <c r="N20" s="61"/>
      <c r="O20" s="490" t="s">
        <v>420</v>
      </c>
      <c r="P20" s="61"/>
      <c r="Q20" s="697"/>
      <c r="R20" s="697"/>
      <c r="S20" s="491"/>
      <c r="T20" s="53" t="s">
        <v>421</v>
      </c>
      <c r="Z20" s="151" t="s">
        <v>422</v>
      </c>
      <c r="AB20" s="151" t="s">
        <v>423</v>
      </c>
      <c r="AC20" s="53" t="s">
        <v>421</v>
      </c>
      <c r="AG20" s="151" t="s">
        <v>424</v>
      </c>
      <c r="AI20" s="151" t="s">
        <v>423</v>
      </c>
      <c r="AQ20" s="53">
        <v>0</v>
      </c>
    </row>
    <row r="21" ht="14.25" hidden="1" customHeight="1">
      <c r="O21" s="490"/>
      <c r="AQ21" s="50">
        <v>0</v>
      </c>
    </row>
    <row r="22" ht="14.25" hidden="1" customHeight="1">
      <c r="O22" s="490"/>
      <c r="AQ22" s="50">
        <v>0</v>
      </c>
    </row>
    <row r="23" ht="14.65" customHeight="1">
      <c r="Q23" s="548"/>
      <c r="R23" s="548"/>
      <c r="S23" s="549"/>
      <c r="T23" s="91"/>
      <c r="U23" s="91"/>
      <c r="V23" s="50"/>
      <c r="W23" s="50"/>
      <c r="X23" s="50"/>
      <c r="Y23" s="50"/>
      <c r="Z23" s="50"/>
      <c r="AA23" s="50"/>
      <c r="AB23" s="50"/>
      <c r="AC23" s="50"/>
      <c r="AD23" s="50"/>
      <c r="AE23" s="50"/>
      <c r="AF23" s="50"/>
      <c r="AG23" s="50"/>
      <c r="AH23" s="50"/>
      <c r="AI23" s="50"/>
      <c r="AQ23" s="50">
        <v>14</v>
      </c>
    </row>
    <row r="24" ht="14.65" customHeight="1">
      <c r="Q24" s="548"/>
      <c r="R24" s="548"/>
      <c r="S24" s="461" t="str">
        <f>IF(TEMPLATE_GROUP="P",PT_P_FORM_VOTV_4_NAME_FORM,PT_R_FORM_VOTV_16_NAME_FORM)</f>
        <v xml:space="preserve">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461"/>
      <c r="U24" s="461"/>
      <c r="V24" s="461"/>
      <c r="W24" s="461"/>
      <c r="X24" s="461"/>
      <c r="Y24" s="461"/>
      <c r="Z24" s="461"/>
      <c r="AA24" s="461"/>
      <c r="AB24" s="461"/>
      <c r="AC24" s="461"/>
      <c r="AD24" s="461"/>
      <c r="AE24" s="461"/>
      <c r="AF24" s="461"/>
      <c r="AG24" s="461"/>
      <c r="AH24" s="461"/>
      <c r="AI24" s="240"/>
      <c r="AQ24" s="50">
        <v>14</v>
      </c>
    </row>
    <row r="25" ht="14.65" customHeight="1">
      <c r="Q25" s="548"/>
      <c r="R25" s="548"/>
      <c r="S25" s="316" t="str">
        <f>IF(org=0,"Не определено",org)</f>
        <v xml:space="preserve">АО "ДГК"</v>
      </c>
      <c r="T25" s="316"/>
      <c r="U25" s="316"/>
      <c r="V25" s="316"/>
      <c r="W25" s="316"/>
      <c r="X25" s="316"/>
      <c r="Y25" s="316"/>
      <c r="Z25" s="316"/>
      <c r="AA25" s="316"/>
      <c r="AB25" s="316"/>
      <c r="AC25" s="316"/>
      <c r="AD25" s="316"/>
      <c r="AE25" s="316"/>
      <c r="AF25" s="316"/>
      <c r="AG25" s="316"/>
      <c r="AH25" s="316"/>
      <c r="AI25" s="240"/>
      <c r="AQ25" s="50">
        <v>14</v>
      </c>
    </row>
    <row r="26" ht="14.25" hidden="1" customHeight="1">
      <c r="Q26" s="548"/>
      <c r="R26" s="548"/>
      <c r="S26" s="549"/>
      <c r="T26" s="91"/>
      <c r="U26" s="91"/>
      <c r="V26" s="550"/>
      <c r="W26" s="550"/>
      <c r="X26" s="550"/>
      <c r="Y26" s="550"/>
      <c r="Z26" s="550"/>
      <c r="AA26" s="550"/>
      <c r="AB26" s="550"/>
      <c r="AC26" s="550"/>
      <c r="AD26" s="550"/>
      <c r="AE26" s="550"/>
      <c r="AF26" s="550"/>
      <c r="AG26" s="550"/>
      <c r="AH26" s="550"/>
      <c r="AI26" s="550"/>
      <c r="AJ26" s="50"/>
      <c r="AQ26" s="50">
        <v>0</v>
      </c>
    </row>
    <row r="27" s="184" customFormat="1" ht="25.5" hidden="1" customHeight="1">
      <c r="A27" s="151"/>
      <c r="B27" s="151"/>
      <c r="C27" s="151"/>
      <c r="D27" s="151"/>
      <c r="E27" s="151"/>
      <c r="F27" s="151"/>
      <c r="G27" s="151"/>
      <c r="H27" s="151"/>
      <c r="I27" s="151"/>
      <c r="J27" s="151"/>
      <c r="K27" s="151"/>
      <c r="L27" s="490"/>
      <c r="M27" s="151"/>
      <c r="N27" s="151"/>
      <c r="O27" s="151"/>
      <c r="S27" s="551" t="s">
        <v>42</v>
      </c>
      <c r="T27" s="551"/>
      <c r="U27" s="552"/>
      <c r="V27" s="553" t="str">
        <f>IF(TITLE_NAME_OR_PR_CHANGE="",IF(TITLE_NAME_OR_PR="","",TITLE_NAME_OR_PR),TITLE_NAME_OR_PR_CHANGE)</f>
        <v/>
      </c>
      <c r="W27" s="553"/>
      <c r="X27" s="553"/>
      <c r="Y27" s="553"/>
      <c r="Z27" s="553"/>
      <c r="AA27" s="553"/>
      <c r="AB27" s="50"/>
      <c r="AC27" s="553" t="str">
        <f>IF(TITLE_NAME_OR_PR_CHANGE="",IF(TITLE_NAME_OR_PR="","",TITLE_NAME_OR_PR),TITLE_NAME_OR_PR_CHANGE)</f>
        <v/>
      </c>
      <c r="AD27" s="553"/>
      <c r="AE27" s="553"/>
      <c r="AF27" s="553"/>
      <c r="AG27" s="553"/>
      <c r="AH27" s="553"/>
      <c r="AI27" s="50"/>
      <c r="AJ27" s="50"/>
      <c r="AK27" s="554"/>
      <c r="AL27" s="129"/>
      <c r="AM27" s="129"/>
      <c r="AN27" s="129"/>
      <c r="AO27" s="129"/>
      <c r="AP27" s="129"/>
      <c r="AQ27" s="184">
        <v>0</v>
      </c>
    </row>
    <row r="28" s="184" customFormat="1" ht="18.75" hidden="1" customHeight="1">
      <c r="A28" s="151"/>
      <c r="B28" s="151"/>
      <c r="C28" s="151"/>
      <c r="D28" s="151"/>
      <c r="E28" s="151"/>
      <c r="F28" s="151"/>
      <c r="G28" s="151"/>
      <c r="H28" s="151"/>
      <c r="I28" s="151"/>
      <c r="J28" s="151"/>
      <c r="K28" s="151"/>
      <c r="L28" s="490"/>
      <c r="M28" s="151"/>
      <c r="N28" s="151"/>
      <c r="O28" s="151"/>
      <c r="S28" s="551" t="s">
        <v>425</v>
      </c>
      <c r="T28" s="551"/>
      <c r="U28" s="552"/>
      <c r="V28" s="555">
        <f>IF(TITLE_DATE_PR_CHANGE="",IF(TITLE_DATE_PR="","",TITLE_DATE_PR),TITLE_DATE_PR_CHANGE)</f>
        <v>46212.428518518522</v>
      </c>
      <c r="W28" s="555"/>
      <c r="X28" s="555"/>
      <c r="Y28" s="555"/>
      <c r="Z28" s="555"/>
      <c r="AA28" s="555"/>
      <c r="AB28" s="50"/>
      <c r="AC28" s="555">
        <f>IF(TITLE_DATE_PR_CHANGE="",IF(TITLE_DATE_PR="","",TITLE_DATE_PR),TITLE_DATE_PR_CHANGE)</f>
        <v>46212.428518518522</v>
      </c>
      <c r="AD28" s="555"/>
      <c r="AE28" s="555"/>
      <c r="AF28" s="555"/>
      <c r="AG28" s="555"/>
      <c r="AH28" s="555"/>
      <c r="AI28" s="50"/>
      <c r="AJ28" s="50"/>
      <c r="AK28" s="554"/>
      <c r="AL28" s="129"/>
      <c r="AM28" s="129"/>
      <c r="AN28" s="129"/>
      <c r="AO28" s="129"/>
      <c r="AP28" s="129"/>
      <c r="AQ28" s="184">
        <v>0</v>
      </c>
    </row>
    <row r="29" s="184" customFormat="1" ht="18.75" hidden="1" customHeight="1">
      <c r="A29" s="151"/>
      <c r="B29" s="151"/>
      <c r="C29" s="151"/>
      <c r="D29" s="151"/>
      <c r="E29" s="151"/>
      <c r="F29" s="151"/>
      <c r="G29" s="151"/>
      <c r="H29" s="151"/>
      <c r="I29" s="151"/>
      <c r="J29" s="151"/>
      <c r="K29" s="151"/>
      <c r="L29" s="490"/>
      <c r="M29" s="151"/>
      <c r="N29" s="151"/>
      <c r="O29" s="151"/>
      <c r="S29" s="551" t="s">
        <v>426</v>
      </c>
      <c r="T29" s="551"/>
      <c r="U29" s="552"/>
      <c r="V29" s="553" t="str">
        <f>IF(TITLE_NUMBER_PR_CHANGE="",IF(TITLE_NUMBER_PR="","",TITLE_NUMBER_PR),TITLE_NUMBER_PR_CHANGE)</f>
        <v>Исх-260/1397</v>
      </c>
      <c r="W29" s="553"/>
      <c r="X29" s="553"/>
      <c r="Y29" s="553"/>
      <c r="Z29" s="553"/>
      <c r="AA29" s="553"/>
      <c r="AB29" s="50"/>
      <c r="AC29" s="553" t="str">
        <f>IF(TITLE_NUMBER_PR_CHANGE="",IF(TITLE_NUMBER_PR="","",TITLE_NUMBER_PR),TITLE_NUMBER_PR_CHANGE)</f>
        <v>Исх-260/1397</v>
      </c>
      <c r="AD29" s="553"/>
      <c r="AE29" s="553"/>
      <c r="AF29" s="553"/>
      <c r="AG29" s="553"/>
      <c r="AH29" s="553"/>
      <c r="AI29" s="50"/>
      <c r="AJ29" s="50"/>
      <c r="AK29" s="554"/>
      <c r="AL29" s="129"/>
      <c r="AM29" s="129"/>
      <c r="AN29" s="129"/>
      <c r="AO29" s="129"/>
      <c r="AP29" s="129"/>
      <c r="AQ29" s="184">
        <v>0</v>
      </c>
    </row>
    <row r="30" s="184" customFormat="1" ht="18.75" hidden="1" customHeight="1">
      <c r="A30" s="151"/>
      <c r="B30" s="151"/>
      <c r="C30" s="151"/>
      <c r="D30" s="151"/>
      <c r="E30" s="151"/>
      <c r="F30" s="151"/>
      <c r="G30" s="151"/>
      <c r="H30" s="151"/>
      <c r="I30" s="151"/>
      <c r="J30" s="151"/>
      <c r="K30" s="151"/>
      <c r="L30" s="490"/>
      <c r="M30" s="151"/>
      <c r="N30" s="151"/>
      <c r="O30" s="151"/>
      <c r="S30" s="551" t="s">
        <v>43</v>
      </c>
      <c r="T30" s="551"/>
      <c r="U30" s="552"/>
      <c r="V30" s="553" t="str">
        <f>IF(TITLE_IST_PUB_CHANGE="",IF(TITLE_IST_PUB="","",TITLE_IST_PUB),TITLE_IST_PUB_CHANGE)</f>
        <v/>
      </c>
      <c r="W30" s="553"/>
      <c r="X30" s="553"/>
      <c r="Y30" s="553"/>
      <c r="Z30" s="553"/>
      <c r="AA30" s="553"/>
      <c r="AB30" s="50"/>
      <c r="AC30" s="553" t="str">
        <f>IF(TITLE_IST_PUB_CHANGE="",IF(TITLE_IST_PUB="","",TITLE_IST_PUB),TITLE_IST_PUB_CHANGE)</f>
        <v/>
      </c>
      <c r="AD30" s="553"/>
      <c r="AE30" s="553"/>
      <c r="AF30" s="553"/>
      <c r="AG30" s="553"/>
      <c r="AH30" s="553"/>
      <c r="AI30" s="50"/>
      <c r="AJ30" s="50"/>
      <c r="AK30" s="554"/>
      <c r="AL30" s="129"/>
      <c r="AM30" s="129"/>
      <c r="AN30" s="129"/>
      <c r="AO30" s="129"/>
      <c r="AP30" s="129"/>
      <c r="AQ30" s="184">
        <v>0</v>
      </c>
    </row>
    <row r="31" ht="14.25" customHeight="1">
      <c r="Q31" s="548"/>
      <c r="R31" s="548"/>
      <c r="S31" s="549"/>
      <c r="T31" s="91"/>
      <c r="U31" s="91"/>
      <c r="V31" s="550"/>
      <c r="W31" s="550"/>
      <c r="X31" s="550"/>
      <c r="Y31" s="550"/>
      <c r="Z31" s="550"/>
      <c r="AA31" s="550"/>
      <c r="AB31" s="550"/>
      <c r="AC31" s="550"/>
      <c r="AD31" s="550"/>
      <c r="AE31" s="550"/>
      <c r="AF31" s="550"/>
      <c r="AG31" s="550"/>
      <c r="AH31" s="550"/>
      <c r="AI31" s="550"/>
      <c r="AJ31" s="50"/>
      <c r="AQ31" s="50">
        <v>0</v>
      </c>
    </row>
    <row r="32" s="184" customFormat="1" ht="18.75" customHeight="1">
      <c r="A32" s="151"/>
      <c r="B32" s="151"/>
      <c r="C32" s="151"/>
      <c r="D32" s="151"/>
      <c r="E32" s="151"/>
      <c r="F32" s="151"/>
      <c r="G32" s="151"/>
      <c r="H32" s="151"/>
      <c r="I32" s="151"/>
      <c r="J32" s="151"/>
      <c r="K32" s="151"/>
      <c r="L32" s="490"/>
      <c r="M32" s="151"/>
      <c r="N32" s="151"/>
      <c r="O32" s="151"/>
      <c r="S32" s="551" t="s">
        <v>427</v>
      </c>
      <c r="T32" s="551"/>
      <c r="U32" s="552"/>
      <c r="V32" s="555">
        <f>IF(TITLE_DATE_PR_CHANGE="",IF(TITLE_DATE_PR="","",TITLE_DATE_PR),TITLE_DATE_PR_CHANGE)</f>
        <v>46212.428518518522</v>
      </c>
      <c r="W32" s="555"/>
      <c r="X32" s="555"/>
      <c r="Y32" s="555"/>
      <c r="Z32" s="555"/>
      <c r="AA32" s="555"/>
      <c r="AB32" s="50"/>
      <c r="AC32" s="555">
        <f>IF(TITLE_DATE_PR_CHANGE="",IF(TITLE_DATE_PR="","",TITLE_DATE_PR),TITLE_DATE_PR_CHANGE)</f>
        <v>46212.428518518522</v>
      </c>
      <c r="AD32" s="555"/>
      <c r="AE32" s="555"/>
      <c r="AF32" s="555"/>
      <c r="AG32" s="555"/>
      <c r="AH32" s="555"/>
      <c r="AI32" s="50"/>
      <c r="AJ32" s="50"/>
      <c r="AK32" s="554"/>
      <c r="AL32" s="129"/>
      <c r="AM32" s="129"/>
      <c r="AN32" s="129"/>
      <c r="AO32" s="129"/>
      <c r="AP32" s="129"/>
      <c r="AQ32" s="184">
        <v>0</v>
      </c>
    </row>
    <row r="33" s="184" customFormat="1" ht="18.75" customHeight="1">
      <c r="A33" s="151"/>
      <c r="B33" s="151"/>
      <c r="C33" s="151"/>
      <c r="D33" s="151"/>
      <c r="E33" s="151"/>
      <c r="F33" s="151"/>
      <c r="G33" s="151"/>
      <c r="H33" s="151"/>
      <c r="I33" s="151"/>
      <c r="J33" s="151"/>
      <c r="K33" s="151"/>
      <c r="L33" s="490"/>
      <c r="M33" s="151"/>
      <c r="N33" s="151"/>
      <c r="O33" s="151"/>
      <c r="S33" s="551" t="s">
        <v>428</v>
      </c>
      <c r="T33" s="551"/>
      <c r="U33" s="552"/>
      <c r="V33" s="553" t="str">
        <f>IF(TITLE_NUMBER_PR_CHANGE="",IF(TITLE_NUMBER_PR="","",TITLE_NUMBER_PR),TITLE_NUMBER_PR_CHANGE)</f>
        <v>Исх-260/1397</v>
      </c>
      <c r="W33" s="553"/>
      <c r="X33" s="553"/>
      <c r="Y33" s="553"/>
      <c r="Z33" s="553"/>
      <c r="AA33" s="553"/>
      <c r="AB33" s="50"/>
      <c r="AC33" s="553" t="str">
        <f>IF(TITLE_NUMBER_PR_CHANGE="",IF(TITLE_NUMBER_PR="","",TITLE_NUMBER_PR),TITLE_NUMBER_PR_CHANGE)</f>
        <v>Исх-260/1397</v>
      </c>
      <c r="AD33" s="553"/>
      <c r="AE33" s="553"/>
      <c r="AF33" s="553"/>
      <c r="AG33" s="553"/>
      <c r="AH33" s="553"/>
      <c r="AI33" s="50"/>
      <c r="AJ33" s="50"/>
      <c r="AK33" s="554"/>
      <c r="AL33" s="129"/>
      <c r="AM33" s="129"/>
      <c r="AN33" s="129"/>
      <c r="AO33" s="129"/>
      <c r="AP33" s="129"/>
      <c r="AQ33" s="184">
        <v>0</v>
      </c>
    </row>
    <row r="34" s="184" customFormat="1" ht="1.05" customHeight="1">
      <c r="A34" s="151"/>
      <c r="B34" s="151"/>
      <c r="C34" s="151"/>
      <c r="D34" s="151"/>
      <c r="E34" s="151"/>
      <c r="F34" s="151"/>
      <c r="G34" s="151"/>
      <c r="H34" s="151"/>
      <c r="I34" s="151"/>
      <c r="J34" s="151"/>
      <c r="K34" s="151"/>
      <c r="L34" s="490"/>
      <c r="M34" s="151"/>
      <c r="N34" s="151"/>
      <c r="O34" s="151"/>
      <c r="S34" s="50"/>
      <c r="T34" s="50"/>
      <c r="U34" s="140"/>
      <c r="V34" s="50"/>
      <c r="W34" s="50"/>
      <c r="X34" s="50"/>
      <c r="Y34" s="50"/>
      <c r="Z34" s="50"/>
      <c r="AA34" s="50"/>
      <c r="AB34" s="57" t="s">
        <v>429</v>
      </c>
      <c r="AC34" s="50"/>
      <c r="AD34" s="50"/>
      <c r="AE34" s="50"/>
      <c r="AF34" s="50"/>
      <c r="AG34" s="50"/>
      <c r="AH34" s="50"/>
      <c r="AI34" s="57" t="s">
        <v>429</v>
      </c>
      <c r="AL34" s="129"/>
      <c r="AM34" s="129"/>
      <c r="AN34" s="129"/>
      <c r="AO34" s="129"/>
      <c r="AP34" s="129"/>
      <c r="AQ34" s="184">
        <v>1</v>
      </c>
    </row>
    <row r="35" ht="14.65" customHeight="1">
      <c r="Q35" s="548"/>
      <c r="R35" s="548"/>
      <c r="S35" s="549"/>
      <c r="T35" s="91"/>
      <c r="U35" s="556"/>
      <c r="V35" s="557"/>
      <c r="W35" s="557"/>
      <c r="X35" s="557"/>
      <c r="Y35" s="557"/>
      <c r="Z35" s="557"/>
      <c r="AA35" s="557"/>
      <c r="AB35" s="557"/>
      <c r="AC35" s="557"/>
      <c r="AD35" s="557"/>
      <c r="AE35" s="557"/>
      <c r="AF35" s="557"/>
      <c r="AG35" s="557"/>
      <c r="AH35" s="557"/>
      <c r="AI35" s="557"/>
      <c r="AQ35" s="50">
        <v>14</v>
      </c>
    </row>
    <row r="36" ht="14.65" customHeight="1">
      <c r="Q36" s="548"/>
      <c r="R36" s="548"/>
      <c r="S36" s="157" t="s">
        <v>305</v>
      </c>
      <c r="T36" s="157"/>
      <c r="U36" s="157"/>
      <c r="V36" s="157"/>
      <c r="W36" s="157"/>
      <c r="X36" s="157"/>
      <c r="Y36" s="157"/>
      <c r="Z36" s="157"/>
      <c r="AA36" s="157"/>
      <c r="AB36" s="157"/>
      <c r="AC36" s="157"/>
      <c r="AD36" s="157"/>
      <c r="AE36" s="157"/>
      <c r="AF36" s="157"/>
      <c r="AG36" s="157"/>
      <c r="AH36" s="157"/>
      <c r="AI36" s="157"/>
      <c r="AJ36" s="157"/>
      <c r="AK36" s="157" t="s">
        <v>306</v>
      </c>
      <c r="AQ36" s="50">
        <v>14</v>
      </c>
    </row>
    <row r="37" ht="14.65" customHeight="1">
      <c r="Q37" s="548"/>
      <c r="R37" s="548"/>
      <c r="S37" s="493" t="s">
        <v>89</v>
      </c>
      <c r="T37" s="358" t="s">
        <v>430</v>
      </c>
      <c r="U37" s="558"/>
      <c r="V37" s="559" t="s">
        <v>431</v>
      </c>
      <c r="W37" s="560"/>
      <c r="X37" s="560"/>
      <c r="Y37" s="560"/>
      <c r="Z37" s="560"/>
      <c r="AA37" s="561"/>
      <c r="AB37" s="562" t="s">
        <v>432</v>
      </c>
      <c r="AC37" s="559" t="s">
        <v>431</v>
      </c>
      <c r="AD37" s="560"/>
      <c r="AE37" s="560"/>
      <c r="AF37" s="560"/>
      <c r="AG37" s="560"/>
      <c r="AH37" s="561"/>
      <c r="AI37" s="562" t="s">
        <v>433</v>
      </c>
      <c r="AJ37" s="563" t="s">
        <v>434</v>
      </c>
      <c r="AK37" s="157"/>
      <c r="AQ37" s="50">
        <v>14</v>
      </c>
    </row>
    <row r="38" ht="35.649999999999999" customHeight="1">
      <c r="Q38" s="548"/>
      <c r="R38" s="548"/>
      <c r="S38" s="493"/>
      <c r="T38" s="358"/>
      <c r="U38" s="564"/>
      <c r="V38" s="320" t="s">
        <v>490</v>
      </c>
      <c r="W38" s="73" t="s">
        <v>437</v>
      </c>
      <c r="X38" s="72"/>
      <c r="Y38" s="73" t="s">
        <v>438</v>
      </c>
      <c r="Z38" s="145"/>
      <c r="AA38" s="72"/>
      <c r="AB38" s="566"/>
      <c r="AC38" s="320" t="s">
        <v>490</v>
      </c>
      <c r="AD38" s="73" t="s">
        <v>437</v>
      </c>
      <c r="AE38" s="72"/>
      <c r="AF38" s="73" t="s">
        <v>438</v>
      </c>
      <c r="AG38" s="145"/>
      <c r="AH38" s="72"/>
      <c r="AI38" s="566"/>
      <c r="AJ38" s="567"/>
      <c r="AK38" s="157"/>
      <c r="AQ38" s="50">
        <v>34</v>
      </c>
    </row>
    <row r="39" ht="90.299999999999997" customHeight="1">
      <c r="A39" s="151"/>
      <c r="B39" s="151" t="s">
        <v>135</v>
      </c>
      <c r="C39" s="151" t="s">
        <v>136</v>
      </c>
      <c r="D39" s="151" t="s">
        <v>137</v>
      </c>
      <c r="E39" s="490" t="s">
        <v>439</v>
      </c>
      <c r="F39" s="490" t="s">
        <v>440</v>
      </c>
      <c r="G39" s="490" t="s">
        <v>441</v>
      </c>
      <c r="H39" s="490"/>
      <c r="I39" s="490" t="s">
        <v>491</v>
      </c>
      <c r="J39" s="490" t="s">
        <v>444</v>
      </c>
      <c r="K39" s="490" t="s">
        <v>492</v>
      </c>
      <c r="L39" s="490" t="s">
        <v>420</v>
      </c>
      <c r="Q39" s="548"/>
      <c r="R39" s="548"/>
      <c r="S39" s="493"/>
      <c r="T39" s="358"/>
      <c r="U39" s="568"/>
      <c r="V39" s="320" t="s">
        <v>522</v>
      </c>
      <c r="W39" s="246" t="s">
        <v>523</v>
      </c>
      <c r="X39" s="246" t="s">
        <v>495</v>
      </c>
      <c r="Y39" s="246" t="s">
        <v>448</v>
      </c>
      <c r="Z39" s="424" t="s">
        <v>449</v>
      </c>
      <c r="AA39" s="426"/>
      <c r="AB39" s="570"/>
      <c r="AC39" s="320" t="s">
        <v>522</v>
      </c>
      <c r="AD39" s="246" t="s">
        <v>523</v>
      </c>
      <c r="AE39" s="246" t="s">
        <v>495</v>
      </c>
      <c r="AF39" s="246" t="s">
        <v>448</v>
      </c>
      <c r="AG39" s="424" t="s">
        <v>449</v>
      </c>
      <c r="AH39" s="426"/>
      <c r="AI39" s="570"/>
      <c r="AJ39" s="571"/>
      <c r="AK39" s="157"/>
      <c r="AQ39" s="50">
        <v>86</v>
      </c>
    </row>
    <row r="40" s="131" customFormat="1" ht="0" customHeight="1">
      <c r="A40" s="151"/>
      <c r="B40" s="151"/>
      <c r="C40" s="151"/>
      <c r="D40" s="151"/>
      <c r="E40" s="151"/>
      <c r="F40" s="151"/>
      <c r="G40" s="151"/>
      <c r="H40" s="151"/>
      <c r="I40" s="151"/>
      <c r="J40" s="151"/>
      <c r="K40" s="151"/>
      <c r="L40" s="490"/>
      <c r="M40" s="61"/>
      <c r="N40" s="61"/>
      <c r="O40" s="61"/>
      <c r="P40" s="572"/>
      <c r="Q40" s="573"/>
      <c r="R40" s="574">
        <v>1</v>
      </c>
      <c r="S40" s="575" t="s">
        <v>109</v>
      </c>
      <c r="T40" s="576" t="s">
        <v>110</v>
      </c>
      <c r="U40" s="577" t="str">
        <f ca="1">OFFSET(U40,0,-1)</f>
        <v>2</v>
      </c>
      <c r="V40" s="578">
        <f ca="1">OFFSET(V40,0,-1)+1</f>
        <v>3</v>
      </c>
      <c r="W40" s="578">
        <f ca="1">OFFSET(W40,0,-1)+1</f>
        <v>4</v>
      </c>
      <c r="X40" s="578">
        <f ca="1">OFFSET(X40,0,-1)+1</f>
        <v>5</v>
      </c>
      <c r="Y40" s="578">
        <f ca="1">OFFSET(Y40,0,-1)+1</f>
        <v>6</v>
      </c>
      <c r="Z40" s="578">
        <f ca="1">OFFSET(Z40,0,-1)+1</f>
        <v>7</v>
      </c>
      <c r="AA40" s="578"/>
      <c r="AB40" s="578">
        <f ca="1">OFFSET(AB40,0,-2)+1</f>
        <v>8</v>
      </c>
      <c r="AC40" s="578">
        <f ca="1">OFFSET(AC40,0,-1)+1</f>
        <v>9</v>
      </c>
      <c r="AD40" s="578">
        <f ca="1">OFFSET(AD40,0,-1)+1</f>
        <v>10</v>
      </c>
      <c r="AE40" s="578">
        <f ca="1">OFFSET(AE40,0,-1)+1</f>
        <v>11</v>
      </c>
      <c r="AF40" s="578">
        <f ca="1">OFFSET(AF40,0,-1)+1</f>
        <v>12</v>
      </c>
      <c r="AG40" s="578">
        <f ca="1">OFFSET(AG40,0,-1)+1</f>
        <v>13</v>
      </c>
      <c r="AH40" s="578"/>
      <c r="AI40" s="578">
        <f ca="1">OFFSET(AI40,0,-2)+1</f>
        <v>14</v>
      </c>
      <c r="AJ40" s="577">
        <f ca="1">OFFSET(AJ40,0,-1)</f>
        <v>14</v>
      </c>
      <c r="AK40" s="578">
        <f ca="1">OFFSET(AK40,0,-1)+1</f>
        <v>15</v>
      </c>
      <c r="AL40" s="57"/>
      <c r="AM40" s="57"/>
      <c r="AN40" s="57"/>
      <c r="AO40" s="57"/>
      <c r="AP40" s="57"/>
      <c r="AQ40" s="131">
        <v>0</v>
      </c>
    </row>
    <row r="41" ht="24" customHeight="1">
      <c r="A41" s="488" t="s">
        <v>276</v>
      </c>
      <c r="B41" s="488"/>
      <c r="C41" s="488"/>
      <c r="D41" s="488"/>
      <c r="E41" s="489">
        <v>1</v>
      </c>
      <c r="F41" s="488"/>
      <c r="G41" s="488"/>
      <c r="H41" s="488"/>
      <c r="I41" s="488"/>
      <c r="J41" s="488"/>
      <c r="K41" s="488"/>
      <c r="L41" s="490"/>
      <c r="M41" s="491"/>
      <c r="N41" s="491"/>
      <c r="O41" s="491"/>
      <c r="P41" s="60"/>
      <c r="Q41" s="143"/>
      <c r="R41" s="492"/>
      <c r="S41" s="493">
        <f>INDEX(PT_DIFFERENTIATION_NUM_NTAR,MATCH(A41,PT_DIFFERENTIATION_NTAR_ID,0))</f>
        <v>0</v>
      </c>
      <c r="T41" s="494" t="s">
        <v>123</v>
      </c>
      <c r="U41" s="495"/>
      <c r="V41" s="496"/>
      <c r="W41" s="497"/>
      <c r="X41" s="497"/>
      <c r="Y41" s="497"/>
      <c r="Z41" s="497"/>
      <c r="AA41" s="497"/>
      <c r="AB41" s="498"/>
      <c r="AC41" s="496" t="str">
        <f>INDEX(PT_DIFFERENTIATION_NTAR,MATCH(A41,PT_DIFFERENTIATION_NTAR_ID,0))</f>
        <v/>
      </c>
      <c r="AD41" s="497"/>
      <c r="AE41" s="497"/>
      <c r="AF41" s="497"/>
      <c r="AG41" s="497"/>
      <c r="AH41" s="497"/>
      <c r="AI41" s="497"/>
      <c r="AJ41" s="498"/>
      <c r="AK41" s="4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129"/>
      <c r="AN41" s="129" t="str">
        <f t="shared" si="38"/>
        <v xml:space="preserve">Наименование тарифа</v>
      </c>
      <c r="AO41" s="129"/>
      <c r="AP41" s="129"/>
      <c r="AQ41" s="50">
        <v>23</v>
      </c>
    </row>
    <row r="42" ht="24" customHeight="1">
      <c r="A42" s="488" t="s">
        <v>276</v>
      </c>
      <c r="B42" s="488" t="s">
        <v>277</v>
      </c>
      <c r="C42" s="488"/>
      <c r="D42" s="488"/>
      <c r="E42" s="500"/>
      <c r="F42" s="489">
        <v>1</v>
      </c>
      <c r="G42" s="488"/>
      <c r="H42" s="488"/>
      <c r="I42" s="488"/>
      <c r="J42" s="488"/>
      <c r="K42" s="488"/>
      <c r="L42" s="490"/>
      <c r="M42" s="491"/>
      <c r="N42" s="491"/>
      <c r="O42" s="491"/>
      <c r="P42" s="51"/>
      <c r="Q42" s="501"/>
      <c r="R42" s="502"/>
      <c r="S42" s="493" t="str">
        <f>INDEX(PT_DIFFERENTIATION_NUM_TER,MATCH(B42,PT_DIFFERENTIATION_TER_ID,0))</f>
        <v>.</v>
      </c>
      <c r="T42" s="503" t="s">
        <v>402</v>
      </c>
      <c r="U42" s="495"/>
      <c r="V42" s="496"/>
      <c r="W42" s="497"/>
      <c r="X42" s="497"/>
      <c r="Y42" s="497"/>
      <c r="Z42" s="497"/>
      <c r="AA42" s="497"/>
      <c r="AB42" s="498"/>
      <c r="AC42" s="496" t="str">
        <f>INDEX(PT_DIFFERENTIATION_TER,MATCH(B42,PT_DIFFERENTIATION_TER_ID,0))</f>
        <v/>
      </c>
      <c r="AD42" s="497"/>
      <c r="AE42" s="497"/>
      <c r="AF42" s="497"/>
      <c r="AG42" s="497"/>
      <c r="AH42" s="497"/>
      <c r="AI42" s="497"/>
      <c r="AJ42" s="498"/>
      <c r="AK42" s="499" t="s">
        <v>403</v>
      </c>
      <c r="AM42" s="129"/>
      <c r="AN42" s="129" t="str">
        <f t="shared" si="38"/>
        <v xml:space="preserve">Территория действия тарифа</v>
      </c>
      <c r="AO42" s="129"/>
      <c r="AP42" s="129"/>
      <c r="AQ42" s="50">
        <v>23</v>
      </c>
    </row>
    <row r="43" ht="24" customHeight="1">
      <c r="A43" s="488" t="s">
        <v>276</v>
      </c>
      <c r="B43" s="488" t="s">
        <v>277</v>
      </c>
      <c r="C43" s="488" t="s">
        <v>278</v>
      </c>
      <c r="D43" s="488"/>
      <c r="E43" s="500"/>
      <c r="F43" s="500"/>
      <c r="G43" s="489">
        <v>1</v>
      </c>
      <c r="H43" s="488"/>
      <c r="I43" s="488"/>
      <c r="J43" s="488"/>
      <c r="K43" s="488"/>
      <c r="L43" s="490"/>
      <c r="M43" s="491"/>
      <c r="N43" s="491"/>
      <c r="O43" s="491"/>
      <c r="P43" s="504"/>
      <c r="Q43" s="501"/>
      <c r="R43" s="502"/>
      <c r="S43" s="493" t="str">
        <f>INDEX(PT_DIFFERENTIATION_NUM_CS,MATCH(C43,PT_DIFFERENTIATION_CS_ID,0))</f>
        <v>..</v>
      </c>
      <c r="T43" s="505" t="s">
        <v>520</v>
      </c>
      <c r="U43" s="495"/>
      <c r="V43" s="496"/>
      <c r="W43" s="497"/>
      <c r="X43" s="497"/>
      <c r="Y43" s="497"/>
      <c r="Z43" s="497"/>
      <c r="AA43" s="497"/>
      <c r="AB43" s="498"/>
      <c r="AC43" s="496" t="str">
        <f>INDEX(PT_DIFFERENTIATION_CS,MATCH(C43,PT_DIFFERENTIATION_CS_ID,0))</f>
        <v/>
      </c>
      <c r="AD43" s="497"/>
      <c r="AE43" s="497"/>
      <c r="AF43" s="497"/>
      <c r="AG43" s="497"/>
      <c r="AH43" s="497"/>
      <c r="AI43" s="497"/>
      <c r="AJ43" s="498"/>
      <c r="AK43" s="499" t="s">
        <v>521</v>
      </c>
      <c r="AM43" s="129"/>
      <c r="AN43" s="129" t="str">
        <f t="shared" si="38"/>
        <v xml:space="preserve">Наименование централизованной системы водоотведения</v>
      </c>
      <c r="AO43" s="129"/>
      <c r="AP43" s="129"/>
      <c r="AQ43" s="50">
        <v>23</v>
      </c>
    </row>
    <row r="44" ht="24" customHeight="1">
      <c r="A44" s="488" t="s">
        <v>276</v>
      </c>
      <c r="B44" s="488" t="s">
        <v>277</v>
      </c>
      <c r="C44" s="488" t="s">
        <v>278</v>
      </c>
      <c r="D44" s="488" t="s">
        <v>525</v>
      </c>
      <c r="E44" s="500"/>
      <c r="F44" s="500"/>
      <c r="G44" s="500"/>
      <c r="H44" s="500"/>
      <c r="I44" s="507" t="str">
        <f>S43&amp;".1"</f>
        <v>...1</v>
      </c>
      <c r="J44" s="488"/>
      <c r="K44" s="488"/>
      <c r="L44" s="490"/>
      <c r="P44" s="132">
        <v>1</v>
      </c>
      <c r="Q44" s="132"/>
      <c r="R44" s="508"/>
      <c r="S44" s="493" t="str">
        <f>$I44</f>
        <v>...1</v>
      </c>
      <c r="T44" s="509" t="s">
        <v>484</v>
      </c>
      <c r="U44" s="495"/>
      <c r="V44" s="685"/>
      <c r="W44" s="686"/>
      <c r="X44" s="686"/>
      <c r="Y44" s="686"/>
      <c r="Z44" s="686"/>
      <c r="AA44" s="686"/>
      <c r="AB44" s="687"/>
      <c r="AC44" s="688"/>
      <c r="AD44" s="689"/>
      <c r="AE44" s="689"/>
      <c r="AF44" s="689"/>
      <c r="AG44" s="689"/>
      <c r="AH44" s="689"/>
      <c r="AI44" s="689"/>
      <c r="AJ44" s="690"/>
      <c r="AK44" s="499" t="s">
        <v>485</v>
      </c>
      <c r="AM44" s="129"/>
      <c r="AN44" s="129" t="str">
        <f t="shared" si="38"/>
        <v xml:space="preserve">Наименование признака дифференциации</v>
      </c>
      <c r="AO44" s="129"/>
      <c r="AP44" s="129"/>
      <c r="AQ44" s="50">
        <v>23</v>
      </c>
    </row>
    <row r="45" ht="24" customHeight="1">
      <c r="A45" s="488" t="s">
        <v>276</v>
      </c>
      <c r="B45" s="488" t="s">
        <v>277</v>
      </c>
      <c r="C45" s="488" t="s">
        <v>278</v>
      </c>
      <c r="D45" s="488" t="s">
        <v>525</v>
      </c>
      <c r="E45" s="500"/>
      <c r="F45" s="500"/>
      <c r="G45" s="500"/>
      <c r="H45" s="500"/>
      <c r="I45" s="512"/>
      <c r="J45" s="507" t="str">
        <f>I44&amp;".1"</f>
        <v>...1.1</v>
      </c>
      <c r="K45" s="488"/>
      <c r="L45" s="490" t="s">
        <v>411</v>
      </c>
      <c r="P45" s="132"/>
      <c r="Q45" s="132">
        <v>1</v>
      </c>
      <c r="R45" s="513"/>
      <c r="S45" s="493" t="str">
        <f>$J45</f>
        <v>...1.1</v>
      </c>
      <c r="T45" s="514" t="s">
        <v>412</v>
      </c>
      <c r="U45" s="495"/>
      <c r="V45" s="440"/>
      <c r="W45" s="510"/>
      <c r="X45" s="510"/>
      <c r="Y45" s="510"/>
      <c r="Z45" s="510"/>
      <c r="AA45" s="510"/>
      <c r="AB45" s="511"/>
      <c r="AC45" s="440"/>
      <c r="AD45" s="510"/>
      <c r="AE45" s="510"/>
      <c r="AF45" s="510"/>
      <c r="AG45" s="510"/>
      <c r="AH45" s="510"/>
      <c r="AI45" s="510"/>
      <c r="AJ45" s="511"/>
      <c r="AK45" s="626" t="s">
        <v>486</v>
      </c>
      <c r="AM45" s="129"/>
      <c r="AN45" s="129" t="str">
        <f t="shared" si="38"/>
        <v xml:space="preserve">Группа потребителей</v>
      </c>
      <c r="AO45" s="129"/>
      <c r="AP45" s="129"/>
      <c r="AQ45" s="50">
        <v>23</v>
      </c>
    </row>
    <row r="46" ht="24" customHeight="1">
      <c r="A46" s="488" t="s">
        <v>276</v>
      </c>
      <c r="B46" s="488" t="s">
        <v>277</v>
      </c>
      <c r="C46" s="488" t="s">
        <v>278</v>
      </c>
      <c r="D46" s="488" t="s">
        <v>525</v>
      </c>
      <c r="E46" s="500"/>
      <c r="F46" s="500"/>
      <c r="G46" s="500"/>
      <c r="H46" s="500"/>
      <c r="I46" s="512"/>
      <c r="J46" s="512"/>
      <c r="K46" s="507" t="str">
        <f>J45&amp;".1"</f>
        <v>...1.1.1</v>
      </c>
      <c r="L46" s="490"/>
      <c r="P46" s="132"/>
      <c r="Q46" s="132"/>
      <c r="R46" s="513">
        <v>1</v>
      </c>
      <c r="S46" s="493" t="str">
        <f>$K46</f>
        <v>...1.1.1</v>
      </c>
      <c r="T46" s="691"/>
      <c r="U46" s="495"/>
      <c r="V46" s="542"/>
      <c r="W46" s="542"/>
      <c r="X46" s="543"/>
      <c r="Y46" s="544"/>
      <c r="Z46" s="545" t="s">
        <v>67</v>
      </c>
      <c r="AA46" s="544"/>
      <c r="AB46" s="545" t="s">
        <v>67</v>
      </c>
      <c r="AC46" s="516"/>
      <c r="AD46" s="516"/>
      <c r="AE46" s="518"/>
      <c r="AF46" s="519"/>
      <c r="AG46" s="224" t="s">
        <v>67</v>
      </c>
      <c r="AH46" s="579"/>
      <c r="AI46" s="224" t="s">
        <v>19</v>
      </c>
      <c r="AJ46" s="692"/>
      <c r="AK46" s="69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 t="e">
        <f>STRCHECKDATE(V47:AJ47)</f>
        <v>#NAME?</v>
      </c>
      <c r="AM46" s="129"/>
      <c r="AN46" s="129" t="str">
        <f t="shared" si="38"/>
        <v/>
      </c>
      <c r="AO46" s="129"/>
      <c r="AP46" s="129"/>
      <c r="AQ46" s="50">
        <v>23</v>
      </c>
    </row>
    <row r="47" ht="0" customHeight="1">
      <c r="A47" s="488" t="s">
        <v>276</v>
      </c>
      <c r="B47" s="488" t="s">
        <v>277</v>
      </c>
      <c r="C47" s="488" t="s">
        <v>278</v>
      </c>
      <c r="D47" s="488" t="s">
        <v>525</v>
      </c>
      <c r="E47" s="500"/>
      <c r="F47" s="500"/>
      <c r="G47" s="500"/>
      <c r="H47" s="500"/>
      <c r="I47" s="512"/>
      <c r="J47" s="512"/>
      <c r="K47" s="507"/>
      <c r="L47" s="490"/>
      <c r="P47" s="132"/>
      <c r="Q47" s="132"/>
      <c r="R47" s="513"/>
      <c r="S47" s="467"/>
      <c r="T47" s="495"/>
      <c r="U47" s="495"/>
      <c r="V47" s="542"/>
      <c r="W47" s="542"/>
      <c r="X47" s="521" t="str">
        <f>Y46&amp;"-"&amp;AA46</f>
        <v>-</v>
      </c>
      <c r="Y47" s="545"/>
      <c r="Z47" s="545"/>
      <c r="AA47" s="545"/>
      <c r="AB47" s="545"/>
      <c r="AC47" s="517"/>
      <c r="AD47" s="517"/>
      <c r="AE47" s="521" t="str">
        <f>AF46&amp;"-"&amp;AH46</f>
        <v>-</v>
      </c>
      <c r="AF47" s="522"/>
      <c r="AG47" s="224"/>
      <c r="AH47" s="581"/>
      <c r="AI47" s="224"/>
      <c r="AJ47" s="694"/>
      <c r="AK47" s="693"/>
      <c r="AM47" s="129"/>
      <c r="AN47" s="129" t="str">
        <f t="shared" si="38"/>
        <v/>
      </c>
      <c r="AO47" s="129"/>
      <c r="AP47" s="129"/>
      <c r="AQ47" s="50">
        <v>0</v>
      </c>
    </row>
    <row r="48" ht="21" customHeight="1">
      <c r="A48" s="488" t="s">
        <v>276</v>
      </c>
      <c r="B48" s="488" t="s">
        <v>277</v>
      </c>
      <c r="C48" s="488" t="s">
        <v>278</v>
      </c>
      <c r="D48" s="488" t="s">
        <v>525</v>
      </c>
      <c r="E48" s="500"/>
      <c r="F48" s="500"/>
      <c r="G48" s="500"/>
      <c r="H48" s="500"/>
      <c r="I48" s="512"/>
      <c r="J48" s="507"/>
      <c r="K48" s="488"/>
      <c r="L48" s="490"/>
      <c r="P48" s="132"/>
      <c r="Q48" s="132"/>
      <c r="R48" s="508"/>
      <c r="S48" s="524"/>
      <c r="T48" s="528" t="s">
        <v>487</v>
      </c>
      <c r="U48" s="214"/>
      <c r="V48" s="214"/>
      <c r="W48" s="214"/>
      <c r="X48" s="214"/>
      <c r="Y48" s="214"/>
      <c r="Z48" s="214"/>
      <c r="AA48" s="214"/>
      <c r="AB48" s="214"/>
      <c r="AC48" s="214"/>
      <c r="AD48" s="214"/>
      <c r="AE48" s="214"/>
      <c r="AF48" s="214"/>
      <c r="AG48" s="214"/>
      <c r="AH48" s="214"/>
      <c r="AI48" s="214"/>
      <c r="AJ48" s="214"/>
      <c r="AK48" s="499" t="s">
        <v>488</v>
      </c>
      <c r="AM48" s="129"/>
      <c r="AN48" s="129" t="str">
        <f t="shared" si="38"/>
        <v xml:space="preserve">Добавить значение признака дифференциации</v>
      </c>
      <c r="AO48" s="129"/>
      <c r="AP48" s="129"/>
      <c r="AQ48" s="50">
        <v>20</v>
      </c>
    </row>
    <row r="49" ht="22" customHeight="1">
      <c r="A49" s="488" t="s">
        <v>276</v>
      </c>
      <c r="B49" s="488" t="s">
        <v>277</v>
      </c>
      <c r="C49" s="488" t="s">
        <v>278</v>
      </c>
      <c r="D49" s="488" t="s">
        <v>525</v>
      </c>
      <c r="E49" s="500"/>
      <c r="F49" s="500"/>
      <c r="G49" s="500"/>
      <c r="H49" s="500"/>
      <c r="I49" s="507"/>
      <c r="J49" s="488"/>
      <c r="K49" s="488"/>
      <c r="L49" s="490"/>
      <c r="P49" s="132"/>
      <c r="Q49" s="132"/>
      <c r="R49" s="508"/>
      <c r="S49" s="524"/>
      <c r="T49" s="532" t="s">
        <v>417</v>
      </c>
      <c r="U49" s="214"/>
      <c r="V49" s="214"/>
      <c r="W49" s="214"/>
      <c r="X49" s="214"/>
      <c r="Y49" s="214"/>
      <c r="Z49" s="214"/>
      <c r="AA49" s="214"/>
      <c r="AB49" s="529"/>
      <c r="AC49" s="214"/>
      <c r="AD49" s="214"/>
      <c r="AE49" s="214"/>
      <c r="AF49" s="214"/>
      <c r="AG49" s="214"/>
      <c r="AH49" s="214"/>
      <c r="AI49" s="529"/>
      <c r="AJ49" s="214"/>
      <c r="AK49" s="695"/>
      <c r="AM49" s="129"/>
      <c r="AN49" s="129" t="str">
        <f t="shared" si="38"/>
        <v xml:space="preserve">Добавить группу потребителей</v>
      </c>
      <c r="AO49" s="129"/>
      <c r="AP49" s="129"/>
      <c r="AQ49" s="50">
        <v>21</v>
      </c>
    </row>
    <row r="50" ht="22" customHeight="1">
      <c r="A50" s="488" t="s">
        <v>276</v>
      </c>
      <c r="B50" s="488" t="s">
        <v>277</v>
      </c>
      <c r="C50" s="488" t="s">
        <v>278</v>
      </c>
      <c r="D50" s="488" t="s">
        <v>525</v>
      </c>
      <c r="E50" s="500"/>
      <c r="F50" s="500"/>
      <c r="G50" s="500"/>
      <c r="H50" s="489"/>
      <c r="I50" s="488"/>
      <c r="J50" s="488"/>
      <c r="K50" s="488"/>
      <c r="L50" s="490"/>
      <c r="M50" s="491"/>
      <c r="N50" s="491"/>
      <c r="O50" s="53"/>
      <c r="P50" s="143"/>
      <c r="Q50" s="531"/>
      <c r="R50" s="492"/>
      <c r="S50" s="524"/>
      <c r="T50" s="696" t="s">
        <v>489</v>
      </c>
      <c r="U50" s="214"/>
      <c r="V50" s="214"/>
      <c r="W50" s="214"/>
      <c r="X50" s="214"/>
      <c r="Y50" s="214"/>
      <c r="Z50" s="214"/>
      <c r="AA50" s="214"/>
      <c r="AB50" s="529"/>
      <c r="AC50" s="214"/>
      <c r="AD50" s="214"/>
      <c r="AE50" s="214"/>
      <c r="AF50" s="214"/>
      <c r="AG50" s="214"/>
      <c r="AH50" s="214"/>
      <c r="AI50" s="529"/>
      <c r="AJ50" s="214"/>
      <c r="AK50" s="530"/>
      <c r="AM50" s="129"/>
      <c r="AN50" s="129" t="str">
        <f t="shared" si="38"/>
        <v xml:space="preserve">Добавить наименование признака дифференциации</v>
      </c>
      <c r="AO50" s="129"/>
      <c r="AP50" s="129"/>
      <c r="AQ50" s="50">
        <v>21</v>
      </c>
    </row>
    <row r="51" s="57" customFormat="1" ht="0" customHeight="1">
      <c r="A51" s="133" t="s">
        <v>276</v>
      </c>
      <c r="B51" s="133" t="s">
        <v>277</v>
      </c>
      <c r="C51" s="133"/>
      <c r="D51" s="133"/>
      <c r="E51" s="500"/>
      <c r="F51" s="489"/>
      <c r="G51" s="133"/>
      <c r="H51" s="133"/>
      <c r="I51" s="133"/>
      <c r="J51" s="133"/>
      <c r="K51" s="133"/>
      <c r="L51" s="212"/>
      <c r="M51" s="537"/>
      <c r="N51" s="537"/>
      <c r="P51" s="167"/>
      <c r="Q51" s="533"/>
      <c r="R51" s="167"/>
      <c r="S51" s="538"/>
      <c r="T51" s="541" t="s">
        <v>212</v>
      </c>
      <c r="U51" s="540"/>
      <c r="V51" s="540"/>
      <c r="W51" s="540"/>
      <c r="X51" s="540"/>
      <c r="Y51" s="540"/>
      <c r="Z51" s="540"/>
      <c r="AA51" s="540"/>
      <c r="AB51" s="540"/>
      <c r="AC51" s="540"/>
      <c r="AD51" s="540"/>
      <c r="AE51" s="540"/>
      <c r="AF51" s="540"/>
      <c r="AG51" s="540"/>
      <c r="AH51" s="540"/>
      <c r="AI51" s="540"/>
      <c r="AJ51" s="540"/>
      <c r="AK51" s="540"/>
      <c r="AM51" s="129"/>
      <c r="AN51" s="129" t="str">
        <f t="shared" si="38"/>
        <v xml:space="preserve">Добавить централизованную систему для дифференциации</v>
      </c>
      <c r="AO51" s="129"/>
      <c r="AP51" s="129"/>
      <c r="AQ51" s="57">
        <v>0</v>
      </c>
    </row>
    <row r="52" s="57" customFormat="1" ht="0" customHeight="1">
      <c r="A52" s="133" t="s">
        <v>276</v>
      </c>
      <c r="B52" s="133"/>
      <c r="C52" s="133"/>
      <c r="D52" s="133"/>
      <c r="E52" s="489"/>
      <c r="F52" s="133"/>
      <c r="G52" s="133"/>
      <c r="H52" s="133"/>
      <c r="I52" s="133"/>
      <c r="J52" s="133"/>
      <c r="K52" s="133"/>
      <c r="L52" s="212"/>
      <c r="M52" s="537"/>
      <c r="N52" s="537"/>
      <c r="O52" s="57"/>
      <c r="P52" s="167"/>
      <c r="Q52" s="533"/>
      <c r="R52" s="167"/>
      <c r="S52" s="538"/>
      <c r="T52" s="541" t="s">
        <v>213</v>
      </c>
      <c r="U52" s="540"/>
      <c r="V52" s="540"/>
      <c r="W52" s="540"/>
      <c r="X52" s="540"/>
      <c r="Y52" s="540"/>
      <c r="Z52" s="540"/>
      <c r="AA52" s="540"/>
      <c r="AB52" s="540"/>
      <c r="AC52" s="540"/>
      <c r="AD52" s="540"/>
      <c r="AE52" s="540"/>
      <c r="AF52" s="540"/>
      <c r="AG52" s="540"/>
      <c r="AH52" s="540"/>
      <c r="AI52" s="540"/>
      <c r="AJ52" s="540"/>
      <c r="AK52" s="540"/>
      <c r="AM52" s="129"/>
      <c r="AN52" s="129" t="str">
        <f t="shared" si="38"/>
        <v xml:space="preserve">Добавить территорию для дифференциации</v>
      </c>
      <c r="AO52" s="129"/>
      <c r="AP52" s="129"/>
      <c r="AQ52" s="57">
        <v>0</v>
      </c>
    </row>
    <row r="53" s="57" customFormat="1" ht="0" customHeight="1">
      <c r="A53" s="133"/>
      <c r="B53" s="133"/>
      <c r="C53" s="133"/>
      <c r="D53" s="133"/>
      <c r="E53" s="133"/>
      <c r="F53" s="133"/>
      <c r="G53" s="133"/>
      <c r="H53" s="133"/>
      <c r="I53" s="133"/>
      <c r="J53" s="133"/>
      <c r="K53" s="133"/>
      <c r="L53" s="212"/>
      <c r="M53" s="537"/>
      <c r="N53" s="537"/>
      <c r="P53" s="167"/>
      <c r="Q53" s="533"/>
      <c r="R53" s="167"/>
      <c r="S53" s="538"/>
      <c r="T53" s="541" t="s">
        <v>214</v>
      </c>
      <c r="U53" s="540"/>
      <c r="V53" s="540"/>
      <c r="W53" s="540"/>
      <c r="X53" s="540"/>
      <c r="Y53" s="540"/>
      <c r="Z53" s="540"/>
      <c r="AA53" s="540"/>
      <c r="AB53" s="540"/>
      <c r="AC53" s="540"/>
      <c r="AD53" s="540"/>
      <c r="AE53" s="540"/>
      <c r="AF53" s="540"/>
      <c r="AG53" s="540"/>
      <c r="AH53" s="540"/>
      <c r="AI53" s="540"/>
      <c r="AJ53" s="540"/>
      <c r="AK53" s="540"/>
      <c r="AM53" s="129"/>
      <c r="AN53" s="129" t="str">
        <f t="shared" si="38"/>
        <v xml:space="preserve">Добавить наименование тарифа</v>
      </c>
      <c r="AO53" s="129"/>
      <c r="AP53" s="129"/>
      <c r="AQ53" s="57">
        <v>0</v>
      </c>
    </row>
    <row r="54" ht="11.5" customHeight="1">
      <c r="M54" s="53"/>
      <c r="N54" s="53"/>
      <c r="O54" s="53"/>
      <c r="P54" s="50"/>
      <c r="Q54" s="50"/>
      <c r="R54" s="50"/>
      <c r="S54" s="50"/>
      <c r="AL54" s="50"/>
      <c r="AM54" s="50"/>
      <c r="AN54" s="50"/>
      <c r="AO54" s="50"/>
      <c r="AP54" s="50"/>
      <c r="AQ54" s="50">
        <v>11</v>
      </c>
    </row>
    <row r="55" ht="14.65" customHeight="1">
      <c r="O55" s="53"/>
      <c r="S55" s="485"/>
      <c r="T55" s="583"/>
      <c r="U55" s="583"/>
      <c r="V55" s="583"/>
      <c r="W55" s="583"/>
      <c r="X55" s="583"/>
      <c r="Y55" s="583"/>
      <c r="Z55" s="583"/>
      <c r="AA55" s="583"/>
      <c r="AB55" s="583"/>
      <c r="AC55" s="583"/>
      <c r="AD55" s="583"/>
      <c r="AE55" s="583"/>
      <c r="AF55" s="583"/>
      <c r="AG55" s="583"/>
      <c r="AH55" s="583"/>
      <c r="AI55" s="583"/>
      <c r="AJ55" s="583"/>
      <c r="AK55" s="583"/>
      <c r="AQ55" s="50">
        <v>14</v>
      </c>
    </row>
    <row r="56" ht="14.65" customHeight="1">
      <c r="O56" s="53"/>
      <c r="AQ56" s="50">
        <v>14</v>
      </c>
    </row>
    <row r="57" ht="14.65" customHeight="1">
      <c r="O57" s="53"/>
      <c r="S57" s="485"/>
      <c r="T57" s="583"/>
      <c r="U57" s="583"/>
      <c r="V57" s="583"/>
      <c r="W57" s="583"/>
      <c r="X57" s="583"/>
      <c r="Y57" s="583"/>
      <c r="Z57" s="583"/>
      <c r="AA57" s="583"/>
      <c r="AB57" s="583"/>
      <c r="AC57" s="583"/>
      <c r="AD57" s="583"/>
      <c r="AE57" s="583"/>
      <c r="AF57" s="583"/>
      <c r="AG57" s="583"/>
      <c r="AH57" s="583"/>
      <c r="AI57" s="583"/>
      <c r="AJ57" s="583"/>
      <c r="AK57" s="583"/>
      <c r="AQ57" s="50">
        <v>14</v>
      </c>
    </row>
    <row r="58" ht="22.5" hidden="1" customHeight="1">
      <c r="A58" s="53" t="s">
        <v>83</v>
      </c>
      <c r="B58" s="53">
        <v>0</v>
      </c>
      <c r="C58" s="53">
        <v>0</v>
      </c>
      <c r="D58" s="53">
        <v>0</v>
      </c>
      <c r="E58" s="53">
        <v>0</v>
      </c>
      <c r="F58" s="53">
        <v>0</v>
      </c>
      <c r="G58" s="53">
        <v>0</v>
      </c>
      <c r="H58" s="53">
        <v>0</v>
      </c>
      <c r="I58" s="53">
        <v>0</v>
      </c>
      <c r="J58" s="53">
        <v>0</v>
      </c>
      <c r="K58" s="53">
        <v>0</v>
      </c>
      <c r="L58" s="113">
        <v>0</v>
      </c>
      <c r="M58" s="61">
        <v>0</v>
      </c>
      <c r="N58" s="61">
        <v>0</v>
      </c>
      <c r="O58" s="61">
        <v>0</v>
      </c>
      <c r="P58" s="60">
        <v>3</v>
      </c>
      <c r="Q58" s="487">
        <v>3</v>
      </c>
      <c r="R58" s="487">
        <v>3</v>
      </c>
      <c r="S58" s="86">
        <v>12</v>
      </c>
      <c r="T58" s="50">
        <v>35</v>
      </c>
      <c r="U58" s="50">
        <v>0</v>
      </c>
      <c r="V58" s="50">
        <v>0</v>
      </c>
      <c r="W58" s="50">
        <v>0</v>
      </c>
      <c r="X58" s="50">
        <v>0</v>
      </c>
      <c r="Y58" s="50">
        <v>0</v>
      </c>
      <c r="Z58" s="50">
        <v>0</v>
      </c>
      <c r="AA58" s="50">
        <v>0</v>
      </c>
      <c r="AB58" s="50">
        <v>0</v>
      </c>
      <c r="AC58" s="50">
        <v>24</v>
      </c>
      <c r="AD58" s="50">
        <v>24</v>
      </c>
      <c r="AE58" s="50">
        <v>24</v>
      </c>
      <c r="AF58" s="50">
        <v>11</v>
      </c>
      <c r="AG58" s="50">
        <v>3</v>
      </c>
      <c r="AH58" s="50">
        <v>11</v>
      </c>
      <c r="AI58" s="50">
        <v>0</v>
      </c>
      <c r="AJ58" s="50">
        <v>4</v>
      </c>
      <c r="AK58" s="50">
        <v>115</v>
      </c>
      <c r="AL58" s="57">
        <v>10</v>
      </c>
      <c r="AM58" s="57">
        <v>10</v>
      </c>
      <c r="AN58" s="57">
        <v>10</v>
      </c>
      <c r="AO58" s="57">
        <v>10</v>
      </c>
      <c r="AP58" s="57">
        <v>10</v>
      </c>
      <c r="AQ58" s="50">
        <v>23</v>
      </c>
    </row>
  </sheetData>
  <sheetProtection autoFilter="0" deleteColumns="1" deleteRows="1" formatCells="1" formatColumns="0" formatRows="0" insertColumns="1" insertHyperlinks="1" insertRows="1" objects="0" pivotTables="1" scenarios="0" selectLockedCells="0" selectUnlockedCells="0" sheet="1" sort="1"/>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Z7:Z8"/>
    <mergeCell ref="AA7:AA8"/>
    <mergeCell ref="AB7:AB8"/>
    <mergeCell ref="AF7:AF8"/>
    <mergeCell ref="AG7:AG8"/>
    <mergeCell ref="AH7:AH8"/>
    <mergeCell ref="AI7:AI8"/>
    <mergeCell ref="AK7:AK8"/>
    <mergeCell ref="AF15:AF16"/>
    <mergeCell ref="AG15:AG16"/>
    <mergeCell ref="AH15:AH16"/>
    <mergeCell ref="AI15:AI16"/>
    <mergeCell ref="S24:AH24"/>
    <mergeCell ref="S25:AH25"/>
    <mergeCell ref="S27:T27"/>
    <mergeCell ref="V27:AA27"/>
    <mergeCell ref="AC27:AH27"/>
    <mergeCell ref="S28:T28"/>
    <mergeCell ref="V28:AA28"/>
    <mergeCell ref="AC28:AH28"/>
    <mergeCell ref="S29:T29"/>
    <mergeCell ref="V29:AA29"/>
    <mergeCell ref="AC29:AH29"/>
    <mergeCell ref="S30:T30"/>
    <mergeCell ref="V30:AA30"/>
    <mergeCell ref="AC30:AH30"/>
    <mergeCell ref="S32:T32"/>
    <mergeCell ref="V32:AA32"/>
    <mergeCell ref="AC32:AH32"/>
    <mergeCell ref="S33:T33"/>
    <mergeCell ref="V33:AA33"/>
    <mergeCell ref="AC33:AH33"/>
    <mergeCell ref="V35:AB35"/>
    <mergeCell ref="AC35:AI35"/>
    <mergeCell ref="S36:AJ36"/>
    <mergeCell ref="AK36:AK39"/>
    <mergeCell ref="S37:S39"/>
    <mergeCell ref="T37:T39"/>
    <mergeCell ref="V37:AA37"/>
    <mergeCell ref="AB37:AB39"/>
    <mergeCell ref="AC37:AH37"/>
    <mergeCell ref="AI37:AI39"/>
    <mergeCell ref="AJ37:AJ39"/>
    <mergeCell ref="W38:X38"/>
    <mergeCell ref="Y38:AA38"/>
    <mergeCell ref="AD38:AE38"/>
    <mergeCell ref="AF38:AH38"/>
    <mergeCell ref="Z39:AA39"/>
    <mergeCell ref="AG39:AH39"/>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K46:K47"/>
    <mergeCell ref="Y46:Y47"/>
    <mergeCell ref="Z46:Z47"/>
    <mergeCell ref="AA46:AA47"/>
    <mergeCell ref="AB46:AB47"/>
    <mergeCell ref="AF46:AF47"/>
    <mergeCell ref="AG46:AG47"/>
    <mergeCell ref="AH46:AH47"/>
    <mergeCell ref="AI46:AI47"/>
    <mergeCell ref="AK46:AK47"/>
    <mergeCell ref="T55:AK55"/>
    <mergeCell ref="T57:AK57"/>
  </mergeCells>
  <dataValidations count="4" disablePrompts="0">
    <dataValidation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type="none" allowBlank="1" errorStyle="stop" imeMode="noControl" operator="between" promptTitle="checkPeriodRange" showDropDown="0" showErrorMessage="0" showInputMessage="0"/>
    <dataValidation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S131116:AK131122 S196652:AK196658 S262188:AK262194 S327724:AK327730 S393260:AK393266 S458796:AK458802 S524332:AK524338 S589868:AK589874 S655404:AK655410 S720940:AK720946 S786476:AK786482 S852012:AK852018 S917548:AK917554 S983084:AK983090 S65580:AK65586" type="none" allowBlank="1" errorStyle="stop" imeMode="noControl" operator="between"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B200B0-007E-4128-8E45-003100C00076}" type="list" allowBlank="1" error="Выберите значение из списка" errorStyle="stop" errorTitle="Ошибка" imeMode="noControl" operator="between" showDropDown="0" showErrorMessage="1" showInputMessage="1">
          <x14:formula1>
            <xm:f>kind_of_scheme_in</xm:f>
          </x14:formula1>
          <xm:sqref>V983080 V65576 V131112 V196648 V262184 V327720 V393256 V458792 V524328 V589864 V655400 V720936 V786472 V852008 V917544 AC983080 AC65576 AC131112 AC196648 AC262184 AC327720 AC393256 AC458792 AC524328 AC589864 AC655400 AC720936 AC786472 AC852008 AC917544</xm:sqref>
        </x14:dataValidation>
        <x14:dataValidation xr:uid="{000600C0-0065-4F49-B34A-0007004400DD}" type="textLength" allowBlank="1" error="Допускается ввод не более 900 символов!" errorStyle="stop" errorTitle="Ошибка" imeMode="noControl" operator="lessThanOrEqual" showDropDown="0" showErrorMessage="1" showInputMessage="1">
          <x14:formula1>
            <xm:f>900</xm:f>
          </x14:formula1>
          <xm: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xm:sqref>
        </x14:dataValidation>
        <x14:dataValidation xr:uid="{00A2004D-000E-4863-9F2A-0018008A0066}" type="list" allowBlank="1" error="Выберите значение из списка" errorStyle="stop" errorTitle="Ошибка" imeMode="noControl" operator="between" showDropDown="0" showErrorMessage="1" showInputMessage="1">
          <x14:formula1>
            <xm:f>kind_of_heat_transfer</xm:f>
          </x14:formula1>
          <xm:sqref>T65578 T131114 T196650 T262186 T327722 T393258 T458794 T524330 T589866 T655402 T720938 T786474 T852010 T917546 T983082</xm:sqref>
        </x14:dataValidation>
        <x14:dataValidation xr:uid="{0019001A-0095-4AA3-A735-0089000B0034}"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V983081:AJ983081 V65577:AJ65577 V131113:AJ131113 V196649:AJ196649 V262185:AJ262185 V327721:AJ327721 V393257:AJ393257 V458793:AJ458793 V524329:AJ524329 V589865:AJ589865 V655401:AJ655401 V720937:AJ720937 V786473:AJ786473 V852009:AJ852009 V917545:AJ917545</xm:sqref>
        </x14:dataValidation>
      </x14:dataValidations>
    </ext>
  </extLs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zoomScale="90" workbookViewId="0">
      <pane xSplit="29" ySplit="45" topLeftCell="AD46" activePane="bottomRight" state="frozen"/>
      <selection activeCell="A1" activeCellId="0" sqref="A1"/>
    </sheetView>
  </sheetViews>
  <sheetFormatPr defaultColWidth="10.57421875" defaultRowHeight="14.25" customHeight="1"/>
  <cols>
    <col customWidth="1" hidden="1" min="1" max="1" style="53" width="11.57421875"/>
    <col customWidth="1" hidden="1" min="2" max="2" style="53" width="11.00390625"/>
    <col hidden="1" min="3" max="3" style="53" width="10.57421875"/>
    <col customWidth="1" hidden="1" min="4" max="4" style="53" width="12.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2.00390625"/>
    <col customWidth="1" hidden="1" min="10" max="10" style="53" width="9.8515625"/>
    <col customWidth="1" hidden="1" min="11" max="11" style="53" width="11.421875"/>
    <col customWidth="1" hidden="1" min="12" max="12" style="113" width="19.140625"/>
    <col customWidth="1" hidden="1" min="13" max="14" style="61" width="12.28125"/>
    <col customWidth="1" hidden="1" min="15" max="15" style="61" width="23.421875"/>
    <col customWidth="1" hidden="1" min="16" max="16" style="61" width="3.7109375"/>
    <col customWidth="1" hidden="1" min="17" max="17" style="547" width="3.7109375"/>
    <col customWidth="1" min="18" max="18" style="487" width="3.00390625"/>
    <col customWidth="1" min="19" max="19" style="86" width="12.00390625"/>
    <col customWidth="1" min="20" max="20" style="50" width="31.00390625"/>
    <col customWidth="1" min="21" max="21" style="50" width="0.140625"/>
    <col customWidth="1" hidden="1" min="22" max="25" style="50" width="21.7109375"/>
    <col customWidth="1" hidden="1" min="26" max="26" style="50" width="11.7109375"/>
    <col customWidth="1" hidden="1" min="27" max="27" style="50" width="3.7109375"/>
    <col customWidth="1" hidden="1" min="28" max="28" style="50" width="11.7109375"/>
    <col customWidth="1" hidden="1" min="29" max="29" style="50" width="8.57421875"/>
    <col customWidth="1" min="30" max="30" style="50" width="3.7109375"/>
    <col customWidth="1" min="31" max="32" style="50" width="3.00390625"/>
    <col customWidth="1" min="33" max="33" style="50" width="24.00390625"/>
    <col customWidth="1" min="34" max="34" style="50" width="3.7109375"/>
    <col customWidth="1" min="35" max="36" style="50" width="3.00390625"/>
    <col customWidth="1" min="37" max="37" style="50" width="24.00390625"/>
    <col customWidth="1" min="38" max="38" style="50" width="3.7109375"/>
    <col customWidth="1" min="39" max="40" style="50" width="3.00390625"/>
    <col customWidth="1" min="41" max="41" style="50" width="18.00390625"/>
    <col customWidth="1" min="42" max="42" style="50" width="3.7109375"/>
    <col customWidth="1" min="43" max="44" style="50" width="3.00390625"/>
    <col customWidth="1" min="45" max="45" style="50" width="18.00390625"/>
    <col customWidth="1" min="46" max="49" style="50" width="21.00390625"/>
    <col customWidth="1" min="50" max="50" style="50" width="11.00390625"/>
    <col customWidth="1" min="51" max="51" style="50" width="3.7109375"/>
    <col customWidth="1" min="52" max="52" style="50" width="11.00390625"/>
    <col customWidth="1" hidden="1" min="53" max="53" style="50" width="8.57421875"/>
    <col customWidth="1" min="54" max="54" style="50" width="4.00390625"/>
    <col customWidth="1" min="55" max="55" style="50" width="115.00390625"/>
    <col customWidth="1" min="56" max="60" style="57" width="10.00390625"/>
    <col hidden="1" min="61" max="61" style="50" width="10.57421875"/>
  </cols>
  <sheetData>
    <row r="1" ht="22.5" hidden="1" customHeight="1">
      <c r="W1" s="50"/>
      <c r="Y1" s="50"/>
      <c r="Z1" s="50"/>
      <c r="AW1" s="50"/>
      <c r="AX1" s="50"/>
      <c r="BI1" s="50" t="s">
        <v>14</v>
      </c>
    </row>
    <row r="2" ht="21" hidden="1" customHeight="1">
      <c r="A2" s="488"/>
      <c r="B2" s="488"/>
      <c r="C2" s="488"/>
      <c r="D2" s="488"/>
      <c r="E2" s="489">
        <v>1</v>
      </c>
      <c r="F2" s="488"/>
      <c r="G2" s="488"/>
      <c r="H2" s="488"/>
      <c r="I2" s="488"/>
      <c r="J2" s="488"/>
      <c r="K2" s="488"/>
      <c r="L2" s="490"/>
      <c r="M2" s="491"/>
      <c r="N2" s="491"/>
      <c r="O2" s="491"/>
      <c r="P2" s="61"/>
      <c r="Q2" s="64"/>
      <c r="R2" s="492"/>
      <c r="S2" s="493" t="e">
        <f>INDEX(PT_DIFFERENTIATION_NUM_NTAR,MATCH(A2,PT_DIFFERENTIATION_NTAR_ID,0))</f>
        <v>#VALUE!</v>
      </c>
      <c r="T2" s="494" t="s">
        <v>123</v>
      </c>
      <c r="U2" s="495"/>
      <c r="V2" s="497"/>
      <c r="W2" s="497"/>
      <c r="X2" s="497"/>
      <c r="Y2" s="497"/>
      <c r="Z2" s="497"/>
      <c r="AA2" s="497"/>
      <c r="AB2" s="497"/>
      <c r="AC2" s="498"/>
      <c r="AD2" s="496" t="e">
        <f>INDEX(PT_DIFFERENTIATION_NTAR,MATCH(A2,PT_DIFFERENTIATION_NTAR_ID,0))</f>
        <v>#VALUE!</v>
      </c>
      <c r="AE2" s="497"/>
      <c r="AF2" s="497"/>
      <c r="AG2" s="497"/>
      <c r="AH2" s="497"/>
      <c r="AI2" s="497"/>
      <c r="AJ2" s="497"/>
      <c r="AK2" s="497"/>
      <c r="AL2" s="497"/>
      <c r="AM2" s="497"/>
      <c r="AN2" s="497"/>
      <c r="AO2" s="497"/>
      <c r="AP2" s="497"/>
      <c r="AQ2" s="497"/>
      <c r="AR2" s="497"/>
      <c r="AS2" s="497"/>
      <c r="AT2" s="497"/>
      <c r="AU2" s="497"/>
      <c r="AV2" s="497"/>
      <c r="AW2" s="497"/>
      <c r="AX2" s="497"/>
      <c r="AY2" s="497"/>
      <c r="AZ2" s="497"/>
      <c r="BA2" s="497"/>
      <c r="BB2" s="498"/>
      <c r="BC2" s="4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129"/>
      <c r="BF2" s="129" t="str">
        <f t="shared" ref="BF2:BF8" si="39">IF(T2="","",T2)</f>
        <v xml:space="preserve">Наименование тарифа</v>
      </c>
      <c r="BG2" s="129"/>
      <c r="BH2" s="129"/>
      <c r="BI2" s="50">
        <v>0</v>
      </c>
    </row>
    <row r="3" ht="21" hidden="1" customHeight="1">
      <c r="A3" s="488"/>
      <c r="B3" s="488"/>
      <c r="C3" s="488"/>
      <c r="D3" s="488"/>
      <c r="E3" s="500"/>
      <c r="F3" s="489">
        <v>1</v>
      </c>
      <c r="G3" s="488"/>
      <c r="H3" s="488"/>
      <c r="I3" s="488"/>
      <c r="J3" s="488"/>
      <c r="K3" s="488"/>
      <c r="L3" s="490"/>
      <c r="M3" s="491"/>
      <c r="N3" s="491"/>
      <c r="O3" s="491"/>
      <c r="P3" s="113"/>
      <c r="Q3" s="638"/>
      <c r="R3" s="502"/>
      <c r="S3" s="493" t="e">
        <f>INDEX(PT_DIFFERENTIATION_NUM_TER,MATCH(B3,PT_DIFFERENTIATION_TER_ID,0))</f>
        <v>#VALUE!</v>
      </c>
      <c r="T3" s="503" t="s">
        <v>402</v>
      </c>
      <c r="U3" s="495"/>
      <c r="V3" s="497"/>
      <c r="W3" s="497"/>
      <c r="X3" s="497"/>
      <c r="Y3" s="497"/>
      <c r="Z3" s="497"/>
      <c r="AA3" s="497"/>
      <c r="AB3" s="497"/>
      <c r="AC3" s="498"/>
      <c r="AD3" s="496" t="e">
        <f>INDEX(PT_DIFFERENTIATION_TER,MATCH(B3,PT_DIFFERENTIATION_TER_ID,0))</f>
        <v>#VALUE!</v>
      </c>
      <c r="AE3" s="497"/>
      <c r="AF3" s="497"/>
      <c r="AG3" s="497"/>
      <c r="AH3" s="497"/>
      <c r="AI3" s="497"/>
      <c r="AJ3" s="497"/>
      <c r="AK3" s="497"/>
      <c r="AL3" s="497"/>
      <c r="AM3" s="497"/>
      <c r="AN3" s="497"/>
      <c r="AO3" s="497"/>
      <c r="AP3" s="497"/>
      <c r="AQ3" s="497"/>
      <c r="AR3" s="497"/>
      <c r="AS3" s="497"/>
      <c r="AT3" s="497"/>
      <c r="AU3" s="497"/>
      <c r="AV3" s="497"/>
      <c r="AW3" s="497"/>
      <c r="AX3" s="497"/>
      <c r="AY3" s="497"/>
      <c r="AZ3" s="497"/>
      <c r="BA3" s="497"/>
      <c r="BB3" s="498"/>
      <c r="BC3" s="499" t="s">
        <v>403</v>
      </c>
      <c r="BE3" s="129"/>
      <c r="BF3" s="129" t="str">
        <f t="shared" si="39"/>
        <v xml:space="preserve">Территория действия тарифа</v>
      </c>
      <c r="BG3" s="129"/>
      <c r="BH3" s="129"/>
      <c r="BI3" s="50">
        <v>0</v>
      </c>
    </row>
    <row r="4" ht="33.75" hidden="1" customHeight="1">
      <c r="A4" s="488"/>
      <c r="B4" s="488"/>
      <c r="C4" s="488"/>
      <c r="D4" s="488"/>
      <c r="E4" s="500"/>
      <c r="F4" s="500"/>
      <c r="G4" s="489">
        <v>1</v>
      </c>
      <c r="H4" s="488"/>
      <c r="I4" s="488"/>
      <c r="J4" s="488"/>
      <c r="K4" s="488"/>
      <c r="L4" s="490"/>
      <c r="M4" s="491"/>
      <c r="N4" s="491"/>
      <c r="O4" s="491"/>
      <c r="P4" s="135"/>
      <c r="Q4" s="638"/>
      <c r="R4" s="502"/>
      <c r="S4" s="493" t="e">
        <f>INDEX(PT_DIFFERENTIATION_NUM_CS,MATCH(C4,PT_DIFFERENTIATION_CS_ID,0))</f>
        <v>#VALUE!</v>
      </c>
      <c r="T4" s="505" t="s">
        <v>520</v>
      </c>
      <c r="U4" s="495"/>
      <c r="V4" s="497"/>
      <c r="W4" s="497"/>
      <c r="X4" s="497"/>
      <c r="Y4" s="497"/>
      <c r="Z4" s="497"/>
      <c r="AA4" s="497"/>
      <c r="AB4" s="497"/>
      <c r="AC4" s="498"/>
      <c r="AD4" s="496" t="e">
        <f>INDEX(PT_DIFFERENTIATION_CS,MATCH(C4,PT_DIFFERENTIATION_CS_ID,0))</f>
        <v>#VALUE!</v>
      </c>
      <c r="AE4" s="497"/>
      <c r="AF4" s="497"/>
      <c r="AG4" s="497"/>
      <c r="AH4" s="497"/>
      <c r="AI4" s="497"/>
      <c r="AJ4" s="497"/>
      <c r="AK4" s="497"/>
      <c r="AL4" s="497"/>
      <c r="AM4" s="497"/>
      <c r="AN4" s="497"/>
      <c r="AO4" s="497"/>
      <c r="AP4" s="497"/>
      <c r="AQ4" s="497"/>
      <c r="AR4" s="497"/>
      <c r="AS4" s="497"/>
      <c r="AT4" s="497"/>
      <c r="AU4" s="497"/>
      <c r="AV4" s="497"/>
      <c r="AW4" s="497"/>
      <c r="AX4" s="497"/>
      <c r="AY4" s="497"/>
      <c r="AZ4" s="497"/>
      <c r="BA4" s="497"/>
      <c r="BB4" s="498"/>
      <c r="BC4" s="499" t="s">
        <v>521</v>
      </c>
      <c r="BE4" s="129"/>
      <c r="BF4" s="129" t="str">
        <f t="shared" si="39"/>
        <v xml:space="preserve">Наименование централизованной системы водоотведения</v>
      </c>
      <c r="BG4" s="129"/>
      <c r="BH4" s="129"/>
      <c r="BI4" s="50">
        <v>0</v>
      </c>
    </row>
    <row r="5" s="57" customFormat="1" ht="14.25" hidden="1" customHeight="1">
      <c r="A5" s="133"/>
      <c r="B5" s="133"/>
      <c r="C5" s="133"/>
      <c r="D5" s="133"/>
      <c r="E5" s="500"/>
      <c r="F5" s="500"/>
      <c r="G5" s="500"/>
      <c r="H5" s="489">
        <v>1</v>
      </c>
      <c r="I5" s="133"/>
      <c r="J5" s="133"/>
      <c r="K5" s="133"/>
      <c r="L5" s="212"/>
      <c r="M5" s="473"/>
      <c r="N5" s="473"/>
      <c r="O5" s="473"/>
      <c r="P5" s="704"/>
      <c r="Q5" s="705"/>
      <c r="R5" s="513"/>
      <c r="S5" s="362"/>
      <c r="T5" s="706"/>
      <c r="U5" s="596"/>
      <c r="V5" s="598"/>
      <c r="W5" s="598"/>
      <c r="X5" s="598"/>
      <c r="Y5" s="598"/>
      <c r="Z5" s="598"/>
      <c r="AA5" s="598"/>
      <c r="AB5" s="598"/>
      <c r="AC5" s="599"/>
      <c r="AD5" s="597"/>
      <c r="AE5" s="598"/>
      <c r="AF5" s="598"/>
      <c r="AG5" s="598"/>
      <c r="AH5" s="598"/>
      <c r="AI5" s="598"/>
      <c r="AJ5" s="598"/>
      <c r="AK5" s="598"/>
      <c r="AL5" s="598"/>
      <c r="AM5" s="598"/>
      <c r="AN5" s="598"/>
      <c r="AO5" s="598"/>
      <c r="AP5" s="598"/>
      <c r="AQ5" s="598"/>
      <c r="AR5" s="598"/>
      <c r="AS5" s="598"/>
      <c r="AT5" s="598"/>
      <c r="AU5" s="598"/>
      <c r="AV5" s="598"/>
      <c r="AW5" s="598"/>
      <c r="AX5" s="598"/>
      <c r="AY5" s="598"/>
      <c r="AZ5" s="598"/>
      <c r="BA5" s="598"/>
      <c r="BB5" s="599"/>
      <c r="BC5" s="600" t="s">
        <v>407</v>
      </c>
      <c r="BE5" s="129"/>
      <c r="BF5" s="129" t="str">
        <f t="shared" si="39"/>
        <v/>
      </c>
      <c r="BG5" s="129"/>
      <c r="BH5" s="129"/>
      <c r="BI5" s="57">
        <v>0</v>
      </c>
    </row>
    <row r="6" s="57" customFormat="1" ht="14.25" hidden="1" customHeight="1">
      <c r="A6" s="133"/>
      <c r="B6" s="133"/>
      <c r="C6" s="133"/>
      <c r="D6" s="133"/>
      <c r="E6" s="500"/>
      <c r="F6" s="500"/>
      <c r="G6" s="500"/>
      <c r="H6" s="500"/>
      <c r="I6" s="507" t="str">
        <f>S5&amp;".1"</f>
        <v>.1</v>
      </c>
      <c r="J6" s="133"/>
      <c r="K6" s="133"/>
      <c r="L6" s="212" t="s">
        <v>408</v>
      </c>
      <c r="M6" s="605"/>
      <c r="N6" s="605"/>
      <c r="O6" s="605"/>
      <c r="P6" s="132">
        <v>1</v>
      </c>
      <c r="Q6" s="132"/>
      <c r="R6" s="508"/>
      <c r="S6" s="362"/>
      <c r="T6" s="595"/>
      <c r="U6" s="596"/>
      <c r="V6" s="598"/>
      <c r="W6" s="598"/>
      <c r="X6" s="598"/>
      <c r="Y6" s="598"/>
      <c r="Z6" s="598"/>
      <c r="AA6" s="598"/>
      <c r="AB6" s="598"/>
      <c r="AC6" s="599"/>
      <c r="AD6" s="597"/>
      <c r="AE6" s="598"/>
      <c r="AF6" s="598"/>
      <c r="AG6" s="598"/>
      <c r="AH6" s="598"/>
      <c r="AI6" s="598"/>
      <c r="AJ6" s="598"/>
      <c r="AK6" s="598"/>
      <c r="AL6" s="598"/>
      <c r="AM6" s="598"/>
      <c r="AN6" s="598"/>
      <c r="AO6" s="598"/>
      <c r="AP6" s="598"/>
      <c r="AQ6" s="598"/>
      <c r="AR6" s="598"/>
      <c r="AS6" s="598"/>
      <c r="AT6" s="598"/>
      <c r="AU6" s="598"/>
      <c r="AV6" s="598"/>
      <c r="AW6" s="598"/>
      <c r="AX6" s="598"/>
      <c r="AY6" s="598"/>
      <c r="AZ6" s="598"/>
      <c r="BA6" s="598"/>
      <c r="BB6" s="599"/>
      <c r="BC6" s="600"/>
      <c r="BE6" s="129"/>
      <c r="BF6" s="129" t="str">
        <f t="shared" si="39"/>
        <v/>
      </c>
      <c r="BG6" s="129"/>
      <c r="BH6" s="129"/>
      <c r="BI6" s="57">
        <v>0</v>
      </c>
    </row>
    <row r="7" s="57" customFormat="1" ht="14.25" hidden="1" customHeight="1">
      <c r="A7" s="133"/>
      <c r="B7" s="133"/>
      <c r="C7" s="133"/>
      <c r="D7" s="133"/>
      <c r="E7" s="500"/>
      <c r="F7" s="500"/>
      <c r="G7" s="500"/>
      <c r="H7" s="500"/>
      <c r="I7" s="512"/>
      <c r="J7" s="507" t="str">
        <f>S5&amp;".1"</f>
        <v>.1</v>
      </c>
      <c r="K7" s="133"/>
      <c r="L7" s="212"/>
      <c r="M7" s="605"/>
      <c r="N7" s="605"/>
      <c r="O7" s="605"/>
      <c r="P7" s="132"/>
      <c r="Q7" s="132">
        <v>1</v>
      </c>
      <c r="R7" s="513"/>
      <c r="S7" s="362"/>
      <c r="T7" s="639"/>
      <c r="U7" s="596"/>
      <c r="V7" s="598"/>
      <c r="W7" s="598"/>
      <c r="X7" s="598"/>
      <c r="Y7" s="598"/>
      <c r="Z7" s="598"/>
      <c r="AA7" s="598"/>
      <c r="AB7" s="598"/>
      <c r="AC7" s="599"/>
      <c r="AD7" s="597"/>
      <c r="AE7" s="598"/>
      <c r="AF7" s="598"/>
      <c r="AG7" s="598"/>
      <c r="AH7" s="598"/>
      <c r="AI7" s="598"/>
      <c r="AJ7" s="598"/>
      <c r="AK7" s="598"/>
      <c r="AL7" s="598"/>
      <c r="AM7" s="598"/>
      <c r="AN7" s="598"/>
      <c r="AO7" s="598"/>
      <c r="AP7" s="598"/>
      <c r="AQ7" s="598"/>
      <c r="AR7" s="598"/>
      <c r="AS7" s="598"/>
      <c r="AT7" s="598"/>
      <c r="AU7" s="598"/>
      <c r="AV7" s="598"/>
      <c r="AW7" s="598"/>
      <c r="AX7" s="598"/>
      <c r="AY7" s="598"/>
      <c r="AZ7" s="598"/>
      <c r="BA7" s="598"/>
      <c r="BB7" s="599"/>
      <c r="BC7" s="600"/>
      <c r="BE7" s="129"/>
      <c r="BF7" s="129" t="str">
        <f t="shared" si="39"/>
        <v/>
      </c>
      <c r="BG7" s="129"/>
      <c r="BH7" s="129"/>
      <c r="BI7" s="57">
        <v>0</v>
      </c>
    </row>
    <row r="8" ht="11.25" hidden="1" customHeight="1">
      <c r="A8" s="488"/>
      <c r="B8" s="488"/>
      <c r="C8" s="488"/>
      <c r="D8" s="488"/>
      <c r="E8" s="500"/>
      <c r="F8" s="500"/>
      <c r="G8" s="500"/>
      <c r="H8" s="500"/>
      <c r="I8" s="512"/>
      <c r="J8" s="512"/>
      <c r="K8" s="507" t="e">
        <f>S4&amp;".1"</f>
        <v>#VALUE!</v>
      </c>
      <c r="L8" s="490"/>
      <c r="P8" s="132"/>
      <c r="Q8" s="132"/>
      <c r="R8" s="640">
        <v>1</v>
      </c>
      <c r="S8" s="607" t="e">
        <f>$K8</f>
        <v>#VALUE!</v>
      </c>
      <c r="T8" s="698"/>
      <c r="U8" s="495"/>
      <c r="V8" s="516"/>
      <c r="W8" s="518"/>
      <c r="X8" s="516"/>
      <c r="Y8" s="518"/>
      <c r="Z8" s="519"/>
      <c r="AA8" s="224" t="s">
        <v>67</v>
      </c>
      <c r="AB8" s="519"/>
      <c r="AC8" s="224" t="s">
        <v>67</v>
      </c>
      <c r="AD8" s="292" t="s">
        <v>67</v>
      </c>
      <c r="AE8" s="642"/>
      <c r="AF8" s="356">
        <v>1</v>
      </c>
      <c r="AG8" s="699"/>
      <c r="AH8" s="224" t="s">
        <v>67</v>
      </c>
      <c r="AI8" s="642"/>
      <c r="AJ8" s="356">
        <v>1</v>
      </c>
      <c r="AK8" s="87" t="s">
        <v>28</v>
      </c>
      <c r="AL8" s="224" t="s">
        <v>67</v>
      </c>
      <c r="AM8" s="317"/>
      <c r="AN8" s="356">
        <v>1</v>
      </c>
      <c r="AO8" s="707"/>
      <c r="AP8" s="708" t="s">
        <v>67</v>
      </c>
      <c r="AQ8" s="643"/>
      <c r="AR8" s="356">
        <v>1</v>
      </c>
      <c r="AS8" s="95" t="s">
        <v>28</v>
      </c>
      <c r="AT8" s="516"/>
      <c r="AU8" s="518"/>
      <c r="AV8" s="516"/>
      <c r="AW8" s="518"/>
      <c r="AX8" s="519"/>
      <c r="AY8" s="224" t="s">
        <v>67</v>
      </c>
      <c r="AZ8" s="519"/>
      <c r="BA8" s="224" t="s">
        <v>67</v>
      </c>
      <c r="BB8" s="580"/>
      <c r="BC8" s="520" t="s">
        <v>505</v>
      </c>
      <c r="BE8" s="129"/>
      <c r="BF8" s="129" t="str">
        <f t="shared" si="39"/>
        <v/>
      </c>
      <c r="BG8" s="129"/>
      <c r="BH8" s="129"/>
      <c r="BI8" s="50">
        <v>0</v>
      </c>
    </row>
    <row r="9" ht="11.25" hidden="1" customHeight="1">
      <c r="A9" s="488"/>
      <c r="B9" s="488"/>
      <c r="C9" s="488"/>
      <c r="D9" s="488"/>
      <c r="E9" s="500"/>
      <c r="F9" s="500"/>
      <c r="G9" s="500"/>
      <c r="H9" s="500"/>
      <c r="I9" s="512"/>
      <c r="J9" s="512"/>
      <c r="K9" s="507"/>
      <c r="L9" s="490"/>
      <c r="P9" s="132"/>
      <c r="Q9" s="132"/>
      <c r="R9" s="640"/>
      <c r="S9" s="644"/>
      <c r="T9" s="709"/>
      <c r="U9" s="495"/>
      <c r="V9" s="631"/>
      <c r="W9" s="648"/>
      <c r="X9" s="631"/>
      <c r="Y9" s="648"/>
      <c r="Z9" s="631"/>
      <c r="AA9" s="631"/>
      <c r="AB9" s="631"/>
      <c r="AC9" s="631"/>
      <c r="AD9" s="296"/>
      <c r="AE9" s="642"/>
      <c r="AF9" s="356"/>
      <c r="AG9" s="699"/>
      <c r="AH9" s="224"/>
      <c r="AI9" s="642"/>
      <c r="AJ9" s="356"/>
      <c r="AK9" s="87"/>
      <c r="AL9" s="224"/>
      <c r="AM9" s="323"/>
      <c r="AN9" s="356"/>
      <c r="AO9" s="707"/>
      <c r="AP9" s="710"/>
      <c r="AQ9" s="647"/>
      <c r="AR9" s="177"/>
      <c r="AS9" s="177" t="s">
        <v>506</v>
      </c>
      <c r="AT9" s="631"/>
      <c r="AU9" s="648"/>
      <c r="AV9" s="631"/>
      <c r="AW9" s="648"/>
      <c r="AX9" s="631"/>
      <c r="AY9" s="631"/>
      <c r="AZ9" s="631"/>
      <c r="BA9" s="631"/>
      <c r="BB9" s="646"/>
      <c r="BC9" s="523"/>
      <c r="BE9" s="129"/>
      <c r="BF9" s="129"/>
      <c r="BG9" s="129"/>
      <c r="BH9" s="129"/>
      <c r="BI9" s="50">
        <v>0</v>
      </c>
    </row>
    <row r="10" ht="11.25" hidden="1" customHeight="1">
      <c r="A10" s="488"/>
      <c r="B10" s="488"/>
      <c r="C10" s="488"/>
      <c r="D10" s="488"/>
      <c r="E10" s="500"/>
      <c r="F10" s="500"/>
      <c r="G10" s="500"/>
      <c r="H10" s="500"/>
      <c r="I10" s="512"/>
      <c r="J10" s="512"/>
      <c r="K10" s="507"/>
      <c r="L10" s="490"/>
      <c r="P10" s="132"/>
      <c r="Q10" s="132"/>
      <c r="R10" s="640"/>
      <c r="S10" s="644"/>
      <c r="T10" s="709"/>
      <c r="U10" s="495"/>
      <c r="V10" s="631"/>
      <c r="W10" s="648"/>
      <c r="X10" s="631"/>
      <c r="Y10" s="648"/>
      <c r="Z10" s="631"/>
      <c r="AA10" s="631"/>
      <c r="AB10" s="631"/>
      <c r="AC10" s="631"/>
      <c r="AD10" s="296"/>
      <c r="AE10" s="642"/>
      <c r="AF10" s="356"/>
      <c r="AG10" s="699"/>
      <c r="AH10" s="224"/>
      <c r="AI10" s="642"/>
      <c r="AJ10" s="356"/>
      <c r="AK10" s="87"/>
      <c r="AL10" s="224"/>
      <c r="AM10" s="647"/>
      <c r="AN10" s="711"/>
      <c r="AO10" s="711" t="s">
        <v>526</v>
      </c>
      <c r="AP10" s="177"/>
      <c r="AQ10" s="177"/>
      <c r="AR10" s="177"/>
      <c r="AS10" s="631"/>
      <c r="AT10" s="631"/>
      <c r="AU10" s="648"/>
      <c r="AV10" s="631"/>
      <c r="AW10" s="648"/>
      <c r="AX10" s="631"/>
      <c r="AY10" s="631"/>
      <c r="AZ10" s="631"/>
      <c r="BA10" s="631"/>
      <c r="BB10" s="646"/>
      <c r="BC10" s="523"/>
      <c r="BE10" s="129"/>
      <c r="BF10" s="129"/>
      <c r="BG10" s="129"/>
      <c r="BH10" s="129"/>
      <c r="BI10" s="50">
        <v>0</v>
      </c>
    </row>
    <row r="11" ht="11.25" hidden="1" customHeight="1">
      <c r="A11" s="488"/>
      <c r="B11" s="488"/>
      <c r="C11" s="488"/>
      <c r="D11" s="488"/>
      <c r="E11" s="500"/>
      <c r="F11" s="500"/>
      <c r="G11" s="500"/>
      <c r="H11" s="500"/>
      <c r="I11" s="512"/>
      <c r="J11" s="512"/>
      <c r="K11" s="507"/>
      <c r="L11" s="490"/>
      <c r="P11" s="132"/>
      <c r="Q11" s="132"/>
      <c r="R11" s="640"/>
      <c r="S11" s="644"/>
      <c r="T11" s="709"/>
      <c r="U11" s="495"/>
      <c r="V11" s="631"/>
      <c r="W11" s="648"/>
      <c r="X11" s="631"/>
      <c r="Y11" s="648"/>
      <c r="Z11" s="631"/>
      <c r="AA11" s="631"/>
      <c r="AB11" s="631"/>
      <c r="AC11" s="631"/>
      <c r="AD11" s="296"/>
      <c r="AE11" s="642"/>
      <c r="AF11" s="356"/>
      <c r="AG11" s="699"/>
      <c r="AH11" s="224"/>
      <c r="AI11" s="650"/>
      <c r="AJ11" s="172"/>
      <c r="AK11" s="450" t="s">
        <v>527</v>
      </c>
      <c r="AL11" s="631"/>
      <c r="AM11" s="631"/>
      <c r="AN11" s="631"/>
      <c r="AO11" s="631"/>
      <c r="AP11" s="631"/>
      <c r="AQ11" s="631"/>
      <c r="AR11" s="631"/>
      <c r="AS11" s="631"/>
      <c r="AT11" s="631"/>
      <c r="AU11" s="648"/>
      <c r="AV11" s="631"/>
      <c r="AW11" s="648"/>
      <c r="AX11" s="631"/>
      <c r="AY11" s="631"/>
      <c r="AZ11" s="631"/>
      <c r="BA11" s="631"/>
      <c r="BB11" s="646"/>
      <c r="BC11" s="523"/>
      <c r="BE11" s="129"/>
      <c r="BF11" s="129"/>
      <c r="BG11" s="129"/>
      <c r="BH11" s="129"/>
      <c r="BI11" s="50">
        <v>0</v>
      </c>
    </row>
    <row r="12" ht="11.25" hidden="1" customHeight="1">
      <c r="A12" s="488"/>
      <c r="B12" s="488"/>
      <c r="C12" s="488"/>
      <c r="D12" s="488"/>
      <c r="E12" s="500"/>
      <c r="F12" s="500"/>
      <c r="G12" s="500"/>
      <c r="H12" s="500"/>
      <c r="I12" s="512"/>
      <c r="J12" s="512"/>
      <c r="K12" s="507"/>
      <c r="L12" s="490"/>
      <c r="P12" s="132"/>
      <c r="Q12" s="132"/>
      <c r="R12" s="640"/>
      <c r="S12" s="617"/>
      <c r="T12" s="712"/>
      <c r="U12" s="495"/>
      <c r="V12" s="631"/>
      <c r="W12" s="632" t="str">
        <f>Z8&amp;"-"&amp;AB8</f>
        <v>-</v>
      </c>
      <c r="X12" s="631"/>
      <c r="Y12" s="632" t="str">
        <f>AB8&amp;"-"&amp;AD8</f>
        <v>-да</v>
      </c>
      <c r="Z12" s="631"/>
      <c r="AA12" s="631"/>
      <c r="AB12" s="631"/>
      <c r="AC12" s="631"/>
      <c r="AD12" s="220"/>
      <c r="AE12" s="653"/>
      <c r="AF12" s="654"/>
      <c r="AG12" s="177" t="s">
        <v>509</v>
      </c>
      <c r="AH12" s="631"/>
      <c r="AI12" s="631"/>
      <c r="AJ12" s="631"/>
      <c r="AK12" s="631"/>
      <c r="AL12" s="631"/>
      <c r="AM12" s="631"/>
      <c r="AN12" s="631"/>
      <c r="AO12" s="631"/>
      <c r="AP12" s="631"/>
      <c r="AQ12" s="631"/>
      <c r="AR12" s="631"/>
      <c r="AS12" s="631"/>
      <c r="AT12" s="631"/>
      <c r="AU12" s="632" t="str">
        <f>AX8&amp;"-"&amp;AZ8</f>
        <v>-</v>
      </c>
      <c r="AV12" s="631"/>
      <c r="AW12" s="632" t="str">
        <f>AZ8&amp;"-"&amp;BB8</f>
        <v>-</v>
      </c>
      <c r="AX12" s="631"/>
      <c r="AY12" s="631"/>
      <c r="AZ12" s="631"/>
      <c r="BA12" s="631"/>
      <c r="BB12" s="652" t="str">
        <f>BE8&amp;"-"&amp;BG8</f>
        <v>-</v>
      </c>
      <c r="BC12" s="523"/>
      <c r="BE12" s="129"/>
      <c r="BF12" s="129" t="str">
        <f t="shared" ref="BF12:BF63" si="40">IF(T12="","",T12)</f>
        <v/>
      </c>
      <c r="BG12" s="129"/>
      <c r="BH12" s="129"/>
      <c r="BI12" s="50">
        <v>0</v>
      </c>
    </row>
    <row r="13" ht="11.25" hidden="1" customHeight="1">
      <c r="A13" s="488"/>
      <c r="B13" s="488"/>
      <c r="C13" s="488"/>
      <c r="D13" s="488"/>
      <c r="E13" s="500"/>
      <c r="F13" s="500"/>
      <c r="G13" s="500"/>
      <c r="H13" s="500"/>
      <c r="I13" s="512"/>
      <c r="J13" s="507"/>
      <c r="K13" s="488"/>
      <c r="L13" s="490"/>
      <c r="P13" s="132"/>
      <c r="Q13" s="132"/>
      <c r="R13" s="508"/>
      <c r="S13" s="524"/>
      <c r="T13" s="528" t="s">
        <v>469</v>
      </c>
      <c r="U13" s="214"/>
      <c r="V13" s="214"/>
      <c r="W13" s="214"/>
      <c r="X13" s="214"/>
      <c r="Y13" s="214"/>
      <c r="Z13" s="214"/>
      <c r="AA13" s="214"/>
      <c r="AB13" s="214"/>
      <c r="AC13" s="214"/>
      <c r="AD13" s="683"/>
      <c r="AE13" s="214"/>
      <c r="AF13" s="214"/>
      <c r="AG13" s="214"/>
      <c r="AH13" s="214"/>
      <c r="AI13" s="214"/>
      <c r="AJ13" s="214"/>
      <c r="AK13" s="214"/>
      <c r="AL13" s="214"/>
      <c r="AM13" s="214"/>
      <c r="AN13" s="214"/>
      <c r="AO13" s="214"/>
      <c r="AP13" s="214"/>
      <c r="AQ13" s="214"/>
      <c r="AR13" s="214"/>
      <c r="AS13" s="214"/>
      <c r="AT13" s="214"/>
      <c r="AU13" s="214"/>
      <c r="AV13" s="214"/>
      <c r="AW13" s="214"/>
      <c r="AX13" s="214"/>
      <c r="AY13" s="214"/>
      <c r="AZ13" s="214"/>
      <c r="BA13" s="214"/>
      <c r="BB13" s="526"/>
      <c r="BC13" s="527"/>
      <c r="BE13" s="129"/>
      <c r="BF13" s="129" t="str">
        <f t="shared" si="40"/>
        <v xml:space="preserve">Добавить строку</v>
      </c>
      <c r="BG13" s="129"/>
      <c r="BH13" s="129"/>
      <c r="BI13" s="50">
        <v>0</v>
      </c>
    </row>
    <row r="14" s="57" customFormat="1" ht="14.25" hidden="1" customHeight="1">
      <c r="A14" s="133"/>
      <c r="B14" s="133"/>
      <c r="C14" s="133"/>
      <c r="D14" s="133"/>
      <c r="E14" s="500"/>
      <c r="F14" s="500"/>
      <c r="G14" s="500"/>
      <c r="H14" s="500"/>
      <c r="I14" s="507"/>
      <c r="J14" s="133"/>
      <c r="K14" s="133"/>
      <c r="L14" s="212"/>
      <c r="M14" s="605"/>
      <c r="N14" s="605"/>
      <c r="O14" s="605"/>
      <c r="P14" s="132"/>
      <c r="Q14" s="132"/>
      <c r="R14" s="508"/>
      <c r="S14" s="601"/>
      <c r="T14" s="602"/>
      <c r="U14" s="603"/>
      <c r="V14" s="603"/>
      <c r="W14" s="603"/>
      <c r="X14" s="603"/>
      <c r="Y14" s="603"/>
      <c r="Z14" s="603"/>
      <c r="AA14" s="603"/>
      <c r="AB14" s="603"/>
      <c r="AC14" s="603"/>
      <c r="AD14" s="603"/>
      <c r="AE14" s="603"/>
      <c r="AF14" s="603"/>
      <c r="AG14" s="603"/>
      <c r="AH14" s="603"/>
      <c r="AI14" s="603"/>
      <c r="AJ14" s="603"/>
      <c r="AK14" s="603"/>
      <c r="AL14" s="603"/>
      <c r="AM14" s="603"/>
      <c r="AN14" s="603"/>
      <c r="AO14" s="603"/>
      <c r="AP14" s="603"/>
      <c r="AQ14" s="603"/>
      <c r="AR14" s="603"/>
      <c r="AS14" s="603"/>
      <c r="AT14" s="603"/>
      <c r="AU14" s="603"/>
      <c r="AV14" s="603"/>
      <c r="AW14" s="603"/>
      <c r="AX14" s="603"/>
      <c r="AY14" s="603"/>
      <c r="AZ14" s="603"/>
      <c r="BA14" s="603"/>
      <c r="BB14" s="603"/>
      <c r="BC14" s="604"/>
      <c r="BE14" s="129"/>
      <c r="BF14" s="129" t="str">
        <f t="shared" si="40"/>
        <v/>
      </c>
      <c r="BG14" s="129"/>
      <c r="BH14" s="129"/>
      <c r="BI14" s="57">
        <v>0</v>
      </c>
    </row>
    <row r="15" s="57" customFormat="1" ht="14.25" hidden="1" customHeight="1">
      <c r="A15" s="133"/>
      <c r="B15" s="133"/>
      <c r="C15" s="133"/>
      <c r="D15" s="133"/>
      <c r="E15" s="500"/>
      <c r="F15" s="500"/>
      <c r="G15" s="500"/>
      <c r="H15" s="489"/>
      <c r="I15" s="133"/>
      <c r="J15" s="133"/>
      <c r="K15" s="133"/>
      <c r="L15" s="212"/>
      <c r="M15" s="473"/>
      <c r="N15" s="473"/>
      <c r="O15" s="57"/>
      <c r="P15" s="167"/>
      <c r="Q15" s="533"/>
      <c r="R15" s="655"/>
      <c r="S15" s="601"/>
      <c r="T15" s="602"/>
      <c r="U15" s="603"/>
      <c r="V15" s="603"/>
      <c r="W15" s="603"/>
      <c r="X15" s="603"/>
      <c r="Y15" s="603"/>
      <c r="Z15" s="603"/>
      <c r="AA15" s="603"/>
      <c r="AB15" s="603"/>
      <c r="AC15" s="603"/>
      <c r="AD15" s="603"/>
      <c r="AE15" s="603"/>
      <c r="AF15" s="603"/>
      <c r="AG15" s="603"/>
      <c r="AH15" s="603"/>
      <c r="AI15" s="603"/>
      <c r="AJ15" s="603"/>
      <c r="AK15" s="603"/>
      <c r="AL15" s="603"/>
      <c r="AM15" s="603"/>
      <c r="AN15" s="603"/>
      <c r="AO15" s="603"/>
      <c r="AP15" s="603"/>
      <c r="AQ15" s="603"/>
      <c r="AR15" s="603"/>
      <c r="AS15" s="603"/>
      <c r="AT15" s="603"/>
      <c r="AU15" s="603"/>
      <c r="AV15" s="603"/>
      <c r="AW15" s="603"/>
      <c r="AX15" s="603"/>
      <c r="AY15" s="603"/>
      <c r="AZ15" s="603"/>
      <c r="BA15" s="603"/>
      <c r="BB15" s="603"/>
      <c r="BC15" s="604"/>
      <c r="BE15" s="129"/>
      <c r="BF15" s="129" t="str">
        <f t="shared" si="40"/>
        <v/>
      </c>
      <c r="BG15" s="129"/>
      <c r="BH15" s="129"/>
      <c r="BI15" s="57">
        <v>0</v>
      </c>
    </row>
    <row r="16" s="57" customFormat="1" ht="14.25" hidden="1" customHeight="1">
      <c r="A16" s="133"/>
      <c r="B16" s="133"/>
      <c r="C16" s="133"/>
      <c r="D16" s="133"/>
      <c r="E16" s="500"/>
      <c r="F16" s="500"/>
      <c r="G16" s="489"/>
      <c r="H16" s="133"/>
      <c r="I16" s="133"/>
      <c r="J16" s="133"/>
      <c r="K16" s="133"/>
      <c r="L16" s="212"/>
      <c r="M16" s="473"/>
      <c r="N16" s="473"/>
      <c r="P16" s="167"/>
      <c r="Q16" s="533"/>
      <c r="R16" s="167"/>
      <c r="S16" s="538"/>
      <c r="T16" s="541"/>
      <c r="U16" s="540"/>
      <c r="V16" s="540"/>
      <c r="W16" s="540"/>
      <c r="X16" s="540"/>
      <c r="Y16" s="540"/>
      <c r="Z16" s="540"/>
      <c r="AA16" s="540"/>
      <c r="AB16" s="540"/>
      <c r="AC16" s="540"/>
      <c r="AD16" s="540"/>
      <c r="AE16" s="540"/>
      <c r="AF16" s="540"/>
      <c r="AG16" s="540"/>
      <c r="AH16" s="540"/>
      <c r="AI16" s="540"/>
      <c r="AJ16" s="540"/>
      <c r="AK16" s="540"/>
      <c r="AL16" s="540"/>
      <c r="AM16" s="540"/>
      <c r="AN16" s="540"/>
      <c r="AO16" s="540"/>
      <c r="AP16" s="540"/>
      <c r="AQ16" s="540"/>
      <c r="AR16" s="540"/>
      <c r="AS16" s="540"/>
      <c r="AT16" s="540"/>
      <c r="AU16" s="540"/>
      <c r="AV16" s="540"/>
      <c r="AW16" s="540"/>
      <c r="AX16" s="540"/>
      <c r="AY16" s="540"/>
      <c r="AZ16" s="540"/>
      <c r="BA16" s="540"/>
      <c r="BB16" s="540"/>
      <c r="BC16" s="540"/>
      <c r="BE16" s="129"/>
      <c r="BF16" s="129" t="str">
        <f t="shared" si="40"/>
        <v/>
      </c>
      <c r="BG16" s="129"/>
      <c r="BH16" s="129"/>
      <c r="BI16" s="57">
        <v>0</v>
      </c>
    </row>
    <row r="17" s="57" customFormat="1" ht="14.25" hidden="1" customHeight="1">
      <c r="A17" s="133"/>
      <c r="B17" s="133"/>
      <c r="C17" s="133"/>
      <c r="D17" s="133"/>
      <c r="E17" s="500"/>
      <c r="F17" s="489"/>
      <c r="G17" s="133"/>
      <c r="H17" s="133"/>
      <c r="I17" s="133"/>
      <c r="J17" s="133"/>
      <c r="K17" s="133"/>
      <c r="L17" s="212"/>
      <c r="M17" s="537"/>
      <c r="N17" s="537"/>
      <c r="P17" s="167"/>
      <c r="Q17" s="533"/>
      <c r="R17" s="167"/>
      <c r="S17" s="538"/>
      <c r="T17" s="541" t="s">
        <v>212</v>
      </c>
      <c r="U17" s="540"/>
      <c r="V17" s="540"/>
      <c r="W17" s="540"/>
      <c r="X17" s="540"/>
      <c r="Y17" s="540"/>
      <c r="Z17" s="540"/>
      <c r="AA17" s="540"/>
      <c r="AB17" s="540"/>
      <c r="AC17" s="540"/>
      <c r="AD17" s="540"/>
      <c r="AE17" s="540"/>
      <c r="AF17" s="540"/>
      <c r="AG17" s="540"/>
      <c r="AH17" s="540"/>
      <c r="AI17" s="540"/>
      <c r="AJ17" s="540"/>
      <c r="AK17" s="540"/>
      <c r="AL17" s="540"/>
      <c r="AM17" s="540"/>
      <c r="AN17" s="540"/>
      <c r="AO17" s="540"/>
      <c r="AP17" s="540"/>
      <c r="AQ17" s="540"/>
      <c r="AR17" s="540"/>
      <c r="AS17" s="540"/>
      <c r="AT17" s="540"/>
      <c r="AU17" s="540"/>
      <c r="AV17" s="540"/>
      <c r="AW17" s="540"/>
      <c r="AX17" s="540"/>
      <c r="AY17" s="540"/>
      <c r="AZ17" s="540"/>
      <c r="BA17" s="540"/>
      <c r="BB17" s="540"/>
      <c r="BC17" s="540"/>
      <c r="BE17" s="129"/>
      <c r="BF17" s="129" t="str">
        <f t="shared" si="40"/>
        <v xml:space="preserve">Добавить централизованную систему для дифференциации</v>
      </c>
      <c r="BG17" s="129"/>
      <c r="BH17" s="129"/>
      <c r="BI17" s="57">
        <v>0</v>
      </c>
    </row>
    <row r="18" s="57" customFormat="1" ht="14.25" hidden="1" customHeight="1">
      <c r="A18" s="133"/>
      <c r="B18" s="133"/>
      <c r="C18" s="133"/>
      <c r="D18" s="133"/>
      <c r="E18" s="489"/>
      <c r="F18" s="133"/>
      <c r="G18" s="133"/>
      <c r="H18" s="133"/>
      <c r="I18" s="133"/>
      <c r="J18" s="133"/>
      <c r="K18" s="133"/>
      <c r="L18" s="212"/>
      <c r="M18" s="537"/>
      <c r="N18" s="537"/>
      <c r="O18" s="57"/>
      <c r="P18" s="167"/>
      <c r="Q18" s="533"/>
      <c r="R18" s="167"/>
      <c r="S18" s="538"/>
      <c r="T18" s="541" t="s">
        <v>213</v>
      </c>
      <c r="U18" s="540"/>
      <c r="V18" s="540"/>
      <c r="W18" s="540"/>
      <c r="X18" s="540"/>
      <c r="Y18" s="540"/>
      <c r="Z18" s="540"/>
      <c r="AA18" s="540"/>
      <c r="AB18" s="540"/>
      <c r="AC18" s="540"/>
      <c r="AD18" s="540"/>
      <c r="AE18" s="540"/>
      <c r="AF18" s="540"/>
      <c r="AG18" s="540"/>
      <c r="AH18" s="540"/>
      <c r="AI18" s="540"/>
      <c r="AJ18" s="540"/>
      <c r="AK18" s="540"/>
      <c r="AL18" s="540"/>
      <c r="AM18" s="540"/>
      <c r="AN18" s="540"/>
      <c r="AO18" s="540"/>
      <c r="AP18" s="540"/>
      <c r="AQ18" s="540"/>
      <c r="AR18" s="540"/>
      <c r="AS18" s="540"/>
      <c r="AT18" s="540"/>
      <c r="AU18" s="540"/>
      <c r="AV18" s="540"/>
      <c r="AW18" s="540"/>
      <c r="AX18" s="540"/>
      <c r="AY18" s="540"/>
      <c r="AZ18" s="540"/>
      <c r="BA18" s="540"/>
      <c r="BB18" s="540"/>
      <c r="BC18" s="540"/>
      <c r="BE18" s="129"/>
      <c r="BF18" s="129" t="str">
        <f t="shared" si="40"/>
        <v xml:space="preserve">Добавить территорию для дифференциации</v>
      </c>
      <c r="BG18" s="129"/>
      <c r="BH18" s="129"/>
      <c r="BI18" s="57">
        <v>0</v>
      </c>
    </row>
    <row r="19" ht="14.25" hidden="1" customHeight="1">
      <c r="AC19" s="50"/>
      <c r="BA19" s="50"/>
      <c r="BI19" s="50">
        <v>0</v>
      </c>
    </row>
    <row r="20" ht="14.25" hidden="1" customHeight="1">
      <c r="AD20" s="540" t="s">
        <v>19</v>
      </c>
      <c r="AE20" s="656"/>
      <c r="AF20" s="540">
        <v>1</v>
      </c>
      <c r="AG20" s="657"/>
      <c r="AH20" s="540" t="s">
        <v>19</v>
      </c>
      <c r="AI20" s="656"/>
      <c r="AJ20" s="540">
        <v>1</v>
      </c>
      <c r="AK20" s="657"/>
      <c r="AL20" s="540" t="s">
        <v>19</v>
      </c>
      <c r="AM20" s="658"/>
      <c r="AN20" s="540">
        <v>1</v>
      </c>
      <c r="AO20" s="134"/>
      <c r="AP20" s="540" t="s">
        <v>19</v>
      </c>
      <c r="AQ20" s="658"/>
      <c r="AR20" s="540">
        <v>1</v>
      </c>
      <c r="AS20" s="134"/>
      <c r="AT20" s="517"/>
      <c r="AU20" s="592"/>
      <c r="AV20" s="517"/>
      <c r="AW20" s="592"/>
      <c r="AX20" s="662"/>
      <c r="AY20" s="663" t="s">
        <v>67</v>
      </c>
      <c r="AZ20" s="662"/>
      <c r="BA20" s="663" t="s">
        <v>67</v>
      </c>
      <c r="BI20" s="50">
        <v>0</v>
      </c>
    </row>
    <row r="21" ht="14.25" hidden="1" customHeight="1">
      <c r="BD21" s="131"/>
      <c r="BE21" s="131"/>
      <c r="BF21" s="131"/>
      <c r="BG21" s="131"/>
      <c r="BH21" s="131"/>
      <c r="BI21" s="50">
        <v>0</v>
      </c>
    </row>
    <row r="22" ht="14.25" hidden="1" customHeight="1">
      <c r="O22" s="546" t="s">
        <v>419</v>
      </c>
      <c r="Z22" s="590"/>
      <c r="AB22" s="590"/>
      <c r="AC22" s="50"/>
      <c r="AX22" s="590"/>
      <c r="AZ22" s="590"/>
      <c r="BA22" s="50"/>
      <c r="BD22" s="131"/>
      <c r="BE22" s="131"/>
      <c r="BF22" s="131"/>
      <c r="BG22" s="131"/>
      <c r="BH22" s="131"/>
      <c r="BI22" s="50">
        <v>0</v>
      </c>
    </row>
    <row r="23" ht="14.25" hidden="1" customHeight="1">
      <c r="AC23" s="50"/>
      <c r="BA23" s="50"/>
      <c r="BD23" s="131"/>
      <c r="BE23" s="131"/>
      <c r="BF23" s="131"/>
      <c r="BG23" s="131"/>
      <c r="BH23" s="131"/>
      <c r="BI23" s="50">
        <v>0</v>
      </c>
    </row>
    <row r="24" s="664" customFormat="1" ht="14.25" hidden="1" customHeight="1">
      <c r="M24" s="665"/>
      <c r="N24" s="665"/>
      <c r="O24" s="664" t="s">
        <v>420</v>
      </c>
      <c r="P24" s="665"/>
      <c r="Q24" s="666"/>
      <c r="R24" s="666"/>
      <c r="AA24" s="664" t="s">
        <v>422</v>
      </c>
      <c r="AC24" s="664" t="s">
        <v>423</v>
      </c>
      <c r="AD24" s="664" t="s">
        <v>470</v>
      </c>
      <c r="AH24" s="664" t="s">
        <v>470</v>
      </c>
      <c r="AK24" s="664" t="s">
        <v>510</v>
      </c>
      <c r="AL24" s="664" t="s">
        <v>470</v>
      </c>
      <c r="AP24" s="664" t="s">
        <v>470</v>
      </c>
      <c r="AY24" s="664" t="s">
        <v>422</v>
      </c>
      <c r="BA24" s="664" t="s">
        <v>423</v>
      </c>
      <c r="BD24" s="667"/>
      <c r="BE24" s="667"/>
      <c r="BF24" s="667"/>
      <c r="BG24" s="667"/>
      <c r="BH24" s="667"/>
      <c r="BI24" s="664">
        <v>0</v>
      </c>
    </row>
    <row r="25" ht="14.25" hidden="1" customHeight="1">
      <c r="O25" s="490"/>
      <c r="BD25" s="131"/>
      <c r="BE25" s="131"/>
      <c r="BF25" s="131"/>
      <c r="BG25" s="131"/>
      <c r="BH25" s="131"/>
      <c r="BI25" s="50">
        <v>0</v>
      </c>
    </row>
    <row r="26" ht="14.25" hidden="1" customHeight="1">
      <c r="O26" s="490"/>
      <c r="BD26" s="131"/>
      <c r="BE26" s="131"/>
      <c r="BF26" s="131"/>
      <c r="BG26" s="131"/>
      <c r="BH26" s="131"/>
      <c r="BI26" s="50">
        <v>0</v>
      </c>
    </row>
    <row r="27" ht="14.65" customHeight="1">
      <c r="Q27" s="668"/>
      <c r="R27" s="548"/>
      <c r="S27" s="549"/>
      <c r="T27" s="91"/>
      <c r="U27" s="91"/>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0"/>
      <c r="AV27" s="50"/>
      <c r="AW27" s="50"/>
      <c r="AX27" s="50"/>
      <c r="AY27" s="50"/>
      <c r="AZ27" s="50"/>
      <c r="BA27" s="50"/>
      <c r="BI27" s="50">
        <v>14</v>
      </c>
    </row>
    <row r="28" ht="14.65" customHeight="1">
      <c r="Q28" s="668"/>
      <c r="R28" s="548"/>
      <c r="S28" s="461" t="str">
        <f>IF(TEMPLATE_GROUP="P",PT_P_FORM_VOTV_5_NAME_FORM,PT_R_FORM_VOTV_17_NAME_FORM)</f>
        <v xml:space="preserve">Форма 14. Информация о предложении организации водоотведения расчетной величины тарифов на подключение к централизованной системе водоотведения</v>
      </c>
      <c r="T28" s="461"/>
      <c r="U28" s="461"/>
      <c r="V28" s="461"/>
      <c r="W28" s="461"/>
      <c r="X28" s="461"/>
      <c r="Y28" s="461"/>
      <c r="Z28" s="461"/>
      <c r="AA28" s="461"/>
      <c r="AB28" s="461"/>
      <c r="AC28" s="461"/>
      <c r="AD28" s="461"/>
      <c r="AE28" s="461"/>
      <c r="AF28" s="461"/>
      <c r="AG28" s="461"/>
      <c r="AH28" s="461"/>
      <c r="AI28" s="461"/>
      <c r="AJ28" s="461"/>
      <c r="AK28" s="461"/>
      <c r="AL28" s="461"/>
      <c r="AM28" s="461"/>
      <c r="AN28" s="461"/>
      <c r="AO28" s="461"/>
      <c r="AP28" s="461"/>
      <c r="AQ28" s="461"/>
      <c r="AR28" s="461"/>
      <c r="AS28" s="461"/>
      <c r="AT28" s="461"/>
      <c r="AU28" s="461"/>
      <c r="AV28" s="461"/>
      <c r="AW28" s="461"/>
      <c r="AX28" s="461"/>
      <c r="AY28" s="461"/>
      <c r="AZ28" s="461"/>
      <c r="BA28" s="240"/>
      <c r="BI28" s="50">
        <v>14</v>
      </c>
    </row>
    <row r="29" ht="14.65" customHeight="1">
      <c r="Q29" s="668"/>
      <c r="R29" s="548"/>
      <c r="S29" s="316" t="str">
        <f>IF(org=0,"Не определено",org)</f>
        <v xml:space="preserve">АО "ДГК"</v>
      </c>
      <c r="T29" s="316"/>
      <c r="U29" s="316"/>
      <c r="V29" s="316"/>
      <c r="W29" s="316"/>
      <c r="X29" s="316"/>
      <c r="Y29" s="316"/>
      <c r="Z29" s="316"/>
      <c r="AA29" s="316"/>
      <c r="AB29" s="316"/>
      <c r="AC29" s="316"/>
      <c r="AD29" s="316"/>
      <c r="AE29" s="316"/>
      <c r="AF29" s="316"/>
      <c r="AG29" s="316"/>
      <c r="AH29" s="316"/>
      <c r="AI29" s="316"/>
      <c r="AJ29" s="316"/>
      <c r="AK29" s="316"/>
      <c r="AL29" s="316"/>
      <c r="AM29" s="316"/>
      <c r="AN29" s="316"/>
      <c r="AO29" s="316"/>
      <c r="AP29" s="316"/>
      <c r="AQ29" s="316"/>
      <c r="AR29" s="316"/>
      <c r="AS29" s="316"/>
      <c r="AT29" s="316"/>
      <c r="AU29" s="316"/>
      <c r="AV29" s="316"/>
      <c r="AW29" s="316"/>
      <c r="AX29" s="316"/>
      <c r="AY29" s="316"/>
      <c r="AZ29" s="316"/>
      <c r="BA29" s="240"/>
      <c r="BI29" s="50">
        <v>14</v>
      </c>
    </row>
    <row r="30" ht="14.25" hidden="1" customHeight="1">
      <c r="Q30" s="668"/>
      <c r="R30" s="548"/>
      <c r="S30" s="549"/>
      <c r="T30" s="91"/>
      <c r="U30" s="91"/>
      <c r="V30" s="550"/>
      <c r="W30" s="550"/>
      <c r="X30" s="550"/>
      <c r="Y30" s="550"/>
      <c r="Z30" s="550"/>
      <c r="AA30" s="550"/>
      <c r="AB30" s="550"/>
      <c r="AC30" s="550"/>
      <c r="AD30" s="550"/>
      <c r="AE30" s="550"/>
      <c r="AF30" s="550"/>
      <c r="AG30" s="550"/>
      <c r="AH30" s="550"/>
      <c r="AI30" s="550"/>
      <c r="AJ30" s="550"/>
      <c r="AK30" s="550"/>
      <c r="AL30" s="550"/>
      <c r="AM30" s="550"/>
      <c r="AN30" s="550"/>
      <c r="AO30" s="550"/>
      <c r="AP30" s="550"/>
      <c r="AQ30" s="550"/>
      <c r="AR30" s="550"/>
      <c r="AS30" s="550"/>
      <c r="AT30" s="550"/>
      <c r="AU30" s="550"/>
      <c r="AV30" s="550"/>
      <c r="AW30" s="550"/>
      <c r="AX30" s="550"/>
      <c r="AY30" s="550"/>
      <c r="AZ30" s="550"/>
      <c r="BA30" s="550"/>
      <c r="BB30" s="50"/>
      <c r="BI30" s="50">
        <v>0</v>
      </c>
    </row>
    <row r="31" s="184" customFormat="1" ht="25.5" hidden="1" customHeight="1">
      <c r="A31" s="151"/>
      <c r="B31" s="151"/>
      <c r="C31" s="151"/>
      <c r="D31" s="151"/>
      <c r="E31" s="151"/>
      <c r="F31" s="151"/>
      <c r="G31" s="151"/>
      <c r="H31" s="151"/>
      <c r="I31" s="151"/>
      <c r="J31" s="151"/>
      <c r="K31" s="151"/>
      <c r="L31" s="490"/>
      <c r="M31" s="151"/>
      <c r="N31" s="151"/>
      <c r="O31" s="151"/>
      <c r="P31" s="151"/>
      <c r="Q31" s="151"/>
      <c r="S31" s="551" t="s">
        <v>42</v>
      </c>
      <c r="T31" s="551"/>
      <c r="U31" s="552"/>
      <c r="V31" s="553" t="str">
        <f>IF(TITLE_NAME_OR_PR_CHANGE="",IF(TITLE_NAME_OR_PR="","",TITLE_NAME_OR_PR),TITLE_NAME_OR_PR_CHANGE)</f>
        <v/>
      </c>
      <c r="W31" s="553"/>
      <c r="X31" s="553"/>
      <c r="Y31" s="553"/>
      <c r="Z31" s="553"/>
      <c r="AA31" s="553"/>
      <c r="AB31" s="553"/>
      <c r="AC31" s="50"/>
      <c r="AD31" s="553" t="str">
        <f>IF(TITLE_NAME_OR_PR_CHANGE="",IF(TITLE_NAME_OR_PR="","",TITLE_NAME_OR_PR),TITLE_NAME_OR_PR_CHANGE)</f>
        <v/>
      </c>
      <c r="AE31" s="553"/>
      <c r="AF31" s="553"/>
      <c r="AG31" s="553"/>
      <c r="AH31" s="553"/>
      <c r="AI31" s="553"/>
      <c r="AJ31" s="553"/>
      <c r="AK31" s="553"/>
      <c r="AL31" s="553"/>
      <c r="AM31" s="553"/>
      <c r="AN31" s="553"/>
      <c r="AO31" s="553"/>
      <c r="AP31" s="553"/>
      <c r="AQ31" s="553"/>
      <c r="AR31" s="553"/>
      <c r="AS31" s="553"/>
      <c r="AT31" s="553"/>
      <c r="AU31" s="553"/>
      <c r="AV31" s="553"/>
      <c r="AW31" s="553"/>
      <c r="AX31" s="553"/>
      <c r="AY31" s="553"/>
      <c r="AZ31" s="553"/>
      <c r="BA31" s="50"/>
      <c r="BB31" s="50"/>
      <c r="BC31" s="554"/>
      <c r="BD31" s="129"/>
      <c r="BE31" s="129"/>
      <c r="BF31" s="129"/>
      <c r="BG31" s="129"/>
      <c r="BH31" s="129"/>
      <c r="BI31" s="184">
        <v>0</v>
      </c>
    </row>
    <row r="32" s="184" customFormat="1" ht="18.75" hidden="1" customHeight="1">
      <c r="A32" s="151"/>
      <c r="B32" s="151"/>
      <c r="C32" s="151"/>
      <c r="D32" s="151"/>
      <c r="E32" s="151"/>
      <c r="F32" s="151"/>
      <c r="G32" s="151"/>
      <c r="H32" s="151"/>
      <c r="I32" s="151"/>
      <c r="J32" s="151"/>
      <c r="K32" s="151"/>
      <c r="L32" s="490"/>
      <c r="M32" s="151"/>
      <c r="N32" s="151"/>
      <c r="O32" s="151"/>
      <c r="P32" s="151"/>
      <c r="Q32" s="151"/>
      <c r="S32" s="551" t="s">
        <v>425</v>
      </c>
      <c r="T32" s="551"/>
      <c r="U32" s="552"/>
      <c r="V32" s="555">
        <f>IF(TITLE_DATE_PR_CHANGE="",IF(TITLE_DATE_PR="","",TITLE_DATE_PR),TITLE_DATE_PR_CHANGE)</f>
        <v>46212.428518518522</v>
      </c>
      <c r="W32" s="555"/>
      <c r="X32" s="555"/>
      <c r="Y32" s="555"/>
      <c r="Z32" s="555"/>
      <c r="AA32" s="555"/>
      <c r="AB32" s="555"/>
      <c r="AC32" s="50"/>
      <c r="AD32" s="555">
        <f>IF(TITLE_DATE_PR_CHANGE="",IF(TITLE_DATE_PR="","",TITLE_DATE_PR),TITLE_DATE_PR_CHANGE)</f>
        <v>46212.428518518522</v>
      </c>
      <c r="AE32" s="555"/>
      <c r="AF32" s="555"/>
      <c r="AG32" s="555"/>
      <c r="AH32" s="555"/>
      <c r="AI32" s="555"/>
      <c r="AJ32" s="555"/>
      <c r="AK32" s="555"/>
      <c r="AL32" s="555"/>
      <c r="AM32" s="555"/>
      <c r="AN32" s="555"/>
      <c r="AO32" s="555"/>
      <c r="AP32" s="555"/>
      <c r="AQ32" s="555"/>
      <c r="AR32" s="555"/>
      <c r="AS32" s="555"/>
      <c r="AT32" s="555"/>
      <c r="AU32" s="555"/>
      <c r="AV32" s="555"/>
      <c r="AW32" s="555"/>
      <c r="AX32" s="555"/>
      <c r="AY32" s="555"/>
      <c r="AZ32" s="555"/>
      <c r="BA32" s="50"/>
      <c r="BB32" s="50"/>
      <c r="BC32" s="554"/>
      <c r="BD32" s="129"/>
      <c r="BE32" s="129"/>
      <c r="BF32" s="129"/>
      <c r="BG32" s="129"/>
      <c r="BH32" s="129"/>
      <c r="BI32" s="184">
        <v>0</v>
      </c>
    </row>
    <row r="33" s="184" customFormat="1" ht="18.75" hidden="1" customHeight="1">
      <c r="A33" s="151"/>
      <c r="B33" s="151"/>
      <c r="C33" s="151"/>
      <c r="D33" s="151"/>
      <c r="E33" s="151"/>
      <c r="F33" s="151"/>
      <c r="G33" s="151"/>
      <c r="H33" s="151"/>
      <c r="I33" s="151"/>
      <c r="J33" s="151"/>
      <c r="K33" s="151"/>
      <c r="L33" s="490"/>
      <c r="M33" s="151"/>
      <c r="N33" s="151"/>
      <c r="O33" s="151"/>
      <c r="P33" s="151"/>
      <c r="Q33" s="151"/>
      <c r="S33" s="551" t="s">
        <v>426</v>
      </c>
      <c r="T33" s="551"/>
      <c r="U33" s="552"/>
      <c r="V33" s="553" t="str">
        <f>IF(TITLE_NUMBER_PR_CHANGE="",IF(TITLE_NUMBER_PR="","",TITLE_NUMBER_PR),TITLE_NUMBER_PR_CHANGE)</f>
        <v>Исх-260/1397</v>
      </c>
      <c r="W33" s="553"/>
      <c r="X33" s="553"/>
      <c r="Y33" s="553"/>
      <c r="Z33" s="553"/>
      <c r="AA33" s="553"/>
      <c r="AB33" s="553"/>
      <c r="AC33" s="50"/>
      <c r="AD33" s="553" t="str">
        <f>IF(TITLE_NUMBER_PR_CHANGE="",IF(TITLE_NUMBER_PR="","",TITLE_NUMBER_PR),TITLE_NUMBER_PR_CHANGE)</f>
        <v>Исх-260/1397</v>
      </c>
      <c r="AE33" s="553"/>
      <c r="AF33" s="553"/>
      <c r="AG33" s="553"/>
      <c r="AH33" s="553"/>
      <c r="AI33" s="553"/>
      <c r="AJ33" s="553"/>
      <c r="AK33" s="553"/>
      <c r="AL33" s="553"/>
      <c r="AM33" s="553"/>
      <c r="AN33" s="553"/>
      <c r="AO33" s="553"/>
      <c r="AP33" s="553"/>
      <c r="AQ33" s="553"/>
      <c r="AR33" s="553"/>
      <c r="AS33" s="553"/>
      <c r="AT33" s="553"/>
      <c r="AU33" s="553"/>
      <c r="AV33" s="553"/>
      <c r="AW33" s="553"/>
      <c r="AX33" s="553"/>
      <c r="AY33" s="553"/>
      <c r="AZ33" s="553"/>
      <c r="BA33" s="50"/>
      <c r="BB33" s="50"/>
      <c r="BC33" s="554"/>
      <c r="BD33" s="129"/>
      <c r="BE33" s="129"/>
      <c r="BF33" s="129"/>
      <c r="BG33" s="129"/>
      <c r="BH33" s="129"/>
      <c r="BI33" s="184">
        <v>0</v>
      </c>
    </row>
    <row r="34" s="184" customFormat="1" ht="18.75" hidden="1" customHeight="1">
      <c r="A34" s="151"/>
      <c r="B34" s="151"/>
      <c r="C34" s="151"/>
      <c r="D34" s="151"/>
      <c r="E34" s="151"/>
      <c r="F34" s="151"/>
      <c r="G34" s="151"/>
      <c r="H34" s="151"/>
      <c r="I34" s="151"/>
      <c r="J34" s="151"/>
      <c r="K34" s="151"/>
      <c r="L34" s="490"/>
      <c r="M34" s="151"/>
      <c r="N34" s="151"/>
      <c r="O34" s="151"/>
      <c r="P34" s="151"/>
      <c r="Q34" s="151"/>
      <c r="S34" s="551" t="s">
        <v>43</v>
      </c>
      <c r="T34" s="551"/>
      <c r="U34" s="552"/>
      <c r="V34" s="553" t="str">
        <f>IF(TITLE_IST_PUB_CHANGE="",IF(TITLE_IST_PUB="","",TITLE_IST_PUB),TITLE_IST_PUB_CHANGE)</f>
        <v/>
      </c>
      <c r="W34" s="553"/>
      <c r="X34" s="553"/>
      <c r="Y34" s="553"/>
      <c r="Z34" s="553"/>
      <c r="AA34" s="553"/>
      <c r="AB34" s="553"/>
      <c r="AC34" s="50"/>
      <c r="AD34" s="553" t="str">
        <f>IF(TITLE_IST_PUB_CHANGE="",IF(TITLE_IST_PUB="","",TITLE_IST_PUB),TITLE_IST_PUB_CHANGE)</f>
        <v/>
      </c>
      <c r="AE34" s="553"/>
      <c r="AF34" s="553"/>
      <c r="AG34" s="553"/>
      <c r="AH34" s="553"/>
      <c r="AI34" s="553"/>
      <c r="AJ34" s="553"/>
      <c r="AK34" s="553"/>
      <c r="AL34" s="553"/>
      <c r="AM34" s="553"/>
      <c r="AN34" s="553"/>
      <c r="AO34" s="553"/>
      <c r="AP34" s="553"/>
      <c r="AQ34" s="553"/>
      <c r="AR34" s="553"/>
      <c r="AS34" s="553"/>
      <c r="AT34" s="553"/>
      <c r="AU34" s="553"/>
      <c r="AV34" s="553"/>
      <c r="AW34" s="553"/>
      <c r="AX34" s="553"/>
      <c r="AY34" s="553"/>
      <c r="AZ34" s="553"/>
      <c r="BA34" s="50"/>
      <c r="BB34" s="50"/>
      <c r="BC34" s="554"/>
      <c r="BD34" s="129"/>
      <c r="BE34" s="129"/>
      <c r="BF34" s="129"/>
      <c r="BG34" s="129"/>
      <c r="BH34" s="129"/>
      <c r="BI34" s="184">
        <v>0</v>
      </c>
    </row>
    <row r="35" ht="14.25" customHeight="1">
      <c r="Q35" s="668"/>
      <c r="R35" s="548"/>
      <c r="S35" s="549"/>
      <c r="T35" s="91"/>
      <c r="U35" s="91"/>
      <c r="V35" s="550"/>
      <c r="W35" s="550"/>
      <c r="X35" s="550"/>
      <c r="Y35" s="550"/>
      <c r="Z35" s="550"/>
      <c r="AA35" s="550"/>
      <c r="AB35" s="550"/>
      <c r="AC35" s="550"/>
      <c r="AD35" s="550"/>
      <c r="AE35" s="550"/>
      <c r="AF35" s="550"/>
      <c r="AG35" s="550"/>
      <c r="AH35" s="550"/>
      <c r="AI35" s="550"/>
      <c r="AJ35" s="550"/>
      <c r="AK35" s="550"/>
      <c r="AL35" s="550"/>
      <c r="AM35" s="550"/>
      <c r="AN35" s="550"/>
      <c r="AO35" s="550"/>
      <c r="AP35" s="550"/>
      <c r="AQ35" s="550"/>
      <c r="AR35" s="550"/>
      <c r="AS35" s="550"/>
      <c r="AT35" s="550"/>
      <c r="AU35" s="550"/>
      <c r="AV35" s="550"/>
      <c r="AW35" s="550"/>
      <c r="AX35" s="550"/>
      <c r="AY35" s="550"/>
      <c r="AZ35" s="550"/>
      <c r="BA35" s="550"/>
      <c r="BB35" s="50"/>
      <c r="BI35" s="50">
        <v>0</v>
      </c>
    </row>
    <row r="36" s="184" customFormat="1" ht="18.75" customHeight="1">
      <c r="A36" s="151"/>
      <c r="B36" s="151"/>
      <c r="C36" s="151"/>
      <c r="D36" s="151"/>
      <c r="E36" s="151"/>
      <c r="F36" s="151"/>
      <c r="G36" s="151"/>
      <c r="H36" s="151"/>
      <c r="I36" s="151"/>
      <c r="J36" s="151"/>
      <c r="K36" s="151"/>
      <c r="L36" s="490"/>
      <c r="M36" s="151"/>
      <c r="N36" s="151"/>
      <c r="O36" s="151"/>
      <c r="P36" s="151"/>
      <c r="Q36" s="151"/>
      <c r="S36" s="551" t="s">
        <v>425</v>
      </c>
      <c r="T36" s="551"/>
      <c r="U36" s="552"/>
      <c r="V36" s="555">
        <f>IF(TITLE_DATE_PR_CHANGE="",IF(TITLE_DATE_PR="","",TITLE_DATE_PR),TITLE_DATE_PR_CHANGE)</f>
        <v>46212.428518518522</v>
      </c>
      <c r="W36" s="555"/>
      <c r="X36" s="555"/>
      <c r="Y36" s="555"/>
      <c r="Z36" s="555"/>
      <c r="AA36" s="555"/>
      <c r="AB36" s="555"/>
      <c r="AC36" s="50"/>
      <c r="AD36" s="555">
        <f>IF(TITLE_DATE_PR_CHANGE="",IF(TITLE_DATE_PR="","",TITLE_DATE_PR),TITLE_DATE_PR_CHANGE)</f>
        <v>46212.428518518522</v>
      </c>
      <c r="AE36" s="555"/>
      <c r="AF36" s="555"/>
      <c r="AG36" s="555"/>
      <c r="AH36" s="555"/>
      <c r="AI36" s="555"/>
      <c r="AJ36" s="555"/>
      <c r="AK36" s="555"/>
      <c r="AL36" s="555"/>
      <c r="AM36" s="555"/>
      <c r="AN36" s="555"/>
      <c r="AO36" s="555"/>
      <c r="AP36" s="555"/>
      <c r="AQ36" s="555"/>
      <c r="AR36" s="555"/>
      <c r="AS36" s="555"/>
      <c r="AT36" s="555"/>
      <c r="AU36" s="555"/>
      <c r="AV36" s="555"/>
      <c r="AW36" s="555"/>
      <c r="AX36" s="555"/>
      <c r="AY36" s="555"/>
      <c r="AZ36" s="555"/>
      <c r="BA36" s="50"/>
      <c r="BB36" s="50"/>
      <c r="BC36" s="554"/>
      <c r="BD36" s="129"/>
      <c r="BE36" s="129"/>
      <c r="BF36" s="129"/>
      <c r="BG36" s="129"/>
      <c r="BH36" s="129"/>
      <c r="BI36" s="184">
        <v>0</v>
      </c>
    </row>
    <row r="37" s="184" customFormat="1" ht="18.75" customHeight="1">
      <c r="A37" s="151"/>
      <c r="B37" s="151"/>
      <c r="C37" s="151"/>
      <c r="D37" s="151"/>
      <c r="E37" s="151"/>
      <c r="F37" s="151"/>
      <c r="G37" s="151"/>
      <c r="H37" s="151"/>
      <c r="I37" s="151"/>
      <c r="J37" s="151"/>
      <c r="K37" s="151"/>
      <c r="L37" s="490"/>
      <c r="M37" s="151"/>
      <c r="N37" s="151"/>
      <c r="O37" s="151"/>
      <c r="P37" s="151"/>
      <c r="Q37" s="151"/>
      <c r="S37" s="551" t="s">
        <v>426</v>
      </c>
      <c r="T37" s="551"/>
      <c r="U37" s="552"/>
      <c r="V37" s="553" t="str">
        <f>IF(TITLE_NUMBER_PR_CHANGE="",IF(TITLE_NUMBER_PR="","",TITLE_NUMBER_PR),TITLE_NUMBER_PR_CHANGE)</f>
        <v>Исх-260/1397</v>
      </c>
      <c r="W37" s="553"/>
      <c r="X37" s="553"/>
      <c r="Y37" s="553"/>
      <c r="Z37" s="553"/>
      <c r="AA37" s="553"/>
      <c r="AB37" s="553"/>
      <c r="AC37" s="50"/>
      <c r="AD37" s="553" t="str">
        <f>IF(TITLE_NUMBER_PR_CHANGE="",IF(TITLE_NUMBER_PR="","",TITLE_NUMBER_PR),TITLE_NUMBER_PR_CHANGE)</f>
        <v>Исх-260/1397</v>
      </c>
      <c r="AE37" s="553"/>
      <c r="AF37" s="553"/>
      <c r="AG37" s="553"/>
      <c r="AH37" s="553"/>
      <c r="AI37" s="553"/>
      <c r="AJ37" s="553"/>
      <c r="AK37" s="553"/>
      <c r="AL37" s="553"/>
      <c r="AM37" s="553"/>
      <c r="AN37" s="553"/>
      <c r="AO37" s="553"/>
      <c r="AP37" s="553"/>
      <c r="AQ37" s="553"/>
      <c r="AR37" s="553"/>
      <c r="AS37" s="553"/>
      <c r="AT37" s="553"/>
      <c r="AU37" s="553"/>
      <c r="AV37" s="553"/>
      <c r="AW37" s="553"/>
      <c r="AX37" s="553"/>
      <c r="AY37" s="553"/>
      <c r="AZ37" s="553"/>
      <c r="BA37" s="50"/>
      <c r="BB37" s="50"/>
      <c r="BC37" s="554"/>
      <c r="BD37" s="129"/>
      <c r="BE37" s="129"/>
      <c r="BF37" s="129"/>
      <c r="BG37" s="129"/>
      <c r="BH37" s="129"/>
      <c r="BI37" s="184">
        <v>0</v>
      </c>
    </row>
    <row r="38" s="184" customFormat="1" ht="0" customHeight="1">
      <c r="A38" s="151"/>
      <c r="B38" s="151"/>
      <c r="C38" s="151"/>
      <c r="D38" s="151"/>
      <c r="E38" s="151"/>
      <c r="F38" s="151"/>
      <c r="G38" s="151"/>
      <c r="H38" s="151"/>
      <c r="I38" s="151"/>
      <c r="J38" s="151"/>
      <c r="K38" s="151"/>
      <c r="L38" s="490"/>
      <c r="M38" s="151"/>
      <c r="N38" s="151"/>
      <c r="O38" s="151"/>
      <c r="P38" s="151"/>
      <c r="Q38" s="151"/>
      <c r="S38" s="50"/>
      <c r="T38" s="50"/>
      <c r="U38" s="140"/>
      <c r="V38" s="50"/>
      <c r="W38" s="50"/>
      <c r="X38" s="50"/>
      <c r="Y38" s="50"/>
      <c r="Z38" s="50"/>
      <c r="AA38" s="50"/>
      <c r="AB38" s="50"/>
      <c r="AC38" s="57" t="s">
        <v>429</v>
      </c>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7" t="s">
        <v>429</v>
      </c>
      <c r="BD38" s="129"/>
      <c r="BE38" s="129"/>
      <c r="BF38" s="129"/>
      <c r="BG38" s="129"/>
      <c r="BH38" s="129"/>
      <c r="BI38" s="184">
        <v>0</v>
      </c>
    </row>
    <row r="39" ht="14.65" customHeight="1">
      <c r="Q39" s="668"/>
      <c r="R39" s="548"/>
      <c r="S39" s="549"/>
      <c r="T39" s="91"/>
      <c r="U39" s="556"/>
      <c r="V39" s="557"/>
      <c r="W39" s="557"/>
      <c r="X39" s="557"/>
      <c r="Y39" s="557"/>
      <c r="Z39" s="557"/>
      <c r="AA39" s="557"/>
      <c r="AB39" s="557"/>
      <c r="AC39" s="557"/>
      <c r="AD39" s="557"/>
      <c r="AE39" s="557"/>
      <c r="AF39" s="557"/>
      <c r="AG39" s="557"/>
      <c r="AH39" s="557"/>
      <c r="AI39" s="557"/>
      <c r="AJ39" s="557"/>
      <c r="AK39" s="557"/>
      <c r="AL39" s="557"/>
      <c r="AM39" s="557"/>
      <c r="AN39" s="557"/>
      <c r="AO39" s="557"/>
      <c r="AP39" s="557"/>
      <c r="AQ39" s="557"/>
      <c r="AR39" s="557"/>
      <c r="AS39" s="557"/>
      <c r="AT39" s="557"/>
      <c r="AU39" s="557"/>
      <c r="AV39" s="557"/>
      <c r="AW39" s="557"/>
      <c r="AX39" s="557"/>
      <c r="AY39" s="557"/>
      <c r="AZ39" s="557"/>
      <c r="BA39" s="557"/>
      <c r="BI39" s="50">
        <v>14</v>
      </c>
    </row>
    <row r="40" ht="14.65" customHeight="1">
      <c r="Q40" s="668"/>
      <c r="R40" s="548"/>
      <c r="S40" s="157" t="s">
        <v>305</v>
      </c>
      <c r="T40" s="157"/>
      <c r="U40" s="157"/>
      <c r="V40" s="157"/>
      <c r="W40" s="157"/>
      <c r="X40" s="157"/>
      <c r="Y40" s="157"/>
      <c r="Z40" s="157"/>
      <c r="AA40" s="157"/>
      <c r="AB40" s="157"/>
      <c r="AC40" s="157"/>
      <c r="AD40" s="157"/>
      <c r="AE40" s="157"/>
      <c r="AF40" s="157"/>
      <c r="AG40" s="157"/>
      <c r="AH40" s="157"/>
      <c r="AI40" s="157"/>
      <c r="AJ40" s="157"/>
      <c r="AK40" s="157"/>
      <c r="AL40" s="157"/>
      <c r="AM40" s="157"/>
      <c r="AN40" s="157"/>
      <c r="AO40" s="157"/>
      <c r="AP40" s="157"/>
      <c r="AQ40" s="157"/>
      <c r="AR40" s="157"/>
      <c r="AS40" s="157"/>
      <c r="AT40" s="157"/>
      <c r="AU40" s="157"/>
      <c r="AV40" s="157"/>
      <c r="AW40" s="157"/>
      <c r="AX40" s="157"/>
      <c r="AY40" s="157"/>
      <c r="AZ40" s="157"/>
      <c r="BA40" s="157"/>
      <c r="BB40" s="157"/>
      <c r="BC40" s="157" t="s">
        <v>306</v>
      </c>
      <c r="BI40" s="50">
        <v>14</v>
      </c>
    </row>
    <row r="41" ht="14.65" customHeight="1">
      <c r="Q41" s="668"/>
      <c r="R41" s="548"/>
      <c r="S41" s="493" t="s">
        <v>89</v>
      </c>
      <c r="T41" s="358" t="s">
        <v>511</v>
      </c>
      <c r="U41" s="558"/>
      <c r="V41" s="559" t="s">
        <v>431</v>
      </c>
      <c r="W41" s="560"/>
      <c r="X41" s="560"/>
      <c r="Y41" s="560"/>
      <c r="Z41" s="560"/>
      <c r="AA41" s="560"/>
      <c r="AB41" s="561"/>
      <c r="AC41" s="562" t="s">
        <v>432</v>
      </c>
      <c r="AD41" s="670" t="s">
        <v>528</v>
      </c>
      <c r="AE41" s="593"/>
      <c r="AF41" s="593"/>
      <c r="AG41" s="671"/>
      <c r="AH41" s="670" t="s">
        <v>529</v>
      </c>
      <c r="AI41" s="593"/>
      <c r="AJ41" s="593"/>
      <c r="AK41" s="671"/>
      <c r="AL41" s="670" t="s">
        <v>530</v>
      </c>
      <c r="AM41" s="593"/>
      <c r="AN41" s="593"/>
      <c r="AO41" s="671"/>
      <c r="AP41" s="670" t="s">
        <v>515</v>
      </c>
      <c r="AQ41" s="593"/>
      <c r="AR41" s="593"/>
      <c r="AS41" s="671"/>
      <c r="AT41" s="559" t="s">
        <v>431</v>
      </c>
      <c r="AU41" s="560"/>
      <c r="AV41" s="560"/>
      <c r="AW41" s="560"/>
      <c r="AX41" s="560"/>
      <c r="AY41" s="560"/>
      <c r="AZ41" s="561"/>
      <c r="BA41" s="562" t="s">
        <v>432</v>
      </c>
      <c r="BB41" s="563" t="s">
        <v>434</v>
      </c>
      <c r="BC41" s="157"/>
      <c r="BI41" s="50">
        <v>14</v>
      </c>
    </row>
    <row r="42" ht="35.649999999999999" customHeight="1">
      <c r="Q42" s="668"/>
      <c r="R42" s="548"/>
      <c r="S42" s="493"/>
      <c r="T42" s="358"/>
      <c r="U42" s="564"/>
      <c r="V42" s="317" t="s">
        <v>516</v>
      </c>
      <c r="W42" s="318"/>
      <c r="X42" s="317" t="s">
        <v>517</v>
      </c>
      <c r="Y42" s="318"/>
      <c r="Z42" s="317" t="s">
        <v>518</v>
      </c>
      <c r="AA42" s="635"/>
      <c r="AB42" s="318"/>
      <c r="AC42" s="566"/>
      <c r="AD42" s="673"/>
      <c r="AE42" s="674"/>
      <c r="AF42" s="674"/>
      <c r="AG42" s="675"/>
      <c r="AH42" s="673"/>
      <c r="AI42" s="674"/>
      <c r="AJ42" s="674"/>
      <c r="AK42" s="675"/>
      <c r="AL42" s="673"/>
      <c r="AM42" s="674"/>
      <c r="AN42" s="674"/>
      <c r="AO42" s="675"/>
      <c r="AP42" s="673"/>
      <c r="AQ42" s="674"/>
      <c r="AR42" s="674"/>
      <c r="AS42" s="675"/>
      <c r="AT42" s="317" t="s">
        <v>531</v>
      </c>
      <c r="AU42" s="318"/>
      <c r="AV42" s="317" t="s">
        <v>532</v>
      </c>
      <c r="AW42" s="318"/>
      <c r="AX42" s="317" t="s">
        <v>518</v>
      </c>
      <c r="AY42" s="635"/>
      <c r="AZ42" s="318"/>
      <c r="BA42" s="566"/>
      <c r="BB42" s="567"/>
      <c r="BC42" s="157"/>
      <c r="BI42" s="50">
        <v>34</v>
      </c>
    </row>
    <row r="43" ht="14.65" customHeight="1">
      <c r="Q43" s="668"/>
      <c r="R43" s="548"/>
      <c r="S43" s="493"/>
      <c r="T43" s="358"/>
      <c r="U43" s="564"/>
      <c r="V43" s="323"/>
      <c r="W43" s="324"/>
      <c r="X43" s="323"/>
      <c r="Y43" s="324"/>
      <c r="Z43" s="323"/>
      <c r="AA43" s="636"/>
      <c r="AB43" s="324"/>
      <c r="AC43" s="566"/>
      <c r="AD43" s="673"/>
      <c r="AE43" s="674"/>
      <c r="AF43" s="674"/>
      <c r="AG43" s="675"/>
      <c r="AH43" s="673"/>
      <c r="AI43" s="674"/>
      <c r="AJ43" s="674"/>
      <c r="AK43" s="675"/>
      <c r="AL43" s="673"/>
      <c r="AM43" s="674"/>
      <c r="AN43" s="674"/>
      <c r="AO43" s="675"/>
      <c r="AP43" s="673"/>
      <c r="AQ43" s="674"/>
      <c r="AR43" s="674"/>
      <c r="AS43" s="675"/>
      <c r="AT43" s="323"/>
      <c r="AU43" s="324"/>
      <c r="AV43" s="323"/>
      <c r="AW43" s="324"/>
      <c r="AX43" s="323"/>
      <c r="AY43" s="636"/>
      <c r="AZ43" s="324"/>
      <c r="BA43" s="566"/>
      <c r="BB43" s="567"/>
      <c r="BC43" s="157"/>
      <c r="BI43" s="50">
        <v>14</v>
      </c>
    </row>
    <row r="44" ht="14.65" customHeight="1">
      <c r="A44" s="151"/>
      <c r="B44" s="151" t="s">
        <v>135</v>
      </c>
      <c r="C44" s="151" t="s">
        <v>136</v>
      </c>
      <c r="D44" s="151" t="s">
        <v>137</v>
      </c>
      <c r="E44" s="490" t="s">
        <v>439</v>
      </c>
      <c r="F44" s="490" t="s">
        <v>440</v>
      </c>
      <c r="G44" s="490" t="s">
        <v>441</v>
      </c>
      <c r="H44" s="490" t="s">
        <v>442</v>
      </c>
      <c r="I44" s="490" t="s">
        <v>443</v>
      </c>
      <c r="J44" s="490" t="s">
        <v>444</v>
      </c>
      <c r="K44" s="490" t="s">
        <v>445</v>
      </c>
      <c r="L44" s="490" t="s">
        <v>420</v>
      </c>
      <c r="Q44" s="668"/>
      <c r="R44" s="548"/>
      <c r="S44" s="493"/>
      <c r="T44" s="358"/>
      <c r="U44" s="568"/>
      <c r="V44" s="358" t="s">
        <v>479</v>
      </c>
      <c r="W44" s="358" t="s">
        <v>480</v>
      </c>
      <c r="X44" s="358" t="s">
        <v>479</v>
      </c>
      <c r="Y44" s="358" t="s">
        <v>480</v>
      </c>
      <c r="Z44" s="246" t="s">
        <v>448</v>
      </c>
      <c r="AA44" s="424" t="s">
        <v>449</v>
      </c>
      <c r="AB44" s="426"/>
      <c r="AC44" s="570"/>
      <c r="AD44" s="679"/>
      <c r="AE44" s="680"/>
      <c r="AF44" s="680"/>
      <c r="AG44" s="681"/>
      <c r="AH44" s="679"/>
      <c r="AI44" s="680"/>
      <c r="AJ44" s="680"/>
      <c r="AK44" s="681"/>
      <c r="AL44" s="679"/>
      <c r="AM44" s="680"/>
      <c r="AN44" s="680"/>
      <c r="AO44" s="681"/>
      <c r="AP44" s="679"/>
      <c r="AQ44" s="680"/>
      <c r="AR44" s="680"/>
      <c r="AS44" s="681"/>
      <c r="AT44" s="358" t="s">
        <v>479</v>
      </c>
      <c r="AU44" s="358" t="s">
        <v>480</v>
      </c>
      <c r="AV44" s="358" t="s">
        <v>479</v>
      </c>
      <c r="AW44" s="358" t="s">
        <v>480</v>
      </c>
      <c r="AX44" s="246" t="s">
        <v>448</v>
      </c>
      <c r="AY44" s="424" t="s">
        <v>449</v>
      </c>
      <c r="AZ44" s="426"/>
      <c r="BA44" s="570"/>
      <c r="BB44" s="571"/>
      <c r="BC44" s="157"/>
      <c r="BI44" s="50">
        <v>14</v>
      </c>
    </row>
    <row r="45" s="131" customFormat="1" ht="11.25" hidden="1" customHeight="1">
      <c r="A45" s="151"/>
      <c r="B45" s="151"/>
      <c r="C45" s="151"/>
      <c r="D45" s="151"/>
      <c r="E45" s="151"/>
      <c r="F45" s="151"/>
      <c r="G45" s="151"/>
      <c r="H45" s="151"/>
      <c r="I45" s="151"/>
      <c r="J45" s="151"/>
      <c r="K45" s="151"/>
      <c r="L45" s="490"/>
      <c r="M45" s="61"/>
      <c r="N45" s="61"/>
      <c r="O45" s="61"/>
      <c r="P45" s="605"/>
      <c r="Q45" s="574"/>
      <c r="R45" s="574">
        <v>1</v>
      </c>
      <c r="S45" s="575" t="s">
        <v>109</v>
      </c>
      <c r="T45" s="576" t="s">
        <v>110</v>
      </c>
      <c r="U45" s="577" t="str">
        <f ca="1">OFFSET(U45,0,-1)</f>
        <v>2</v>
      </c>
      <c r="V45" s="578">
        <f ca="1">OFFSET(V45,0,-1)+1</f>
        <v>3</v>
      </c>
      <c r="W45" s="578">
        <f ca="1">OFFSET(W45,0,-1)+1</f>
        <v>4</v>
      </c>
      <c r="X45" s="578">
        <f ca="1">OFFSET(X45,0,-1)+1</f>
        <v>5</v>
      </c>
      <c r="Y45" s="578">
        <f ca="1">OFFSET(Y45,0,-1)+1</f>
        <v>6</v>
      </c>
      <c r="Z45" s="578">
        <f ca="1">OFFSET(Z45,0,-1)+1</f>
        <v>7</v>
      </c>
      <c r="AA45" s="578">
        <f ca="1">OFFSET(AA45,0,-1)+1</f>
        <v>8</v>
      </c>
      <c r="AB45" s="578"/>
      <c r="AC45" s="578">
        <f ca="1">OFFSET(AC45,0,-2)+1</f>
        <v>9</v>
      </c>
      <c r="AD45" s="578">
        <f ca="1">OFFSET(AD45,0,-1)+1</f>
        <v>10</v>
      </c>
      <c r="AE45" s="578"/>
      <c r="AF45" s="578"/>
      <c r="AG45" s="578"/>
      <c r="AH45" s="578"/>
      <c r="AI45" s="578"/>
      <c r="AJ45" s="578"/>
      <c r="AK45" s="578"/>
      <c r="AL45" s="578"/>
      <c r="AM45" s="578"/>
      <c r="AN45" s="578"/>
      <c r="AO45" s="578"/>
      <c r="AP45" s="578"/>
      <c r="AQ45" s="578"/>
      <c r="AR45" s="578"/>
      <c r="AS45" s="578"/>
      <c r="AT45" s="578"/>
      <c r="AU45" s="578"/>
      <c r="AV45" s="578"/>
      <c r="AW45" s="578">
        <f ca="1">OFFSET(AW45,0,-1)+1</f>
        <v>1</v>
      </c>
      <c r="AX45" s="578">
        <f ca="1">OFFSET(AX45,0,-1)+1</f>
        <v>2</v>
      </c>
      <c r="AY45" s="578">
        <f ca="1">OFFSET(AY45,0,-1)+1</f>
        <v>3</v>
      </c>
      <c r="AZ45" s="578"/>
      <c r="BA45" s="578">
        <f ca="1">OFFSET(BA45,0,-2)+1</f>
        <v>4</v>
      </c>
      <c r="BB45" s="577">
        <f ca="1">OFFSET(BB45,0,-1)</f>
        <v>4</v>
      </c>
      <c r="BC45" s="578">
        <f ca="1">OFFSET(BC45,0,-1)+1</f>
        <v>5</v>
      </c>
      <c r="BD45" s="57"/>
      <c r="BE45" s="57"/>
      <c r="BF45" s="57"/>
      <c r="BG45" s="57"/>
      <c r="BH45" s="57"/>
      <c r="BI45" s="131">
        <v>0</v>
      </c>
    </row>
    <row r="46" ht="22" customHeight="1">
      <c r="A46" s="488" t="s">
        <v>281</v>
      </c>
      <c r="B46" s="488"/>
      <c r="C46" s="488"/>
      <c r="D46" s="488"/>
      <c r="E46" s="489">
        <v>1</v>
      </c>
      <c r="F46" s="488"/>
      <c r="G46" s="488"/>
      <c r="H46" s="488"/>
      <c r="I46" s="488"/>
      <c r="J46" s="488"/>
      <c r="K46" s="488"/>
      <c r="L46" s="490"/>
      <c r="M46" s="491"/>
      <c r="N46" s="491"/>
      <c r="O46" s="491"/>
      <c r="P46" s="61"/>
      <c r="Q46" s="64"/>
      <c r="R46" s="492"/>
      <c r="S46" s="493">
        <f>INDEX(PT_DIFFERENTIATION_NUM_NTAR,MATCH(A46,PT_DIFFERENTIATION_NTAR_ID,0))</f>
        <v>0</v>
      </c>
      <c r="T46" s="494" t="s">
        <v>123</v>
      </c>
      <c r="U46" s="495"/>
      <c r="V46" s="497"/>
      <c r="W46" s="497"/>
      <c r="X46" s="497"/>
      <c r="Y46" s="497"/>
      <c r="Z46" s="497"/>
      <c r="AA46" s="497"/>
      <c r="AB46" s="497"/>
      <c r="AC46" s="498"/>
      <c r="AD46" s="496" t="str">
        <f>INDEX(PT_DIFFERENTIATION_NTAR,MATCH(A46,PT_DIFFERENTIATION_NTAR_ID,0))</f>
        <v/>
      </c>
      <c r="AE46" s="497"/>
      <c r="AF46" s="497"/>
      <c r="AG46" s="497"/>
      <c r="AH46" s="497"/>
      <c r="AI46" s="497"/>
      <c r="AJ46" s="497"/>
      <c r="AK46" s="497"/>
      <c r="AL46" s="497"/>
      <c r="AM46" s="497"/>
      <c r="AN46" s="497"/>
      <c r="AO46" s="497"/>
      <c r="AP46" s="497"/>
      <c r="AQ46" s="497"/>
      <c r="AR46" s="497"/>
      <c r="AS46" s="497"/>
      <c r="AT46" s="497"/>
      <c r="AU46" s="497"/>
      <c r="AV46" s="497"/>
      <c r="AW46" s="497"/>
      <c r="AX46" s="497"/>
      <c r="AY46" s="497"/>
      <c r="AZ46" s="497"/>
      <c r="BA46" s="497"/>
      <c r="BB46" s="498"/>
      <c r="BC46" s="4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129"/>
      <c r="BF46" s="129" t="str">
        <f t="shared" si="40"/>
        <v xml:space="preserve">Наименование тарифа</v>
      </c>
      <c r="BG46" s="129"/>
      <c r="BH46" s="129"/>
      <c r="BI46" s="50">
        <v>21</v>
      </c>
    </row>
    <row r="47" ht="22" customHeight="1">
      <c r="A47" s="488" t="s">
        <v>281</v>
      </c>
      <c r="B47" s="488" t="s">
        <v>282</v>
      </c>
      <c r="C47" s="488"/>
      <c r="D47" s="488"/>
      <c r="E47" s="500"/>
      <c r="F47" s="489">
        <v>1</v>
      </c>
      <c r="G47" s="488"/>
      <c r="H47" s="488"/>
      <c r="I47" s="488"/>
      <c r="J47" s="488"/>
      <c r="K47" s="488"/>
      <c r="L47" s="490"/>
      <c r="M47" s="491"/>
      <c r="N47" s="491"/>
      <c r="O47" s="491"/>
      <c r="P47" s="113"/>
      <c r="Q47" s="638"/>
      <c r="R47" s="502"/>
      <c r="S47" s="493" t="str">
        <f>INDEX(PT_DIFFERENTIATION_NUM_TER,MATCH(B47,PT_DIFFERENTIATION_TER_ID,0))</f>
        <v>.</v>
      </c>
      <c r="T47" s="503" t="s">
        <v>402</v>
      </c>
      <c r="U47" s="495"/>
      <c r="V47" s="497"/>
      <c r="W47" s="497"/>
      <c r="X47" s="497"/>
      <c r="Y47" s="497"/>
      <c r="Z47" s="497"/>
      <c r="AA47" s="497"/>
      <c r="AB47" s="497"/>
      <c r="AC47" s="498"/>
      <c r="AD47" s="496" t="str">
        <f>INDEX(PT_DIFFERENTIATION_TER,MATCH(B47,PT_DIFFERENTIATION_TER_ID,0))</f>
        <v/>
      </c>
      <c r="AE47" s="497"/>
      <c r="AF47" s="497"/>
      <c r="AG47" s="497"/>
      <c r="AH47" s="497"/>
      <c r="AI47" s="497"/>
      <c r="AJ47" s="497"/>
      <c r="AK47" s="497"/>
      <c r="AL47" s="497"/>
      <c r="AM47" s="497"/>
      <c r="AN47" s="497"/>
      <c r="AO47" s="497"/>
      <c r="AP47" s="497"/>
      <c r="AQ47" s="497"/>
      <c r="AR47" s="497"/>
      <c r="AS47" s="497"/>
      <c r="AT47" s="497"/>
      <c r="AU47" s="497"/>
      <c r="AV47" s="497"/>
      <c r="AW47" s="497"/>
      <c r="AX47" s="497"/>
      <c r="AY47" s="497"/>
      <c r="AZ47" s="497"/>
      <c r="BA47" s="497"/>
      <c r="BB47" s="498"/>
      <c r="BC47" s="499" t="s">
        <v>403</v>
      </c>
      <c r="BE47" s="129"/>
      <c r="BF47" s="129" t="str">
        <f t="shared" si="40"/>
        <v xml:space="preserve">Территория действия тарифа</v>
      </c>
      <c r="BG47" s="129"/>
      <c r="BH47" s="129"/>
      <c r="BI47" s="50">
        <v>21</v>
      </c>
    </row>
    <row r="48" ht="35.649999999999999" customHeight="1">
      <c r="A48" s="488" t="s">
        <v>281</v>
      </c>
      <c r="B48" s="488" t="s">
        <v>282</v>
      </c>
      <c r="C48" s="488" t="s">
        <v>283</v>
      </c>
      <c r="D48" s="488"/>
      <c r="E48" s="500"/>
      <c r="F48" s="500"/>
      <c r="G48" s="489">
        <v>1</v>
      </c>
      <c r="H48" s="488"/>
      <c r="I48" s="488"/>
      <c r="J48" s="488"/>
      <c r="K48" s="488"/>
      <c r="L48" s="490"/>
      <c r="M48" s="491"/>
      <c r="N48" s="491"/>
      <c r="O48" s="491"/>
      <c r="P48" s="135"/>
      <c r="Q48" s="638"/>
      <c r="R48" s="502"/>
      <c r="S48" s="493" t="str">
        <f>INDEX(PT_DIFFERENTIATION_NUM_CS,MATCH(C48,PT_DIFFERENTIATION_CS_ID,0))</f>
        <v>..</v>
      </c>
      <c r="T48" s="505" t="s">
        <v>520</v>
      </c>
      <c r="U48" s="495"/>
      <c r="V48" s="497"/>
      <c r="W48" s="497"/>
      <c r="X48" s="497"/>
      <c r="Y48" s="497"/>
      <c r="Z48" s="497"/>
      <c r="AA48" s="497"/>
      <c r="AB48" s="497"/>
      <c r="AC48" s="498"/>
      <c r="AD48" s="496" t="str">
        <f>INDEX(PT_DIFFERENTIATION_CS,MATCH(C48,PT_DIFFERENTIATION_CS_ID,0))</f>
        <v/>
      </c>
      <c r="AE48" s="497"/>
      <c r="AF48" s="497"/>
      <c r="AG48" s="497"/>
      <c r="AH48" s="497"/>
      <c r="AI48" s="497"/>
      <c r="AJ48" s="497"/>
      <c r="AK48" s="497"/>
      <c r="AL48" s="497"/>
      <c r="AM48" s="497"/>
      <c r="AN48" s="497"/>
      <c r="AO48" s="497"/>
      <c r="AP48" s="497"/>
      <c r="AQ48" s="497"/>
      <c r="AR48" s="497"/>
      <c r="AS48" s="497"/>
      <c r="AT48" s="497"/>
      <c r="AU48" s="497"/>
      <c r="AV48" s="497"/>
      <c r="AW48" s="497"/>
      <c r="AX48" s="497"/>
      <c r="AY48" s="497"/>
      <c r="AZ48" s="497"/>
      <c r="BA48" s="497"/>
      <c r="BB48" s="498"/>
      <c r="BC48" s="499" t="s">
        <v>521</v>
      </c>
      <c r="BE48" s="129"/>
      <c r="BF48" s="129" t="str">
        <f t="shared" si="40"/>
        <v xml:space="preserve">Наименование централизованной системы водоотведения</v>
      </c>
      <c r="BG48" s="129"/>
      <c r="BH48" s="129"/>
      <c r="BI48" s="50">
        <v>34</v>
      </c>
    </row>
    <row r="49" s="57" customFormat="1" ht="0" customHeight="1">
      <c r="A49" s="133" t="s">
        <v>281</v>
      </c>
      <c r="B49" s="133" t="s">
        <v>282</v>
      </c>
      <c r="C49" s="133" t="s">
        <v>283</v>
      </c>
      <c r="D49" s="133" t="s">
        <v>533</v>
      </c>
      <c r="E49" s="500"/>
      <c r="F49" s="500"/>
      <c r="G49" s="500"/>
      <c r="H49" s="489">
        <v>1</v>
      </c>
      <c r="I49" s="133"/>
      <c r="J49" s="133"/>
      <c r="K49" s="133"/>
      <c r="L49" s="212"/>
      <c r="M49" s="473"/>
      <c r="N49" s="473"/>
      <c r="O49" s="473"/>
      <c r="P49" s="704"/>
      <c r="Q49" s="705"/>
      <c r="R49" s="513"/>
      <c r="S49" s="362"/>
      <c r="T49" s="706"/>
      <c r="U49" s="596"/>
      <c r="V49" s="598"/>
      <c r="W49" s="598"/>
      <c r="X49" s="598"/>
      <c r="Y49" s="598"/>
      <c r="Z49" s="598"/>
      <c r="AA49" s="598"/>
      <c r="AB49" s="598"/>
      <c r="AC49" s="599"/>
      <c r="AD49" s="597"/>
      <c r="AE49" s="598"/>
      <c r="AF49" s="598"/>
      <c r="AG49" s="598"/>
      <c r="AH49" s="598"/>
      <c r="AI49" s="598"/>
      <c r="AJ49" s="598"/>
      <c r="AK49" s="598"/>
      <c r="AL49" s="598"/>
      <c r="AM49" s="598"/>
      <c r="AN49" s="598"/>
      <c r="AO49" s="598"/>
      <c r="AP49" s="598"/>
      <c r="AQ49" s="598"/>
      <c r="AR49" s="598"/>
      <c r="AS49" s="598"/>
      <c r="AT49" s="598"/>
      <c r="AU49" s="598"/>
      <c r="AV49" s="598"/>
      <c r="AW49" s="598"/>
      <c r="AX49" s="598"/>
      <c r="AY49" s="598"/>
      <c r="AZ49" s="598"/>
      <c r="BA49" s="598"/>
      <c r="BB49" s="599"/>
      <c r="BC49" s="600" t="s">
        <v>407</v>
      </c>
      <c r="BE49" s="129"/>
      <c r="BF49" s="129" t="str">
        <f t="shared" si="40"/>
        <v/>
      </c>
      <c r="BG49" s="129"/>
      <c r="BH49" s="129"/>
      <c r="BI49" s="57">
        <v>0</v>
      </c>
    </row>
    <row r="50" s="57" customFormat="1" ht="0" customHeight="1">
      <c r="A50" s="133" t="s">
        <v>281</v>
      </c>
      <c r="B50" s="133" t="s">
        <v>282</v>
      </c>
      <c r="C50" s="133" t="s">
        <v>283</v>
      </c>
      <c r="D50" s="133" t="s">
        <v>533</v>
      </c>
      <c r="E50" s="500"/>
      <c r="F50" s="500"/>
      <c r="G50" s="500"/>
      <c r="H50" s="500"/>
      <c r="I50" s="507" t="str">
        <f>S49&amp;".1"</f>
        <v>.1</v>
      </c>
      <c r="J50" s="133"/>
      <c r="K50" s="133"/>
      <c r="L50" s="212" t="s">
        <v>408</v>
      </c>
      <c r="M50" s="605"/>
      <c r="N50" s="605"/>
      <c r="O50" s="605"/>
      <c r="P50" s="132">
        <v>1</v>
      </c>
      <c r="Q50" s="132"/>
      <c r="R50" s="508"/>
      <c r="S50" s="362"/>
      <c r="T50" s="595"/>
      <c r="U50" s="596"/>
      <c r="V50" s="598"/>
      <c r="W50" s="598"/>
      <c r="X50" s="598"/>
      <c r="Y50" s="598"/>
      <c r="Z50" s="598"/>
      <c r="AA50" s="598"/>
      <c r="AB50" s="598"/>
      <c r="AC50" s="599"/>
      <c r="AD50" s="597"/>
      <c r="AE50" s="598"/>
      <c r="AF50" s="598"/>
      <c r="AG50" s="598"/>
      <c r="AH50" s="598"/>
      <c r="AI50" s="598"/>
      <c r="AJ50" s="598"/>
      <c r="AK50" s="598"/>
      <c r="AL50" s="598"/>
      <c r="AM50" s="598"/>
      <c r="AN50" s="598"/>
      <c r="AO50" s="598"/>
      <c r="AP50" s="598"/>
      <c r="AQ50" s="598"/>
      <c r="AR50" s="598"/>
      <c r="AS50" s="598"/>
      <c r="AT50" s="598"/>
      <c r="AU50" s="598"/>
      <c r="AV50" s="598"/>
      <c r="AW50" s="598"/>
      <c r="AX50" s="598"/>
      <c r="AY50" s="598"/>
      <c r="AZ50" s="598"/>
      <c r="BA50" s="598"/>
      <c r="BB50" s="599"/>
      <c r="BC50" s="600"/>
      <c r="BE50" s="129"/>
      <c r="BF50" s="129" t="str">
        <f t="shared" si="40"/>
        <v/>
      </c>
      <c r="BG50" s="129"/>
      <c r="BH50" s="129"/>
      <c r="BI50" s="57">
        <v>0</v>
      </c>
    </row>
    <row r="51" s="57" customFormat="1" ht="0" customHeight="1">
      <c r="A51" s="133" t="s">
        <v>281</v>
      </c>
      <c r="B51" s="133" t="s">
        <v>282</v>
      </c>
      <c r="C51" s="133" t="s">
        <v>283</v>
      </c>
      <c r="D51" s="133" t="s">
        <v>533</v>
      </c>
      <c r="E51" s="500"/>
      <c r="F51" s="500"/>
      <c r="G51" s="500"/>
      <c r="H51" s="500"/>
      <c r="I51" s="512"/>
      <c r="J51" s="507" t="str">
        <f>S49&amp;".1"</f>
        <v>.1</v>
      </c>
      <c r="K51" s="133"/>
      <c r="L51" s="212"/>
      <c r="M51" s="605"/>
      <c r="N51" s="605"/>
      <c r="O51" s="605"/>
      <c r="P51" s="132"/>
      <c r="Q51" s="132">
        <v>1</v>
      </c>
      <c r="R51" s="513"/>
      <c r="S51" s="362"/>
      <c r="T51" s="639"/>
      <c r="U51" s="596"/>
      <c r="V51" s="598"/>
      <c r="W51" s="598"/>
      <c r="X51" s="598"/>
      <c r="Y51" s="598"/>
      <c r="Z51" s="598"/>
      <c r="AA51" s="598"/>
      <c r="AB51" s="598"/>
      <c r="AC51" s="599"/>
      <c r="AD51" s="597"/>
      <c r="AE51" s="598"/>
      <c r="AF51" s="598"/>
      <c r="AG51" s="598"/>
      <c r="AH51" s="598"/>
      <c r="AI51" s="598"/>
      <c r="AJ51" s="598"/>
      <c r="AK51" s="598"/>
      <c r="AL51" s="598"/>
      <c r="AM51" s="598"/>
      <c r="AN51" s="713"/>
      <c r="AO51" s="713"/>
      <c r="AP51" s="598"/>
      <c r="AQ51" s="598"/>
      <c r="AR51" s="598"/>
      <c r="AS51" s="598"/>
      <c r="AT51" s="598"/>
      <c r="AU51" s="598"/>
      <c r="AV51" s="598"/>
      <c r="AW51" s="598"/>
      <c r="AX51" s="598"/>
      <c r="AY51" s="598"/>
      <c r="AZ51" s="598"/>
      <c r="BA51" s="598"/>
      <c r="BB51" s="599"/>
      <c r="BC51" s="600"/>
      <c r="BE51" s="129"/>
      <c r="BF51" s="129" t="str">
        <f t="shared" si="40"/>
        <v/>
      </c>
      <c r="BG51" s="129"/>
      <c r="BH51" s="129"/>
      <c r="BI51" s="57">
        <v>0</v>
      </c>
    </row>
    <row r="52" ht="11.5" customHeight="1">
      <c r="A52" s="488" t="s">
        <v>281</v>
      </c>
      <c r="B52" s="488" t="s">
        <v>282</v>
      </c>
      <c r="C52" s="488" t="s">
        <v>283</v>
      </c>
      <c r="D52" s="488" t="s">
        <v>533</v>
      </c>
      <c r="E52" s="500"/>
      <c r="F52" s="500"/>
      <c r="G52" s="500"/>
      <c r="H52" s="500"/>
      <c r="I52" s="512"/>
      <c r="J52" s="512"/>
      <c r="K52" s="507" t="str">
        <f>S48&amp;".1"</f>
        <v>...1</v>
      </c>
      <c r="L52" s="490"/>
      <c r="P52" s="132"/>
      <c r="Q52" s="132"/>
      <c r="R52" s="513">
        <v>1</v>
      </c>
      <c r="S52" s="607" t="str">
        <f>$K52</f>
        <v>...1</v>
      </c>
      <c r="T52" s="698"/>
      <c r="U52" s="495"/>
      <c r="V52" s="516"/>
      <c r="W52" s="518"/>
      <c r="X52" s="516"/>
      <c r="Y52" s="518"/>
      <c r="Z52" s="519"/>
      <c r="AA52" s="224" t="s">
        <v>67</v>
      </c>
      <c r="AB52" s="519"/>
      <c r="AC52" s="224" t="s">
        <v>67</v>
      </c>
      <c r="AD52" s="292" t="s">
        <v>67</v>
      </c>
      <c r="AE52" s="642"/>
      <c r="AF52" s="356">
        <v>1</v>
      </c>
      <c r="AG52" s="699"/>
      <c r="AH52" s="224" t="s">
        <v>67</v>
      </c>
      <c r="AI52" s="642"/>
      <c r="AJ52" s="356">
        <v>1</v>
      </c>
      <c r="AK52" s="87" t="s">
        <v>28</v>
      </c>
      <c r="AL52" s="224" t="s">
        <v>67</v>
      </c>
      <c r="AM52" s="317"/>
      <c r="AN52" s="356">
        <v>1</v>
      </c>
      <c r="AO52" s="707"/>
      <c r="AP52" s="708" t="s">
        <v>67</v>
      </c>
      <c r="AQ52" s="643"/>
      <c r="AR52" s="356">
        <v>1</v>
      </c>
      <c r="AS52" s="95" t="s">
        <v>28</v>
      </c>
      <c r="AT52" s="516"/>
      <c r="AU52" s="518"/>
      <c r="AV52" s="516"/>
      <c r="AW52" s="518"/>
      <c r="AX52" s="519"/>
      <c r="AY52" s="224" t="s">
        <v>67</v>
      </c>
      <c r="AZ52" s="519"/>
      <c r="BA52" s="224" t="s">
        <v>67</v>
      </c>
      <c r="BB52" s="580"/>
      <c r="BC52" s="520" t="s">
        <v>505</v>
      </c>
      <c r="BE52" s="129"/>
      <c r="BF52" s="129" t="str">
        <f t="shared" si="40"/>
        <v/>
      </c>
      <c r="BG52" s="129"/>
      <c r="BH52" s="129"/>
      <c r="BI52" s="50">
        <v>11</v>
      </c>
    </row>
    <row r="53" ht="11.5" customHeight="1">
      <c r="A53" s="488"/>
      <c r="B53" s="488"/>
      <c r="C53" s="488"/>
      <c r="D53" s="488"/>
      <c r="E53" s="500"/>
      <c r="F53" s="500"/>
      <c r="G53" s="500"/>
      <c r="H53" s="500"/>
      <c r="I53" s="512"/>
      <c r="J53" s="512"/>
      <c r="K53" s="507"/>
      <c r="L53" s="490"/>
      <c r="P53" s="132"/>
      <c r="Q53" s="132"/>
      <c r="R53" s="513"/>
      <c r="S53" s="644"/>
      <c r="T53" s="709"/>
      <c r="U53" s="495"/>
      <c r="V53" s="631"/>
      <c r="W53" s="648"/>
      <c r="X53" s="631"/>
      <c r="Y53" s="648"/>
      <c r="Z53" s="631"/>
      <c r="AA53" s="631"/>
      <c r="AB53" s="631"/>
      <c r="AC53" s="631"/>
      <c r="AD53" s="296"/>
      <c r="AE53" s="642"/>
      <c r="AF53" s="356"/>
      <c r="AG53" s="699"/>
      <c r="AH53" s="224"/>
      <c r="AI53" s="642"/>
      <c r="AJ53" s="356"/>
      <c r="AK53" s="87"/>
      <c r="AL53" s="224"/>
      <c r="AM53" s="323"/>
      <c r="AN53" s="356"/>
      <c r="AO53" s="707"/>
      <c r="AP53" s="710"/>
      <c r="AQ53" s="647"/>
      <c r="AR53" s="177"/>
      <c r="AS53" s="177" t="s">
        <v>506</v>
      </c>
      <c r="AT53" s="631"/>
      <c r="AU53" s="648"/>
      <c r="AV53" s="631"/>
      <c r="AW53" s="648"/>
      <c r="AX53" s="631"/>
      <c r="AY53" s="631"/>
      <c r="AZ53" s="631"/>
      <c r="BA53" s="631"/>
      <c r="BB53" s="646"/>
      <c r="BC53" s="523"/>
      <c r="BE53" s="129"/>
      <c r="BF53" s="129"/>
      <c r="BG53" s="129"/>
      <c r="BH53" s="129"/>
      <c r="BI53" s="50">
        <v>11</v>
      </c>
    </row>
    <row r="54" ht="11.5" customHeight="1">
      <c r="A54" s="488" t="s">
        <v>281</v>
      </c>
      <c r="B54" s="488"/>
      <c r="C54" s="488"/>
      <c r="D54" s="488"/>
      <c r="E54" s="500"/>
      <c r="F54" s="500"/>
      <c r="G54" s="500"/>
      <c r="H54" s="500"/>
      <c r="I54" s="512"/>
      <c r="J54" s="512"/>
      <c r="K54" s="507"/>
      <c r="L54" s="490"/>
      <c r="P54" s="132"/>
      <c r="Q54" s="132"/>
      <c r="R54" s="513"/>
      <c r="S54" s="644"/>
      <c r="T54" s="709"/>
      <c r="U54" s="495"/>
      <c r="V54" s="631"/>
      <c r="W54" s="648"/>
      <c r="X54" s="631"/>
      <c r="Y54" s="648"/>
      <c r="Z54" s="631"/>
      <c r="AA54" s="631"/>
      <c r="AB54" s="631"/>
      <c r="AC54" s="631"/>
      <c r="AD54" s="296"/>
      <c r="AE54" s="642"/>
      <c r="AF54" s="356"/>
      <c r="AG54" s="699"/>
      <c r="AH54" s="224"/>
      <c r="AI54" s="642"/>
      <c r="AJ54" s="356"/>
      <c r="AK54" s="87"/>
      <c r="AL54" s="224"/>
      <c r="AM54" s="647"/>
      <c r="AN54" s="711"/>
      <c r="AO54" s="711" t="s">
        <v>526</v>
      </c>
      <c r="AP54" s="177"/>
      <c r="AQ54" s="177"/>
      <c r="AR54" s="177"/>
      <c r="AS54" s="631"/>
      <c r="AT54" s="631"/>
      <c r="AU54" s="648"/>
      <c r="AV54" s="631"/>
      <c r="AW54" s="648"/>
      <c r="AX54" s="631"/>
      <c r="AY54" s="631"/>
      <c r="AZ54" s="631"/>
      <c r="BA54" s="631"/>
      <c r="BB54" s="646"/>
      <c r="BC54" s="523"/>
      <c r="BE54" s="129"/>
      <c r="BF54" s="129"/>
      <c r="BG54" s="129"/>
      <c r="BH54" s="129"/>
      <c r="BI54" s="50">
        <v>11</v>
      </c>
    </row>
    <row r="55" ht="11.5" customHeight="1">
      <c r="A55" s="488" t="s">
        <v>281</v>
      </c>
      <c r="B55" s="488"/>
      <c r="C55" s="488"/>
      <c r="D55" s="488"/>
      <c r="E55" s="500"/>
      <c r="F55" s="500"/>
      <c r="G55" s="500"/>
      <c r="H55" s="500"/>
      <c r="I55" s="512"/>
      <c r="J55" s="512"/>
      <c r="K55" s="507"/>
      <c r="L55" s="490"/>
      <c r="P55" s="132"/>
      <c r="Q55" s="132"/>
      <c r="R55" s="513"/>
      <c r="S55" s="644"/>
      <c r="T55" s="709"/>
      <c r="U55" s="495"/>
      <c r="V55" s="631"/>
      <c r="W55" s="648"/>
      <c r="X55" s="631"/>
      <c r="Y55" s="648"/>
      <c r="Z55" s="631"/>
      <c r="AA55" s="631"/>
      <c r="AB55" s="631"/>
      <c r="AC55" s="631"/>
      <c r="AD55" s="296"/>
      <c r="AE55" s="642"/>
      <c r="AF55" s="356"/>
      <c r="AG55" s="699"/>
      <c r="AH55" s="224"/>
      <c r="AI55" s="650"/>
      <c r="AJ55" s="172"/>
      <c r="AK55" s="450" t="s">
        <v>527</v>
      </c>
      <c r="AL55" s="631"/>
      <c r="AM55" s="631"/>
      <c r="AN55" s="631"/>
      <c r="AO55" s="631"/>
      <c r="AP55" s="631"/>
      <c r="AQ55" s="631"/>
      <c r="AR55" s="631"/>
      <c r="AS55" s="631"/>
      <c r="AT55" s="631"/>
      <c r="AU55" s="648"/>
      <c r="AV55" s="631"/>
      <c r="AW55" s="648"/>
      <c r="AX55" s="631"/>
      <c r="AY55" s="631"/>
      <c r="AZ55" s="631"/>
      <c r="BA55" s="631"/>
      <c r="BB55" s="646"/>
      <c r="BC55" s="523"/>
      <c r="BE55" s="129"/>
      <c r="BF55" s="129"/>
      <c r="BG55" s="129"/>
      <c r="BH55" s="129"/>
      <c r="BI55" s="50">
        <v>11</v>
      </c>
    </row>
    <row r="56" ht="11.5" customHeight="1">
      <c r="A56" s="488" t="s">
        <v>281</v>
      </c>
      <c r="B56" s="488" t="s">
        <v>282</v>
      </c>
      <c r="C56" s="488" t="s">
        <v>283</v>
      </c>
      <c r="D56" s="488" t="s">
        <v>533</v>
      </c>
      <c r="E56" s="500"/>
      <c r="F56" s="500"/>
      <c r="G56" s="500"/>
      <c r="H56" s="500"/>
      <c r="I56" s="512"/>
      <c r="J56" s="512"/>
      <c r="K56" s="507"/>
      <c r="L56" s="490"/>
      <c r="P56" s="132"/>
      <c r="Q56" s="132"/>
      <c r="R56" s="513"/>
      <c r="S56" s="617"/>
      <c r="T56" s="712"/>
      <c r="U56" s="495"/>
      <c r="V56" s="631"/>
      <c r="W56" s="632" t="str">
        <f>Z52&amp;"-"&amp;AB52</f>
        <v>-</v>
      </c>
      <c r="X56" s="631"/>
      <c r="Y56" s="632" t="str">
        <f>AB52&amp;"-"&amp;AD52</f>
        <v>-да</v>
      </c>
      <c r="Z56" s="631"/>
      <c r="AA56" s="631"/>
      <c r="AB56" s="631"/>
      <c r="AC56" s="631"/>
      <c r="AD56" s="220"/>
      <c r="AE56" s="653"/>
      <c r="AF56" s="654"/>
      <c r="AG56" s="177" t="s">
        <v>509</v>
      </c>
      <c r="AH56" s="631"/>
      <c r="AI56" s="631"/>
      <c r="AJ56" s="631"/>
      <c r="AK56" s="631"/>
      <c r="AL56" s="631"/>
      <c r="AM56" s="631"/>
      <c r="AN56" s="631"/>
      <c r="AO56" s="631"/>
      <c r="AP56" s="631"/>
      <c r="AQ56" s="631"/>
      <c r="AR56" s="631"/>
      <c r="AS56" s="631"/>
      <c r="AT56" s="631"/>
      <c r="AU56" s="632" t="str">
        <f>AX52&amp;"-"&amp;AZ52</f>
        <v>-</v>
      </c>
      <c r="AV56" s="631"/>
      <c r="AW56" s="632" t="str">
        <f>AZ52&amp;"-"&amp;BB52</f>
        <v>-</v>
      </c>
      <c r="AX56" s="631"/>
      <c r="AY56" s="631"/>
      <c r="AZ56" s="631"/>
      <c r="BA56" s="631"/>
      <c r="BB56" s="652" t="str">
        <f>BE52&amp;"-"&amp;BG52</f>
        <v>-</v>
      </c>
      <c r="BC56" s="523"/>
      <c r="BE56" s="129"/>
      <c r="BF56" s="129" t="str">
        <f t="shared" si="40"/>
        <v/>
      </c>
      <c r="BG56" s="129"/>
      <c r="BH56" s="129"/>
      <c r="BI56" s="50">
        <v>11</v>
      </c>
    </row>
    <row r="57" ht="11.5" customHeight="1">
      <c r="A57" s="488" t="s">
        <v>281</v>
      </c>
      <c r="B57" s="488" t="s">
        <v>282</v>
      </c>
      <c r="C57" s="488" t="s">
        <v>283</v>
      </c>
      <c r="D57" s="488" t="s">
        <v>533</v>
      </c>
      <c r="E57" s="500"/>
      <c r="F57" s="500"/>
      <c r="G57" s="500"/>
      <c r="H57" s="500"/>
      <c r="I57" s="512"/>
      <c r="J57" s="507"/>
      <c r="K57" s="488"/>
      <c r="L57" s="490"/>
      <c r="P57" s="132"/>
      <c r="Q57" s="132"/>
      <c r="R57" s="508"/>
      <c r="S57" s="524"/>
      <c r="T57" s="528" t="s">
        <v>469</v>
      </c>
      <c r="U57" s="214"/>
      <c r="V57" s="214"/>
      <c r="W57" s="214"/>
      <c r="X57" s="214"/>
      <c r="Y57" s="214"/>
      <c r="Z57" s="214"/>
      <c r="AA57" s="214"/>
      <c r="AB57" s="214"/>
      <c r="AC57" s="526"/>
      <c r="AD57" s="683"/>
      <c r="AE57" s="214"/>
      <c r="AF57" s="214"/>
      <c r="AG57" s="214"/>
      <c r="AH57" s="214"/>
      <c r="AI57" s="214"/>
      <c r="AJ57" s="214"/>
      <c r="AK57" s="214"/>
      <c r="AL57" s="214"/>
      <c r="AM57" s="214"/>
      <c r="AN57" s="214"/>
      <c r="AO57" s="214"/>
      <c r="AP57" s="214"/>
      <c r="AQ57" s="214"/>
      <c r="AR57" s="214"/>
      <c r="AS57" s="214"/>
      <c r="AT57" s="214"/>
      <c r="AU57" s="214"/>
      <c r="AV57" s="214"/>
      <c r="AW57" s="214"/>
      <c r="AX57" s="214"/>
      <c r="AY57" s="214"/>
      <c r="AZ57" s="214"/>
      <c r="BA57" s="214"/>
      <c r="BB57" s="526"/>
      <c r="BC57" s="527"/>
      <c r="BE57" s="129"/>
      <c r="BF57" s="129" t="str">
        <f t="shared" si="40"/>
        <v xml:space="preserve">Добавить строку</v>
      </c>
      <c r="BG57" s="129"/>
      <c r="BH57" s="129"/>
      <c r="BI57" s="50">
        <v>11</v>
      </c>
    </row>
    <row r="58" s="57" customFormat="1" ht="0" customHeight="1">
      <c r="A58" s="133" t="s">
        <v>281</v>
      </c>
      <c r="B58" s="133" t="s">
        <v>282</v>
      </c>
      <c r="C58" s="133" t="s">
        <v>283</v>
      </c>
      <c r="D58" s="133" t="s">
        <v>533</v>
      </c>
      <c r="E58" s="500"/>
      <c r="F58" s="500"/>
      <c r="G58" s="500"/>
      <c r="H58" s="500"/>
      <c r="I58" s="507"/>
      <c r="J58" s="133"/>
      <c r="K58" s="133"/>
      <c r="L58" s="212"/>
      <c r="M58" s="605"/>
      <c r="N58" s="605"/>
      <c r="O58" s="605"/>
      <c r="P58" s="132"/>
      <c r="Q58" s="132"/>
      <c r="R58" s="508"/>
      <c r="S58" s="601"/>
      <c r="T58" s="602"/>
      <c r="U58" s="603"/>
      <c r="V58" s="603"/>
      <c r="W58" s="603"/>
      <c r="X58" s="603"/>
      <c r="Y58" s="603"/>
      <c r="Z58" s="603"/>
      <c r="AA58" s="603"/>
      <c r="AB58" s="603"/>
      <c r="AC58" s="603"/>
      <c r="AD58" s="603"/>
      <c r="AE58" s="603"/>
      <c r="AF58" s="603"/>
      <c r="AG58" s="603"/>
      <c r="AH58" s="603"/>
      <c r="AI58" s="603"/>
      <c r="AJ58" s="603"/>
      <c r="AK58" s="603"/>
      <c r="AL58" s="603"/>
      <c r="AM58" s="603"/>
      <c r="AN58" s="603"/>
      <c r="AO58" s="603"/>
      <c r="AP58" s="603"/>
      <c r="AQ58" s="603"/>
      <c r="AR58" s="603"/>
      <c r="AS58" s="603"/>
      <c r="AT58" s="603"/>
      <c r="AU58" s="603"/>
      <c r="AV58" s="603"/>
      <c r="AW58" s="603"/>
      <c r="AX58" s="603"/>
      <c r="AY58" s="603"/>
      <c r="AZ58" s="603"/>
      <c r="BA58" s="603"/>
      <c r="BB58" s="603"/>
      <c r="BC58" s="604"/>
      <c r="BE58" s="129"/>
      <c r="BF58" s="129" t="str">
        <f t="shared" si="40"/>
        <v/>
      </c>
      <c r="BG58" s="129"/>
      <c r="BH58" s="129"/>
      <c r="BI58" s="57">
        <v>0</v>
      </c>
    </row>
    <row r="59" s="57" customFormat="1" ht="0" customHeight="1">
      <c r="A59" s="133" t="s">
        <v>281</v>
      </c>
      <c r="B59" s="133" t="s">
        <v>282</v>
      </c>
      <c r="C59" s="133" t="s">
        <v>283</v>
      </c>
      <c r="D59" s="133" t="s">
        <v>533</v>
      </c>
      <c r="E59" s="500"/>
      <c r="F59" s="500"/>
      <c r="G59" s="500"/>
      <c r="H59" s="489"/>
      <c r="I59" s="133"/>
      <c r="J59" s="133"/>
      <c r="K59" s="133"/>
      <c r="L59" s="212"/>
      <c r="M59" s="473"/>
      <c r="N59" s="473"/>
      <c r="O59" s="57"/>
      <c r="P59" s="167"/>
      <c r="Q59" s="533"/>
      <c r="R59" s="655"/>
      <c r="S59" s="601"/>
      <c r="T59" s="602"/>
      <c r="U59" s="603"/>
      <c r="V59" s="603"/>
      <c r="W59" s="603"/>
      <c r="X59" s="603"/>
      <c r="Y59" s="603"/>
      <c r="Z59" s="603"/>
      <c r="AA59" s="603"/>
      <c r="AB59" s="603"/>
      <c r="AC59" s="603"/>
      <c r="AD59" s="603"/>
      <c r="AE59" s="603"/>
      <c r="AF59" s="603"/>
      <c r="AG59" s="603"/>
      <c r="AH59" s="603"/>
      <c r="AI59" s="603"/>
      <c r="AJ59" s="603"/>
      <c r="AK59" s="603"/>
      <c r="AL59" s="603"/>
      <c r="AM59" s="603"/>
      <c r="AN59" s="603"/>
      <c r="AO59" s="603"/>
      <c r="AP59" s="603"/>
      <c r="AQ59" s="603"/>
      <c r="AR59" s="603"/>
      <c r="AS59" s="603"/>
      <c r="AT59" s="603"/>
      <c r="AU59" s="603"/>
      <c r="AV59" s="603"/>
      <c r="AW59" s="603"/>
      <c r="AX59" s="603"/>
      <c r="AY59" s="603"/>
      <c r="AZ59" s="603"/>
      <c r="BA59" s="603"/>
      <c r="BB59" s="603"/>
      <c r="BC59" s="604"/>
      <c r="BE59" s="129"/>
      <c r="BF59" s="129" t="str">
        <f t="shared" si="40"/>
        <v/>
      </c>
      <c r="BG59" s="129"/>
      <c r="BH59" s="129"/>
      <c r="BI59" s="57">
        <v>0</v>
      </c>
    </row>
    <row r="60" s="57" customFormat="1" ht="0" customHeight="1">
      <c r="A60" s="133" t="s">
        <v>281</v>
      </c>
      <c r="B60" s="133" t="s">
        <v>282</v>
      </c>
      <c r="C60" s="133" t="s">
        <v>283</v>
      </c>
      <c r="D60" s="133"/>
      <c r="E60" s="500"/>
      <c r="F60" s="500"/>
      <c r="G60" s="489"/>
      <c r="H60" s="133"/>
      <c r="I60" s="133"/>
      <c r="J60" s="133"/>
      <c r="K60" s="133"/>
      <c r="L60" s="212"/>
      <c r="M60" s="473"/>
      <c r="N60" s="473"/>
      <c r="P60" s="167"/>
      <c r="Q60" s="533"/>
      <c r="R60" s="167"/>
      <c r="S60" s="538"/>
      <c r="T60" s="541"/>
      <c r="U60" s="540"/>
      <c r="V60" s="540"/>
      <c r="W60" s="540"/>
      <c r="X60" s="540"/>
      <c r="Y60" s="540"/>
      <c r="Z60" s="540"/>
      <c r="AA60" s="540"/>
      <c r="AB60" s="540"/>
      <c r="AC60" s="540"/>
      <c r="AD60" s="540"/>
      <c r="AE60" s="540"/>
      <c r="AF60" s="540"/>
      <c r="AG60" s="540"/>
      <c r="AH60" s="540"/>
      <c r="AI60" s="540"/>
      <c r="AJ60" s="540"/>
      <c r="AK60" s="540"/>
      <c r="AL60" s="540"/>
      <c r="AM60" s="540"/>
      <c r="AN60" s="540"/>
      <c r="AO60" s="540"/>
      <c r="AP60" s="540"/>
      <c r="AQ60" s="540"/>
      <c r="AR60" s="540"/>
      <c r="AS60" s="540"/>
      <c r="AT60" s="540"/>
      <c r="AU60" s="540"/>
      <c r="AV60" s="540"/>
      <c r="AW60" s="540"/>
      <c r="AX60" s="540"/>
      <c r="AY60" s="540"/>
      <c r="AZ60" s="540"/>
      <c r="BA60" s="540"/>
      <c r="BB60" s="540"/>
      <c r="BC60" s="540"/>
      <c r="BE60" s="129"/>
      <c r="BF60" s="129" t="str">
        <f t="shared" si="40"/>
        <v/>
      </c>
      <c r="BG60" s="129"/>
      <c r="BH60" s="129"/>
      <c r="BI60" s="57">
        <v>0</v>
      </c>
    </row>
    <row r="61" s="57" customFormat="1" ht="0" customHeight="1">
      <c r="A61" s="133" t="s">
        <v>281</v>
      </c>
      <c r="B61" s="133" t="s">
        <v>282</v>
      </c>
      <c r="C61" s="133"/>
      <c r="D61" s="133"/>
      <c r="E61" s="500"/>
      <c r="F61" s="489"/>
      <c r="G61" s="133"/>
      <c r="H61" s="133"/>
      <c r="I61" s="133"/>
      <c r="J61" s="133"/>
      <c r="K61" s="133"/>
      <c r="L61" s="212"/>
      <c r="M61" s="537"/>
      <c r="N61" s="537"/>
      <c r="P61" s="167"/>
      <c r="Q61" s="533"/>
      <c r="R61" s="167"/>
      <c r="S61" s="538"/>
      <c r="T61" s="541" t="s">
        <v>212</v>
      </c>
      <c r="U61" s="540"/>
      <c r="V61" s="540"/>
      <c r="W61" s="540"/>
      <c r="X61" s="540"/>
      <c r="Y61" s="540"/>
      <c r="Z61" s="540"/>
      <c r="AA61" s="540"/>
      <c r="AB61" s="540"/>
      <c r="AC61" s="540"/>
      <c r="AD61" s="540"/>
      <c r="AE61" s="540"/>
      <c r="AF61" s="540"/>
      <c r="AG61" s="540"/>
      <c r="AH61" s="540"/>
      <c r="AI61" s="540"/>
      <c r="AJ61" s="540"/>
      <c r="AK61" s="540"/>
      <c r="AL61" s="540"/>
      <c r="AM61" s="540"/>
      <c r="AN61" s="540"/>
      <c r="AO61" s="540"/>
      <c r="AP61" s="540"/>
      <c r="AQ61" s="540"/>
      <c r="AR61" s="540"/>
      <c r="AS61" s="540"/>
      <c r="AT61" s="540"/>
      <c r="AU61" s="540"/>
      <c r="AV61" s="540"/>
      <c r="AW61" s="540"/>
      <c r="AX61" s="540"/>
      <c r="AY61" s="540"/>
      <c r="AZ61" s="540"/>
      <c r="BA61" s="540"/>
      <c r="BB61" s="540"/>
      <c r="BC61" s="540"/>
      <c r="BE61" s="129"/>
      <c r="BF61" s="129" t="str">
        <f t="shared" si="40"/>
        <v xml:space="preserve">Добавить централизованную систему для дифференциации</v>
      </c>
      <c r="BG61" s="129"/>
      <c r="BH61" s="129"/>
      <c r="BI61" s="57">
        <v>0</v>
      </c>
    </row>
    <row r="62" s="57" customFormat="1" ht="0" customHeight="1">
      <c r="A62" s="133" t="s">
        <v>281</v>
      </c>
      <c r="B62" s="133"/>
      <c r="C62" s="133"/>
      <c r="D62" s="133"/>
      <c r="E62" s="489"/>
      <c r="F62" s="133"/>
      <c r="G62" s="133"/>
      <c r="H62" s="133"/>
      <c r="I62" s="133"/>
      <c r="J62" s="133"/>
      <c r="K62" s="133"/>
      <c r="L62" s="212"/>
      <c r="M62" s="537"/>
      <c r="N62" s="537"/>
      <c r="O62" s="57"/>
      <c r="P62" s="167"/>
      <c r="Q62" s="533"/>
      <c r="R62" s="167"/>
      <c r="S62" s="538"/>
      <c r="T62" s="541" t="s">
        <v>213</v>
      </c>
      <c r="U62" s="540"/>
      <c r="V62" s="540"/>
      <c r="W62" s="540"/>
      <c r="X62" s="540"/>
      <c r="Y62" s="540"/>
      <c r="Z62" s="540"/>
      <c r="AA62" s="540"/>
      <c r="AB62" s="540"/>
      <c r="AC62" s="540"/>
      <c r="AD62" s="540"/>
      <c r="AE62" s="540"/>
      <c r="AF62" s="540"/>
      <c r="AG62" s="540"/>
      <c r="AH62" s="540"/>
      <c r="AI62" s="540"/>
      <c r="AJ62" s="540"/>
      <c r="AK62" s="540"/>
      <c r="AL62" s="540"/>
      <c r="AM62" s="540"/>
      <c r="AN62" s="540"/>
      <c r="AO62" s="540"/>
      <c r="AP62" s="540"/>
      <c r="AQ62" s="540"/>
      <c r="AR62" s="540"/>
      <c r="AS62" s="540"/>
      <c r="AT62" s="540"/>
      <c r="AU62" s="540"/>
      <c r="AV62" s="540"/>
      <c r="AW62" s="540"/>
      <c r="AX62" s="540"/>
      <c r="AY62" s="540"/>
      <c r="AZ62" s="540"/>
      <c r="BA62" s="540"/>
      <c r="BB62" s="540"/>
      <c r="BC62" s="540"/>
      <c r="BE62" s="129"/>
      <c r="BF62" s="129" t="str">
        <f t="shared" si="40"/>
        <v xml:space="preserve">Добавить территорию для дифференциации</v>
      </c>
      <c r="BG62" s="129"/>
      <c r="BH62" s="129"/>
      <c r="BI62" s="57">
        <v>0</v>
      </c>
    </row>
    <row r="63" s="57" customFormat="1" ht="0" customHeight="1">
      <c r="A63" s="133"/>
      <c r="B63" s="133"/>
      <c r="C63" s="133"/>
      <c r="D63" s="133"/>
      <c r="E63" s="133"/>
      <c r="F63" s="133"/>
      <c r="G63" s="133"/>
      <c r="H63" s="133"/>
      <c r="I63" s="133"/>
      <c r="J63" s="133"/>
      <c r="K63" s="133"/>
      <c r="L63" s="212"/>
      <c r="M63" s="537"/>
      <c r="N63" s="537"/>
      <c r="P63" s="167"/>
      <c r="Q63" s="533"/>
      <c r="R63" s="167"/>
      <c r="S63" s="538"/>
      <c r="T63" s="541" t="s">
        <v>214</v>
      </c>
      <c r="U63" s="540"/>
      <c r="V63" s="540"/>
      <c r="W63" s="540"/>
      <c r="X63" s="540"/>
      <c r="Y63" s="540"/>
      <c r="Z63" s="540"/>
      <c r="AA63" s="540"/>
      <c r="AB63" s="540"/>
      <c r="AC63" s="540"/>
      <c r="AD63" s="540"/>
      <c r="AE63" s="540"/>
      <c r="AF63" s="540"/>
      <c r="AG63" s="540"/>
      <c r="AH63" s="540"/>
      <c r="AI63" s="540"/>
      <c r="AJ63" s="540"/>
      <c r="AK63" s="540"/>
      <c r="AL63" s="540"/>
      <c r="AM63" s="540"/>
      <c r="AN63" s="540"/>
      <c r="AO63" s="540"/>
      <c r="AP63" s="540"/>
      <c r="AQ63" s="540"/>
      <c r="AR63" s="540"/>
      <c r="AS63" s="540"/>
      <c r="AT63" s="540"/>
      <c r="AU63" s="540"/>
      <c r="AV63" s="540"/>
      <c r="AW63" s="540"/>
      <c r="AX63" s="540"/>
      <c r="AY63" s="540"/>
      <c r="AZ63" s="540"/>
      <c r="BA63" s="540"/>
      <c r="BB63" s="540"/>
      <c r="BC63" s="540"/>
      <c r="BE63" s="129"/>
      <c r="BF63" s="129" t="str">
        <f t="shared" si="40"/>
        <v xml:space="preserve">Добавить наименование тарифа</v>
      </c>
      <c r="BG63" s="129"/>
      <c r="BH63" s="129"/>
      <c r="BI63" s="57">
        <v>0</v>
      </c>
    </row>
    <row r="64" ht="11.5" customHeight="1">
      <c r="M64" s="53"/>
      <c r="N64" s="53"/>
      <c r="O64" s="53"/>
      <c r="P64" s="53"/>
      <c r="Q64" s="53"/>
      <c r="R64" s="50"/>
      <c r="S64" s="50"/>
      <c r="BD64" s="50"/>
      <c r="BE64" s="50"/>
      <c r="BF64" s="50"/>
      <c r="BG64" s="50"/>
      <c r="BH64" s="50"/>
      <c r="BI64" s="50">
        <v>11</v>
      </c>
    </row>
    <row r="65" ht="14.65" customHeight="1">
      <c r="O65" s="53"/>
      <c r="S65" s="485"/>
      <c r="T65" s="583"/>
      <c r="U65" s="583"/>
      <c r="V65" s="583"/>
      <c r="W65" s="583"/>
      <c r="X65" s="583"/>
      <c r="Y65" s="583"/>
      <c r="Z65" s="583"/>
      <c r="AA65" s="583"/>
      <c r="AB65" s="583"/>
      <c r="AC65" s="583"/>
      <c r="AD65" s="583"/>
      <c r="AE65" s="583"/>
      <c r="AF65" s="583"/>
      <c r="AG65" s="583"/>
      <c r="AH65" s="583"/>
      <c r="AI65" s="583"/>
      <c r="AJ65" s="583"/>
      <c r="AK65" s="583"/>
      <c r="AL65" s="583"/>
      <c r="AM65" s="583"/>
      <c r="AN65" s="583"/>
      <c r="AO65" s="583"/>
      <c r="AP65" s="583"/>
      <c r="AQ65" s="583"/>
      <c r="AR65" s="583"/>
      <c r="AS65" s="583"/>
      <c r="AT65" s="583"/>
      <c r="AU65" s="583"/>
      <c r="AV65" s="583"/>
      <c r="AW65" s="583"/>
      <c r="AX65" s="583"/>
      <c r="AY65" s="583"/>
      <c r="AZ65" s="583"/>
      <c r="BA65" s="583"/>
      <c r="BB65" s="583"/>
      <c r="BC65" s="583"/>
      <c r="BI65" s="50">
        <v>14</v>
      </c>
    </row>
    <row r="66" ht="14.65" customHeight="1">
      <c r="O66" s="53"/>
      <c r="T66" s="583"/>
      <c r="U66" s="583"/>
      <c r="V66" s="583"/>
      <c r="W66" s="583"/>
      <c r="X66" s="583"/>
      <c r="Y66" s="583"/>
      <c r="Z66" s="583"/>
      <c r="AA66" s="583"/>
      <c r="AB66" s="583"/>
      <c r="AC66" s="583"/>
      <c r="AD66" s="583"/>
      <c r="AE66" s="583"/>
      <c r="AF66" s="583"/>
      <c r="AG66" s="583"/>
      <c r="AH66" s="583"/>
      <c r="AI66" s="583"/>
      <c r="AJ66" s="583"/>
      <c r="AK66" s="583"/>
      <c r="AL66" s="583"/>
      <c r="AM66" s="583"/>
      <c r="AN66" s="583"/>
      <c r="AO66" s="583"/>
      <c r="AP66" s="583"/>
      <c r="AQ66" s="583"/>
      <c r="AR66" s="583"/>
      <c r="AS66" s="583"/>
      <c r="AT66" s="583"/>
      <c r="AU66" s="583"/>
      <c r="AV66" s="583"/>
      <c r="AW66" s="583"/>
      <c r="AX66" s="583"/>
      <c r="AY66" s="583"/>
      <c r="AZ66" s="583"/>
      <c r="BA66" s="583"/>
      <c r="BB66" s="583"/>
      <c r="BC66" s="583"/>
      <c r="BI66" s="50">
        <v>14</v>
      </c>
    </row>
    <row r="67" ht="14.65" customHeight="1">
      <c r="O67" s="53"/>
      <c r="S67" s="485"/>
      <c r="T67" s="583"/>
      <c r="U67" s="583"/>
      <c r="V67" s="583"/>
      <c r="W67" s="583"/>
      <c r="X67" s="583"/>
      <c r="Y67" s="583"/>
      <c r="Z67" s="583"/>
      <c r="AA67" s="583"/>
      <c r="AB67" s="583"/>
      <c r="AC67" s="583"/>
      <c r="AD67" s="583"/>
      <c r="AE67" s="583"/>
      <c r="AF67" s="583"/>
      <c r="AG67" s="583"/>
      <c r="AH67" s="583"/>
      <c r="AI67" s="583"/>
      <c r="AJ67" s="583"/>
      <c r="AK67" s="583"/>
      <c r="AL67" s="583"/>
      <c r="AM67" s="583"/>
      <c r="AN67" s="583"/>
      <c r="AO67" s="583"/>
      <c r="AP67" s="583"/>
      <c r="AQ67" s="583"/>
      <c r="AR67" s="583"/>
      <c r="AS67" s="583"/>
      <c r="AT67" s="583"/>
      <c r="AU67" s="583"/>
      <c r="AV67" s="583"/>
      <c r="AW67" s="583"/>
      <c r="AX67" s="583"/>
      <c r="AY67" s="583"/>
      <c r="AZ67" s="583"/>
      <c r="BA67" s="583"/>
      <c r="BB67" s="583"/>
      <c r="BC67" s="583"/>
      <c r="BI67" s="50">
        <v>14</v>
      </c>
    </row>
    <row r="68" ht="14.65" customHeight="1">
      <c r="O68" s="53"/>
      <c r="BI68" s="50">
        <v>14</v>
      </c>
    </row>
    <row r="69" ht="14.25" hidden="1" customHeight="1">
      <c r="A69" s="53" t="s">
        <v>83</v>
      </c>
      <c r="B69" s="53">
        <v>0</v>
      </c>
      <c r="C69" s="53">
        <v>0</v>
      </c>
      <c r="D69" s="53">
        <v>0</v>
      </c>
      <c r="E69" s="53">
        <v>0</v>
      </c>
      <c r="F69" s="53">
        <v>0</v>
      </c>
      <c r="G69" s="53">
        <v>0</v>
      </c>
      <c r="H69" s="53">
        <v>0</v>
      </c>
      <c r="I69" s="53">
        <v>0</v>
      </c>
      <c r="J69" s="53">
        <v>0</v>
      </c>
      <c r="K69" s="53">
        <v>0</v>
      </c>
      <c r="L69" s="113">
        <v>0</v>
      </c>
      <c r="M69" s="61">
        <v>0</v>
      </c>
      <c r="N69" s="61">
        <v>0</v>
      </c>
      <c r="O69" s="61">
        <v>0</v>
      </c>
      <c r="P69" s="61">
        <v>0</v>
      </c>
      <c r="Q69" s="547">
        <v>0</v>
      </c>
      <c r="R69" s="487">
        <v>3</v>
      </c>
      <c r="S69" s="86">
        <v>12</v>
      </c>
      <c r="T69" s="50">
        <v>31</v>
      </c>
      <c r="U69" s="50">
        <v>0</v>
      </c>
      <c r="V69" s="50">
        <v>0</v>
      </c>
      <c r="W69" s="50">
        <v>0</v>
      </c>
      <c r="X69" s="50">
        <v>0</v>
      </c>
      <c r="Y69" s="50">
        <v>0</v>
      </c>
      <c r="Z69" s="50">
        <v>0</v>
      </c>
      <c r="AA69" s="50">
        <v>0</v>
      </c>
      <c r="AB69" s="50">
        <v>0</v>
      </c>
      <c r="AC69" s="50">
        <v>0</v>
      </c>
      <c r="AD69" s="50">
        <v>3</v>
      </c>
      <c r="AE69" s="50">
        <v>3</v>
      </c>
      <c r="AF69" s="50">
        <v>3</v>
      </c>
      <c r="AG69" s="50">
        <v>24</v>
      </c>
      <c r="AH69" s="50">
        <v>3</v>
      </c>
      <c r="AI69" s="50">
        <v>3</v>
      </c>
      <c r="AJ69" s="50">
        <v>3</v>
      </c>
      <c r="AK69" s="50">
        <v>24</v>
      </c>
      <c r="AL69" s="50">
        <v>3</v>
      </c>
      <c r="AM69" s="50">
        <v>3</v>
      </c>
      <c r="AN69" s="50">
        <v>3</v>
      </c>
      <c r="AO69" s="50">
        <v>18</v>
      </c>
      <c r="AP69" s="50">
        <v>3</v>
      </c>
      <c r="AQ69" s="50">
        <v>3</v>
      </c>
      <c r="AR69" s="50">
        <v>3</v>
      </c>
      <c r="AS69" s="50">
        <v>18</v>
      </c>
      <c r="AT69" s="50">
        <v>21</v>
      </c>
      <c r="AU69" s="50">
        <v>21</v>
      </c>
      <c r="AV69" s="50">
        <v>21</v>
      </c>
      <c r="AW69" s="50">
        <v>21</v>
      </c>
      <c r="AX69" s="50">
        <v>11</v>
      </c>
      <c r="AY69" s="50">
        <v>3</v>
      </c>
      <c r="AZ69" s="50">
        <v>11</v>
      </c>
      <c r="BA69" s="50">
        <v>0</v>
      </c>
      <c r="BB69" s="50">
        <v>4</v>
      </c>
      <c r="BC69" s="50">
        <v>115</v>
      </c>
      <c r="BD69" s="57">
        <v>10</v>
      </c>
      <c r="BE69" s="57">
        <v>10</v>
      </c>
      <c r="BF69" s="57">
        <v>10</v>
      </c>
      <c r="BG69" s="57">
        <v>10</v>
      </c>
      <c r="BH69" s="57">
        <v>10</v>
      </c>
      <c r="BI69" s="50">
        <v>23</v>
      </c>
    </row>
  </sheetData>
  <sheetProtection autoFilter="0" deleteColumns="1" deleteRows="1" formatCells="1" formatColumns="0" formatRows="0" insertColumns="1" insertHyperlinks="1" insertRows="1" objects="0" pivotTables="1" scenarios="0" selectLockedCells="0" selectUnlockedCells="0" sheet="1" sort="1"/>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D8:AD12"/>
    <mergeCell ref="AE8:AE11"/>
    <mergeCell ref="AF8:AF11"/>
    <mergeCell ref="AG8:AG11"/>
    <mergeCell ref="AH8:AH11"/>
    <mergeCell ref="AI8:AI10"/>
    <mergeCell ref="AJ8:AJ10"/>
    <mergeCell ref="AK8:AK10"/>
    <mergeCell ref="AL8:AL10"/>
    <mergeCell ref="AM8:AM9"/>
    <mergeCell ref="AN8:AN9"/>
    <mergeCell ref="AO8:AO9"/>
    <mergeCell ref="AP8:AP9"/>
    <mergeCell ref="BC8:BC13"/>
    <mergeCell ref="S28:AZ28"/>
    <mergeCell ref="S29:AZ29"/>
    <mergeCell ref="S31:T31"/>
    <mergeCell ref="V31:AB31"/>
    <mergeCell ref="AD31:AZ31"/>
    <mergeCell ref="S32:T32"/>
    <mergeCell ref="V32:AB32"/>
    <mergeCell ref="AD32:AZ32"/>
    <mergeCell ref="S33:T33"/>
    <mergeCell ref="V33:AB33"/>
    <mergeCell ref="AD33:AZ33"/>
    <mergeCell ref="S34:T34"/>
    <mergeCell ref="V34:AB34"/>
    <mergeCell ref="AD34:AZ34"/>
    <mergeCell ref="S36:T36"/>
    <mergeCell ref="V36:AB36"/>
    <mergeCell ref="AD36:AZ36"/>
    <mergeCell ref="S37:T37"/>
    <mergeCell ref="V37:AB37"/>
    <mergeCell ref="AD37:AZ37"/>
    <mergeCell ref="V39:AC39"/>
    <mergeCell ref="AD39:BA39"/>
    <mergeCell ref="S40:BB40"/>
    <mergeCell ref="BC40:BC44"/>
    <mergeCell ref="S41:S44"/>
    <mergeCell ref="T41:T44"/>
    <mergeCell ref="V41:AB41"/>
    <mergeCell ref="AC41:AC44"/>
    <mergeCell ref="AD41:AG44"/>
    <mergeCell ref="AH41:AK44"/>
    <mergeCell ref="AL41:AO44"/>
    <mergeCell ref="AP41:AS44"/>
    <mergeCell ref="AT41:AZ41"/>
    <mergeCell ref="BA41:BA44"/>
    <mergeCell ref="BB41:BB44"/>
    <mergeCell ref="V42:W43"/>
    <mergeCell ref="X42:Y43"/>
    <mergeCell ref="Z42:AB43"/>
    <mergeCell ref="AT42:AU43"/>
    <mergeCell ref="AV42:AW43"/>
    <mergeCell ref="AX42:AZ43"/>
    <mergeCell ref="AA44:AB44"/>
    <mergeCell ref="AY44:AZ44"/>
    <mergeCell ref="AA45:AB45"/>
    <mergeCell ref="AY45:AZ45"/>
    <mergeCell ref="E46:E62"/>
    <mergeCell ref="V46:AC46"/>
    <mergeCell ref="AD46:BB46"/>
    <mergeCell ref="F47:F61"/>
    <mergeCell ref="V47:AC47"/>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F52:AF55"/>
    <mergeCell ref="AG52:AG55"/>
    <mergeCell ref="AH52:AH55"/>
    <mergeCell ref="AI52:AI54"/>
    <mergeCell ref="AJ52:AJ54"/>
    <mergeCell ref="AK52:AK54"/>
    <mergeCell ref="AL52:AL54"/>
    <mergeCell ref="AM52:AM53"/>
    <mergeCell ref="AN52:AN53"/>
    <mergeCell ref="AO52:AO53"/>
    <mergeCell ref="AP52:AP53"/>
    <mergeCell ref="BC52:BC57"/>
    <mergeCell ref="T65:BC65"/>
    <mergeCell ref="T67:BC67"/>
  </mergeCells>
  <dataValidations count="4" disablePrompts="0">
    <dataValidation sqref="S65591:BC65597 S983095:BC983101 S917559:BC917565 S852023:BC852029 S786487:BC786493 S720951:BC720957 S655415:BC655421 S589879:BC589885 S524343:BC524349 S458807:BC458813 S393271:BC393277 S327735:BC327741 S262199:BC262205 S196663:BC196669 S131127:BC131133" type="none" allowBlank="1" errorStyle="stop" imeMode="noControl" operator="between" showDropDown="0" showErrorMessage="0" showInputMessage="0"/>
    <dataValidation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type="none" allowBlank="1" errorStyle="stop" imeMode="noControl" operator="between" promptTitle="checkPeriodRange" showDropDown="0" showErrorMessage="0" showInputMessage="0"/>
    <dataValidation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5" disablePrompts="0">
        <x14:dataValidation xr:uid="{00A7002F-00EB-48C9-B89E-003A004B0055}"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V983092:BB983092 V917556:BB917556 V852020:BB852020 V786484:BB786484 V720948:BB720948 V655412:BB655412 V589876:BB589876 V524340:BB524340 V458804:BB458804 V393268:BB393268 V327732:BB327732 V262196:BB262196 V196660:BB196660 V131124:BB131124 V65588:BB65588</xm:sqref>
        </x14:dataValidation>
        <x14:dataValidation xr:uid="{0002007E-006A-499C-A7E8-00AA0037002F}" type="decimal" allowBlank="1" error="Допускается ввод только действительных чисел!" errorStyle="stop" errorTitle="Ошибка" imeMode="noControl" operator="between" showDropDown="0" showErrorMessage="1" showInputMessage="0">
          <x14:formula1>
            <xm:f>-9.99999999999999E+23</xm:f>
          </x14:formula1>
          <x14:formula2>
            <xm:f>9.99999999999999E+23</xm:f>
          </x14:formula2>
          <xm:sqref>AO52:AO53 AG8:AG11 AO8:AO9 AG52:AG55</xm:sqref>
        </x14:dataValidation>
        <x14:dataValidation xr:uid="{00D900FA-00F1-42A5-9A7E-00A3009700F4}" type="textLength" allowBlank="1" error="Допускается ввод не более 900 символов!" errorStyle="stop" errorTitle="Ошибка" imeMode="noControl" operator="lessThanOrEqual" showDropDown="0" showErrorMessage="1" showInputMessage="1">
          <x14:formula1>
            <xm:f>900</xm:f>
          </x14:formula1>
          <xm:sqref>BC65583:BC65590 BC131119:BC131126 BC196655:BC196662 BC262191:BC262198 BC327727:BC327734 BC393263:BC393270 BC458799:BC458806 BC524335:BC524342 BC589871:BC589878 BC655407:BC655414 BC720943:BC720950 BC786479:BC786486 BC852015:BC852022 BC917551:BC917558 BC983087:BC983094 AS8 T8:T12 AS52 T52:T56</xm:sqref>
        </x14:dataValidation>
        <x14:dataValidation xr:uid="{006D00B9-005C-4F18-AEFC-0042008300FC}" type="list" allowBlank="1" error="Выберите значение из списка" errorStyle="stop" errorTitle="Ошибка" imeMode="noControl" operator="between" showDropDown="0" showErrorMessage="1" showInputMessage="1">
          <x14:formula1>
            <xm:f>kind_of_scheme_in</xm:f>
          </x14:formula1>
          <xm:sqref>AD917555:AS917555 AD983091:AS983091 AD65587:AS65587 AD131123:AS131123 AD196659:AS196659 AD262195:AS262195 AD327731:AS327731 AD393267:AS393267 AD458803:AS458803 AD524339:AS524339 AD589875:AS589875 AD655411:AS655411 AD720947:AS720947 AD786483:AS786483 AD852019:AS852019</xm:sqref>
        </x14:dataValidation>
        <x14:dataValidation xr:uid="{000E0018-001A-4EDE-81D4-00EA00F300A8}" type="list" allowBlank="1" error="Выберите значение из списка" errorStyle="stop" errorTitle="Ошибка" imeMode="noControl" operator="between" showDropDown="0" showErrorMessage="1" showInputMessage="1">
          <x14:formula1>
            <xm:f>kind_of_heat_transfer</xm:f>
          </x14:formula1>
          <xm:sqref>T65589 T131125 T196661 T262197 T327733 T393269 T458805 T524341 T589877 T655413 T720949 T786485 T852021 T917557 T983093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outlinePr applyStyles="0" summaryBelow="1" summaryRight="1" showOutlineSymbols="1"/>
    <pageSetUpPr autoPageBreaks="1" fitToPage="1"/>
  </sheetPr>
  <sheetViews>
    <sheetView showGridLines="0" zoomScale="90" workbookViewId="0">
      <pane xSplit="6" ySplit="11" topLeftCell="G12" activePane="bottomRight" state="frozen"/>
      <selection activeCell="G13" activeCellId="0" sqref="G13"/>
    </sheetView>
  </sheetViews>
  <sheetFormatPr defaultColWidth="9.140625" defaultRowHeight="14.25" customHeight="1"/>
  <cols>
    <col customWidth="1" hidden="1" min="1" max="1" style="50" width="8.00390625"/>
    <col customWidth="1" hidden="1" min="2" max="2" style="53" width="6.00390625"/>
    <col customWidth="1" min="3" max="3" style="50" width="3.00390625"/>
    <col customWidth="1" min="4" max="4" style="128" width="3.00390625"/>
    <col customWidth="1" min="5" max="5" style="50" width="6.00390625"/>
    <col customWidth="1" hidden="1" min="6" max="6" style="50" width="2.7109375"/>
    <col customWidth="1" min="7" max="7" style="50" width="46.7109375"/>
    <col customWidth="1" min="8" max="8" style="50" width="42.00390625"/>
    <col customWidth="1" min="9" max="9" style="50" width="14.00390625"/>
    <col customWidth="1" min="10" max="10" style="129" width="3.00390625"/>
    <col hidden="1" min="11" max="13" style="129" width="9.140625"/>
    <col customWidth="1" hidden="1" min="14" max="14" style="129" width="25.7109375"/>
    <col customWidth="1" hidden="1" min="15" max="15" style="129" width="14.421875"/>
    <col hidden="1" min="16" max="19" style="130" width="9.140625"/>
    <col hidden="1" min="20" max="27" style="50" width="9.140625"/>
    <col customWidth="1" min="28" max="28" style="50" width="8.00390625"/>
    <col hidden="1" min="29" max="29" style="50" width="9.140625"/>
  </cols>
  <sheetData>
    <row r="1" s="57" customFormat="1" ht="5.25" hidden="1" customHeight="1">
      <c r="A1" s="131"/>
      <c r="B1" s="57"/>
      <c r="C1" s="57"/>
      <c r="D1" s="132"/>
      <c r="F1" s="57"/>
      <c r="G1" s="133" t="s">
        <v>84</v>
      </c>
      <c r="H1" s="132" t="s">
        <v>85</v>
      </c>
      <c r="I1" s="134" t="s">
        <v>86</v>
      </c>
      <c r="J1" s="133" t="s">
        <v>84</v>
      </c>
      <c r="K1" s="133"/>
      <c r="L1" s="133"/>
      <c r="M1" s="133"/>
      <c r="N1" s="133"/>
      <c r="O1" s="133"/>
      <c r="P1" s="133"/>
      <c r="Q1" s="133"/>
      <c r="R1" s="133"/>
      <c r="S1" s="133"/>
      <c r="T1" s="134"/>
      <c r="U1" s="134"/>
      <c r="V1" s="134"/>
      <c r="W1" s="134"/>
      <c r="X1" s="134"/>
      <c r="Y1" s="134"/>
      <c r="Z1" s="134"/>
      <c r="AA1" s="134"/>
      <c r="AB1" s="134"/>
      <c r="AC1" s="57" t="s">
        <v>14</v>
      </c>
    </row>
    <row r="2" s="135" customFormat="1" ht="11.25" customHeight="1">
      <c r="A2" s="120"/>
      <c r="B2" s="136"/>
      <c r="C2" s="136"/>
      <c r="D2" s="137"/>
      <c r="E2" s="136"/>
      <c r="F2" s="136"/>
      <c r="G2" s="136"/>
      <c r="H2" s="136"/>
      <c r="I2" s="136"/>
      <c r="J2" s="133"/>
      <c r="K2" s="133"/>
      <c r="L2" s="133"/>
      <c r="M2" s="133"/>
      <c r="N2" s="133"/>
      <c r="O2" s="133"/>
      <c r="P2" s="138"/>
      <c r="Q2" s="138"/>
      <c r="R2" s="138"/>
      <c r="S2" s="138"/>
      <c r="T2" s="137"/>
      <c r="U2" s="137"/>
      <c r="V2" s="137"/>
      <c r="W2" s="137"/>
      <c r="X2" s="137"/>
      <c r="Y2" s="137"/>
      <c r="Z2" s="137"/>
      <c r="AA2" s="137"/>
      <c r="AB2" s="137"/>
      <c r="AC2" s="135">
        <v>11</v>
      </c>
    </row>
    <row r="3" s="139" customFormat="1" ht="3" customHeight="1">
      <c r="A3" s="50"/>
      <c r="B3" s="53"/>
      <c r="C3" s="50"/>
      <c r="D3" s="128"/>
      <c r="E3" s="50"/>
      <c r="F3" s="50"/>
      <c r="G3" s="50"/>
      <c r="H3" s="50"/>
      <c r="I3" s="140"/>
      <c r="J3" s="133"/>
      <c r="K3" s="129"/>
      <c r="L3" s="129"/>
      <c r="M3" s="129"/>
      <c r="N3" s="129"/>
      <c r="O3" s="129"/>
      <c r="P3" s="130"/>
      <c r="Q3" s="130"/>
      <c r="R3" s="130"/>
      <c r="S3" s="130"/>
      <c r="AC3" s="139">
        <v>3</v>
      </c>
    </row>
    <row r="4" s="139" customFormat="1" ht="27.300000000000001" customHeight="1">
      <c r="A4" s="50"/>
      <c r="B4" s="53"/>
      <c r="C4" s="50"/>
      <c r="D4" s="128"/>
      <c r="E4" s="141" t="str">
        <f>NameTemplatesInListMO</f>
        <v xml:space="preserve">Перечень муниципальных районов и муниципальных образований (территорий действия тарифа)</v>
      </c>
      <c r="F4" s="141"/>
      <c r="G4" s="141"/>
      <c r="H4" s="141"/>
      <c r="I4" s="141"/>
      <c r="J4" s="133"/>
      <c r="K4" s="129"/>
      <c r="L4" s="129"/>
      <c r="M4" s="129"/>
      <c r="N4" s="129"/>
      <c r="O4" s="129"/>
      <c r="P4" s="130"/>
      <c r="Q4" s="130"/>
      <c r="R4" s="130"/>
      <c r="S4" s="130"/>
      <c r="AC4" s="139">
        <v>26</v>
      </c>
    </row>
    <row r="5" s="139" customFormat="1" ht="3" customHeight="1">
      <c r="A5" s="50"/>
      <c r="B5" s="53"/>
      <c r="C5" s="50"/>
      <c r="D5" s="128"/>
      <c r="E5" s="50"/>
      <c r="F5" s="50"/>
      <c r="G5" s="142"/>
      <c r="H5" s="142"/>
      <c r="I5" s="120"/>
      <c r="J5" s="129"/>
      <c r="K5" s="129"/>
      <c r="L5" s="129"/>
      <c r="M5" s="129"/>
      <c r="N5" s="129"/>
      <c r="O5" s="129"/>
      <c r="P5" s="130"/>
      <c r="Q5" s="130"/>
      <c r="R5" s="130"/>
      <c r="S5" s="130"/>
      <c r="AC5" s="139">
        <v>3</v>
      </c>
    </row>
    <row r="6" s="139" customFormat="1" ht="20.25" hidden="1" customHeight="1">
      <c r="A6" s="143"/>
      <c r="B6" s="64"/>
      <c r="C6" s="143"/>
      <c r="D6" s="128"/>
      <c r="E6" s="125"/>
      <c r="F6" s="125"/>
      <c r="G6" s="142"/>
      <c r="H6" s="144"/>
      <c r="I6" s="144"/>
      <c r="J6" s="129"/>
      <c r="K6" s="129"/>
      <c r="L6" s="129"/>
      <c r="M6" s="129"/>
      <c r="N6" s="129"/>
      <c r="O6" s="129"/>
      <c r="P6" s="130"/>
      <c r="Q6" s="130"/>
      <c r="R6" s="130"/>
      <c r="S6" s="130"/>
      <c r="AC6" s="139">
        <v>0</v>
      </c>
    </row>
    <row r="7" ht="25.5" hidden="1" customHeight="1">
      <c r="AC7" s="50">
        <v>0</v>
      </c>
    </row>
    <row r="8" s="139" customFormat="1" ht="14.65" customHeight="1">
      <c r="A8" s="50"/>
      <c r="B8" s="53"/>
      <c r="C8" s="50"/>
      <c r="D8" s="128"/>
      <c r="E8" s="73" t="s">
        <v>87</v>
      </c>
      <c r="F8" s="145"/>
      <c r="G8" s="72"/>
      <c r="H8" s="146" t="s">
        <v>88</v>
      </c>
      <c r="I8" s="146"/>
      <c r="J8" s="129"/>
      <c r="K8" s="129"/>
      <c r="L8" s="129"/>
      <c r="M8" s="129"/>
      <c r="N8" s="129"/>
      <c r="O8" s="129"/>
      <c r="P8" s="130"/>
      <c r="Q8" s="130"/>
      <c r="R8" s="130"/>
      <c r="S8" s="130"/>
      <c r="AC8" s="139">
        <v>14</v>
      </c>
    </row>
    <row r="9" s="139" customFormat="1" ht="21" customHeight="1">
      <c r="A9" s="50"/>
      <c r="B9" s="53"/>
      <c r="C9" s="50"/>
      <c r="D9" s="128"/>
      <c r="E9" s="147" t="s">
        <v>89</v>
      </c>
      <c r="F9" s="147"/>
      <c r="G9" s="148" t="s">
        <v>90</v>
      </c>
      <c r="H9" s="148" t="s">
        <v>90</v>
      </c>
      <c r="I9" s="148" t="s">
        <v>86</v>
      </c>
      <c r="J9" s="129"/>
      <c r="K9" s="129"/>
      <c r="L9" s="129"/>
      <c r="M9" s="129"/>
      <c r="N9" s="129"/>
      <c r="O9" s="129"/>
      <c r="P9" s="130"/>
      <c r="Q9" s="130"/>
      <c r="R9" s="130"/>
      <c r="S9" s="130"/>
      <c r="AC9" s="139">
        <v>20</v>
      </c>
    </row>
    <row r="10" ht="11.5" customHeight="1">
      <c r="D10" s="149"/>
      <c r="E10" s="150" t="s">
        <v>91</v>
      </c>
      <c r="F10" s="150"/>
      <c r="G10" s="150" t="s">
        <v>92</v>
      </c>
      <c r="H10" s="150" t="s">
        <v>93</v>
      </c>
      <c r="I10" s="150" t="s">
        <v>94</v>
      </c>
      <c r="J10" s="151"/>
      <c r="K10" s="151"/>
      <c r="L10" s="151"/>
      <c r="M10" s="151"/>
      <c r="N10" s="151"/>
      <c r="O10" s="151"/>
      <c r="P10" s="152"/>
      <c r="Q10" s="152"/>
      <c r="R10" s="152"/>
      <c r="S10" s="152"/>
      <c r="AC10" s="50">
        <v>11</v>
      </c>
    </row>
    <row r="11" s="139" customFormat="1" ht="1.05" customHeight="1">
      <c r="A11" s="50"/>
      <c r="B11" s="53"/>
      <c r="C11" s="50"/>
      <c r="D11" s="128"/>
      <c r="E11" s="153"/>
      <c r="F11" s="153"/>
      <c r="G11" s="154"/>
      <c r="H11" s="154"/>
      <c r="I11" s="155"/>
      <c r="J11" s="156" t="s">
        <v>95</v>
      </c>
      <c r="K11" s="129"/>
      <c r="L11" s="129"/>
      <c r="M11" s="129" t="s">
        <v>96</v>
      </c>
      <c r="N11" s="129" t="s">
        <v>97</v>
      </c>
      <c r="O11" s="129" t="s">
        <v>98</v>
      </c>
      <c r="P11" s="130"/>
      <c r="Q11" s="130"/>
      <c r="R11" s="130"/>
      <c r="S11" s="130"/>
      <c r="AC11" s="139">
        <v>1</v>
      </c>
    </row>
    <row r="12" s="139" customFormat="1" ht="15" customHeight="1">
      <c r="A12" s="51">
        <v>1</v>
      </c>
      <c r="B12" s="53"/>
      <c r="C12" s="50"/>
      <c r="D12" s="128"/>
      <c r="E12" s="157">
        <f>A12</f>
        <v>1</v>
      </c>
      <c r="F12" s="158" t="s">
        <v>99</v>
      </c>
      <c r="G12" s="159" t="str">
        <f>"Территория "&amp;E12</f>
        <v xml:space="preserve">Территория 1</v>
      </c>
      <c r="H12" s="160"/>
      <c r="I12" s="160"/>
      <c r="J12" s="129"/>
      <c r="K12" s="129"/>
      <c r="L12" s="129"/>
      <c r="M12" s="129"/>
      <c r="N12" s="129"/>
      <c r="O12" s="129"/>
      <c r="P12" s="130"/>
      <c r="Q12" s="130"/>
      <c r="R12" s="130"/>
      <c r="S12" s="130"/>
      <c r="AC12" s="139">
        <v>14</v>
      </c>
    </row>
    <row r="13" s="63" customFormat="1" ht="15.75" customHeight="1">
      <c r="A13" s="51"/>
      <c r="B13" s="53">
        <v>1</v>
      </c>
      <c r="C13" s="53"/>
      <c r="D13" s="161"/>
      <c r="E13" s="162" t="str">
        <f>A12&amp;"."&amp;B13</f>
        <v>1.1</v>
      </c>
      <c r="F13" s="163" t="s">
        <v>92</v>
      </c>
      <c r="G13" s="164" t="s">
        <v>100</v>
      </c>
      <c r="H13" s="164" t="s">
        <v>100</v>
      </c>
      <c r="I13" s="165" t="s">
        <v>101</v>
      </c>
      <c r="J13" s="129" t="e">
        <f>MERGEVALUE(G13)</f>
        <v>#NAME?</v>
      </c>
      <c r="K13" s="57"/>
      <c r="L13" s="57"/>
      <c r="M13" s="129" t="str">
        <f t="array" ref="M13">IF(ISERROR(MATCH(MID(N13,1,250),MID(note_ter,1,250),0)),"n","y")</f>
        <v>n</v>
      </c>
      <c r="N13" s="57"/>
      <c r="O13" s="129" t="str">
        <f>H13&amp;"("&amp;I13&amp;")"</f>
        <v xml:space="preserve">Владивостокский городской округ(05701000)</v>
      </c>
      <c r="P13" s="53"/>
      <c r="Q13" s="53"/>
      <c r="R13" s="166"/>
      <c r="S13" s="53"/>
      <c r="T13" s="53"/>
      <c r="U13" s="53"/>
      <c r="V13" s="64"/>
      <c r="W13" s="64"/>
      <c r="X13" s="167"/>
      <c r="Y13" s="167"/>
      <c r="Z13" s="167"/>
      <c r="AA13" s="167"/>
      <c r="AB13" s="167"/>
      <c r="AC13" s="63">
        <v>15</v>
      </c>
    </row>
    <row r="14" s="63" customFormat="1" ht="15.75" customHeight="1">
      <c r="A14" s="51"/>
      <c r="B14" s="53"/>
      <c r="C14" s="168"/>
      <c r="D14" s="169"/>
      <c r="E14" s="170"/>
      <c r="F14" s="171"/>
      <c r="G14" s="172" t="s">
        <v>102</v>
      </c>
      <c r="H14" s="173"/>
      <c r="I14" s="174"/>
      <c r="J14" s="57"/>
      <c r="K14" s="57"/>
      <c r="L14" s="57"/>
      <c r="M14" s="57"/>
      <c r="N14" s="129"/>
      <c r="O14" s="57"/>
      <c r="P14" s="53"/>
      <c r="Q14" s="53"/>
      <c r="R14" s="166"/>
      <c r="S14" s="53"/>
      <c r="T14" s="53"/>
      <c r="U14" s="53"/>
      <c r="V14" s="64"/>
      <c r="W14" s="64"/>
      <c r="X14" s="167"/>
      <c r="Y14" s="167"/>
      <c r="Z14" s="167"/>
      <c r="AA14" s="167"/>
      <c r="AB14" s="167"/>
      <c r="AC14" s="63">
        <v>15</v>
      </c>
    </row>
    <row r="15" s="139" customFormat="1" ht="14.65" customHeight="1">
      <c r="A15" s="50"/>
      <c r="B15" s="53"/>
      <c r="C15" s="50"/>
      <c r="D15" s="128"/>
      <c r="E15" s="175"/>
      <c r="F15" s="176"/>
      <c r="G15" s="177" t="s">
        <v>103</v>
      </c>
      <c r="H15" s="176"/>
      <c r="I15" s="178"/>
      <c r="J15" s="156"/>
      <c r="K15" s="129"/>
      <c r="L15" s="129"/>
      <c r="M15" s="129"/>
      <c r="N15" s="129" t="s">
        <v>104</v>
      </c>
      <c r="O15" s="129"/>
      <c r="P15" s="130"/>
      <c r="Q15" s="130"/>
      <c r="R15" s="130"/>
      <c r="S15" s="130"/>
      <c r="AC15" s="139">
        <v>14</v>
      </c>
    </row>
    <row r="16" s="139" customFormat="1" ht="22" customHeight="1">
      <c r="A16" s="50"/>
      <c r="B16" s="53"/>
      <c r="C16" s="50"/>
      <c r="D16" s="128"/>
      <c r="E16" s="179"/>
      <c r="F16" s="179"/>
      <c r="G16" s="179"/>
      <c r="H16" s="179"/>
      <c r="I16" s="179"/>
      <c r="J16" s="129"/>
      <c r="K16" s="129"/>
      <c r="L16" s="129"/>
      <c r="M16" s="129"/>
      <c r="N16" s="129"/>
      <c r="O16" s="129"/>
      <c r="P16" s="130"/>
      <c r="Q16" s="130"/>
      <c r="R16" s="130"/>
      <c r="S16" s="130"/>
      <c r="AC16" s="139">
        <v>21</v>
      </c>
    </row>
    <row r="17" s="139" customFormat="1" ht="14.65" customHeight="1">
      <c r="A17" s="50"/>
      <c r="B17" s="53"/>
      <c r="C17" s="50"/>
      <c r="D17" s="128"/>
      <c r="E17" s="50"/>
      <c r="F17" s="50"/>
      <c r="G17" s="50"/>
      <c r="H17" s="50"/>
      <c r="I17" s="50"/>
      <c r="J17" s="129"/>
      <c r="K17" s="129"/>
      <c r="L17" s="129"/>
      <c r="M17" s="129"/>
      <c r="N17" s="129"/>
      <c r="O17" s="129"/>
      <c r="P17" s="130"/>
      <c r="Q17" s="130"/>
      <c r="R17" s="130"/>
      <c r="S17" s="130"/>
      <c r="AC17" s="139">
        <v>14</v>
      </c>
    </row>
    <row r="18" s="139" customFormat="1" ht="1.05" customHeight="1">
      <c r="A18" s="50"/>
      <c r="B18" s="53"/>
      <c r="C18" s="50"/>
      <c r="D18" s="128"/>
      <c r="E18" s="50"/>
      <c r="F18" s="50"/>
      <c r="G18" s="50"/>
      <c r="H18" s="50"/>
      <c r="I18" s="50"/>
      <c r="J18" s="129"/>
      <c r="K18" s="129"/>
      <c r="L18" s="129"/>
      <c r="M18" s="129"/>
      <c r="N18" s="129"/>
      <c r="O18" s="129"/>
      <c r="P18" s="130"/>
      <c r="Q18" s="130"/>
      <c r="R18" s="130"/>
      <c r="S18" s="130"/>
      <c r="AC18" s="139">
        <v>1</v>
      </c>
    </row>
    <row r="19" s="180" customFormat="1" ht="10.5" customHeight="1">
      <c r="B19" s="181"/>
      <c r="D19" s="182"/>
      <c r="J19" s="129"/>
      <c r="K19" s="129"/>
      <c r="L19" s="129"/>
      <c r="M19" s="129"/>
      <c r="N19" s="129"/>
      <c r="O19" s="129"/>
      <c r="P19" s="130"/>
      <c r="Q19" s="130"/>
      <c r="R19" s="130"/>
      <c r="S19" s="130"/>
      <c r="AC19" s="180">
        <v>10</v>
      </c>
    </row>
    <row r="20" s="180" customFormat="1" ht="10.5" customHeight="1">
      <c r="B20" s="181"/>
      <c r="D20" s="182"/>
      <c r="J20" s="129"/>
      <c r="K20" s="129"/>
      <c r="L20" s="129"/>
      <c r="M20" s="129"/>
      <c r="N20" s="129"/>
      <c r="O20" s="129"/>
      <c r="P20" s="130"/>
      <c r="Q20" s="130"/>
      <c r="R20" s="130"/>
      <c r="S20" s="130"/>
      <c r="AC20" s="180">
        <v>10</v>
      </c>
    </row>
    <row r="21" ht="14.65" customHeight="1">
      <c r="AC21" s="50">
        <v>14</v>
      </c>
    </row>
    <row r="22" ht="14.65" customHeight="1">
      <c r="AC22" s="50">
        <v>14</v>
      </c>
    </row>
    <row r="23" ht="14.65" customHeight="1">
      <c r="AC23" s="50">
        <v>14</v>
      </c>
    </row>
    <row r="24" ht="14.65" customHeight="1">
      <c r="H24" s="183"/>
      <c r="AC24" s="50">
        <v>14</v>
      </c>
    </row>
    <row r="25" ht="14.65" customHeight="1">
      <c r="AC25" s="50">
        <v>14</v>
      </c>
    </row>
    <row r="26" ht="14.65" customHeight="1">
      <c r="AC26" s="50">
        <v>14</v>
      </c>
    </row>
    <row r="27" ht="14.65" customHeight="1">
      <c r="AC27" s="50">
        <v>14</v>
      </c>
    </row>
    <row r="28" ht="14.65" customHeight="1">
      <c r="J28" s="50"/>
      <c r="K28" s="50"/>
      <c r="L28" s="50"/>
      <c r="AC28" s="50">
        <v>14</v>
      </c>
    </row>
    <row r="29" ht="22.5" hidden="1" customHeight="1">
      <c r="A29" s="50" t="s">
        <v>83</v>
      </c>
      <c r="B29" s="53">
        <v>0</v>
      </c>
      <c r="C29" s="50">
        <v>3</v>
      </c>
      <c r="D29" s="128">
        <v>3</v>
      </c>
      <c r="E29" s="50">
        <v>6</v>
      </c>
      <c r="F29" s="50">
        <v>0</v>
      </c>
      <c r="G29" s="50">
        <v>46</v>
      </c>
      <c r="H29" s="50">
        <v>42</v>
      </c>
      <c r="I29" s="50">
        <v>14</v>
      </c>
      <c r="J29" s="129">
        <v>3</v>
      </c>
      <c r="K29" s="129">
        <v>0</v>
      </c>
      <c r="L29" s="129">
        <v>0</v>
      </c>
      <c r="M29" s="129">
        <v>0</v>
      </c>
      <c r="N29" s="129">
        <v>0</v>
      </c>
      <c r="O29" s="129">
        <v>0</v>
      </c>
      <c r="P29" s="130">
        <v>0</v>
      </c>
      <c r="Q29" s="130">
        <v>0</v>
      </c>
      <c r="R29" s="130">
        <v>0</v>
      </c>
      <c r="S29" s="130">
        <v>0</v>
      </c>
      <c r="T29" s="50">
        <v>0</v>
      </c>
      <c r="U29" s="50">
        <v>0</v>
      </c>
      <c r="V29" s="50">
        <v>0</v>
      </c>
      <c r="W29" s="50">
        <v>0</v>
      </c>
      <c r="X29" s="50">
        <v>0</v>
      </c>
      <c r="Y29" s="50">
        <v>0</v>
      </c>
      <c r="Z29" s="50">
        <v>0</v>
      </c>
      <c r="AA29" s="50">
        <v>0</v>
      </c>
      <c r="AB29" s="50">
        <v>8</v>
      </c>
      <c r="AC29" s="50">
        <v>23</v>
      </c>
    </row>
  </sheetData>
  <sheetProtection autoFilter="0" deleteColumns="1" deleteRows="1" formatCells="1" formatColumns="0" formatRows="0" insertColumns="1" insertHyperlinks="1" insertRows="1" objects="0" pivotTables="1" scenarios="0" selectLockedCells="0" selectUnlockedCells="0" sheet="1" sort="1"/>
  <mergeCells count="4">
    <mergeCell ref="E4:I4"/>
    <mergeCell ref="E8:G8"/>
    <mergeCell ref="H8:I8"/>
    <mergeCell ref="A12:A14"/>
  </mergeCells>
  <printOptions headings="0" gridLines="0"/>
  <pageMargins left="0" right="0" top="0" bottom="0" header="0" footer="0.79000000000000004"/>
  <pageSetup paperSize="9" scale="93" fitToWidth="1" fitToHeight="0" pageOrder="downThenOver" orientation="portrait" usePrinterDefaults="1" blackAndWhite="1"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1" disablePrompts="0">
        <x14:dataValidation xr:uid="{00480025-0089-4DE3-BD2E-00960033004D}" type="textLength" allowBlank="1" error="Допускается ввод не более 900 символов!" errorStyle="stop" errorTitle="Ошибка" imeMode="noControl" operator="lessThanOrEqual" showDropDown="0" showErrorMessage="1" showInputMessage="1">
          <x14:formula1>
            <xm:f>900</xm:f>
          </x14:formula1>
          <xm:sqref>G12</xm:sqref>
        </x14:dataValidation>
      </x14:dataValidations>
    </ext>
  </extLs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zoomScale="90" workbookViewId="0">
      <pane xSplit="32" ySplit="41" topLeftCell="AG42" activePane="bottomRight" state="frozen"/>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4.140625"/>
    <col customWidth="1" hidden="1" min="10" max="10" style="53" width="9.8515625"/>
    <col customWidth="1" hidden="1" min="11" max="11" style="53" width="14.7109375"/>
    <col customWidth="1" hidden="1" min="12" max="12" style="113" width="19.140625"/>
    <col customWidth="1" hidden="1" min="13" max="14" style="61" width="12.28125"/>
    <col customWidth="1" hidden="1" min="15" max="15" style="61" width="23.421875"/>
    <col customWidth="1" min="16" max="16" style="60" width="3.00390625"/>
    <col customWidth="1" min="17" max="18" style="487" width="3.00390625"/>
    <col customWidth="1" min="19" max="19" style="86" width="12.00390625"/>
    <col customWidth="1" min="20" max="20" style="50" width="35.00390625"/>
    <col customWidth="1" min="21" max="21" style="50" width="0.140625"/>
    <col customWidth="1" hidden="1" min="22" max="28" style="50" width="19.7109375"/>
    <col customWidth="1" hidden="1" min="29" max="29" style="50" width="11.7109375"/>
    <col customWidth="1" hidden="1" min="30" max="30" style="50" width="3.7109375"/>
    <col customWidth="1" hidden="1" min="31" max="31" style="50" width="11.7109375"/>
    <col customWidth="1" hidden="1" min="32" max="32" style="50" width="8.57421875"/>
    <col customWidth="1" min="33" max="33" style="50" width="19.7109375"/>
    <col customWidth="1" min="34" max="39" style="50" width="19.00390625"/>
    <col customWidth="1" min="40" max="40" style="50" width="11.00390625"/>
    <col customWidth="1" min="41" max="41" style="50" width="3.7109375"/>
    <col customWidth="1" min="42" max="42" style="50" width="11.00390625"/>
    <col customWidth="1" hidden="1" min="43" max="43" style="50" width="8.57421875"/>
    <col customWidth="1" min="44" max="44" style="50" width="4.00390625"/>
    <col customWidth="1" min="45" max="45" style="50" width="115.00390625"/>
    <col customWidth="1" min="46" max="50" style="57" width="10.00390625"/>
    <col hidden="1" min="51" max="51" style="50" width="10.57421875"/>
  </cols>
  <sheetData>
    <row r="1" ht="22.5" hidden="1" customHeight="1">
      <c r="AC1" s="50"/>
      <c r="AN1" s="50"/>
      <c r="AY1" s="50" t="s">
        <v>14</v>
      </c>
    </row>
    <row r="2" ht="23.25" hidden="1" customHeight="1">
      <c r="A2" s="488"/>
      <c r="B2" s="488"/>
      <c r="C2" s="488"/>
      <c r="D2" s="488"/>
      <c r="E2" s="489">
        <v>1</v>
      </c>
      <c r="F2" s="488"/>
      <c r="G2" s="488"/>
      <c r="H2" s="488"/>
      <c r="I2" s="488"/>
      <c r="J2" s="488"/>
      <c r="K2" s="488"/>
      <c r="L2" s="490"/>
      <c r="M2" s="491"/>
      <c r="N2" s="491"/>
      <c r="O2" s="491"/>
      <c r="P2" s="60"/>
      <c r="Q2" s="143"/>
      <c r="R2" s="492"/>
      <c r="S2" s="493" t="e">
        <f>INDEX(PT_DIFFERENTIATION_NUM_NTAR,MATCH(A2,PT_DIFFERENTIATION_NTAR_ID,0))</f>
        <v>#VALUE!</v>
      </c>
      <c r="T2" s="494" t="s">
        <v>123</v>
      </c>
      <c r="U2" s="495"/>
      <c r="V2" s="496"/>
      <c r="W2" s="497"/>
      <c r="X2" s="497"/>
      <c r="Y2" s="497"/>
      <c r="Z2" s="497"/>
      <c r="AA2" s="497"/>
      <c r="AB2" s="497"/>
      <c r="AC2" s="497"/>
      <c r="AD2" s="497"/>
      <c r="AE2" s="497"/>
      <c r="AF2" s="498"/>
      <c r="AG2" s="496" t="e">
        <f>INDEX(PT_DIFFERENTIATION_NTAR,MATCH(A2,PT_DIFFERENTIATION_NTAR_ID,0))</f>
        <v>#VALUE!</v>
      </c>
      <c r="AH2" s="497"/>
      <c r="AI2" s="497"/>
      <c r="AJ2" s="497"/>
      <c r="AK2" s="497"/>
      <c r="AL2" s="497"/>
      <c r="AM2" s="497"/>
      <c r="AN2" s="497"/>
      <c r="AO2" s="497"/>
      <c r="AP2" s="497"/>
      <c r="AQ2" s="497"/>
      <c r="AR2" s="498"/>
      <c r="AS2" s="4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129"/>
      <c r="AV2" s="129" t="str">
        <f t="shared" ref="AV2:AV9" si="41">IF(T2="","",T2)</f>
        <v xml:space="preserve">Наименование тарифа</v>
      </c>
      <c r="AW2" s="129"/>
      <c r="AX2" s="129"/>
      <c r="AY2" s="50">
        <v>0</v>
      </c>
    </row>
    <row r="3" ht="23.25" hidden="1" customHeight="1">
      <c r="A3" s="488"/>
      <c r="B3" s="488"/>
      <c r="C3" s="488"/>
      <c r="D3" s="488"/>
      <c r="E3" s="500"/>
      <c r="F3" s="489">
        <v>1</v>
      </c>
      <c r="G3" s="488"/>
      <c r="H3" s="488"/>
      <c r="I3" s="488"/>
      <c r="J3" s="488"/>
      <c r="K3" s="488"/>
      <c r="L3" s="490"/>
      <c r="M3" s="491"/>
      <c r="N3" s="491"/>
      <c r="O3" s="491"/>
      <c r="P3" s="51"/>
      <c r="Q3" s="501"/>
      <c r="R3" s="502"/>
      <c r="S3" s="493" t="e">
        <f>INDEX(PT_DIFFERENTIATION_NUM_TER,MATCH(B3,PT_DIFFERENTIATION_TER_ID,0))</f>
        <v>#VALUE!</v>
      </c>
      <c r="T3" s="503" t="s">
        <v>402</v>
      </c>
      <c r="U3" s="495"/>
      <c r="V3" s="496"/>
      <c r="W3" s="497"/>
      <c r="X3" s="497"/>
      <c r="Y3" s="497"/>
      <c r="Z3" s="497"/>
      <c r="AA3" s="497"/>
      <c r="AB3" s="497"/>
      <c r="AC3" s="497"/>
      <c r="AD3" s="497"/>
      <c r="AE3" s="497"/>
      <c r="AF3" s="498"/>
      <c r="AG3" s="496" t="e">
        <f>INDEX(PT_DIFFERENTIATION_TER,MATCH(B3,PT_DIFFERENTIATION_TER_ID,0))</f>
        <v>#VALUE!</v>
      </c>
      <c r="AH3" s="497"/>
      <c r="AI3" s="497"/>
      <c r="AJ3" s="497"/>
      <c r="AK3" s="497"/>
      <c r="AL3" s="497"/>
      <c r="AM3" s="497"/>
      <c r="AN3" s="497"/>
      <c r="AO3" s="497"/>
      <c r="AP3" s="497"/>
      <c r="AQ3" s="497"/>
      <c r="AR3" s="498"/>
      <c r="AS3" s="499" t="s">
        <v>403</v>
      </c>
      <c r="AU3" s="129"/>
      <c r="AV3" s="129" t="str">
        <f t="shared" si="41"/>
        <v xml:space="preserve">Территория действия тарифа</v>
      </c>
      <c r="AW3" s="129"/>
      <c r="AX3" s="129"/>
      <c r="AY3" s="50">
        <v>0</v>
      </c>
    </row>
    <row r="4" ht="23.25" hidden="1" customHeight="1">
      <c r="A4" s="488"/>
      <c r="B4" s="488"/>
      <c r="C4" s="488"/>
      <c r="D4" s="488"/>
      <c r="E4" s="500"/>
      <c r="F4" s="500"/>
      <c r="G4" s="489">
        <v>1</v>
      </c>
      <c r="H4" s="488"/>
      <c r="I4" s="488"/>
      <c r="J4" s="488"/>
      <c r="K4" s="488"/>
      <c r="L4" s="490"/>
      <c r="M4" s="491"/>
      <c r="N4" s="491"/>
      <c r="O4" s="491"/>
      <c r="P4" s="504"/>
      <c r="Q4" s="501"/>
      <c r="R4" s="502"/>
      <c r="S4" s="493" t="e">
        <f>INDEX(PT_DIFFERENTIATION_NUM_CS,MATCH(C4,PT_DIFFERENTIATION_CS_ID,0))</f>
        <v>#VALUE!</v>
      </c>
      <c r="T4" s="505" t="s">
        <v>534</v>
      </c>
      <c r="U4" s="495"/>
      <c r="V4" s="496"/>
      <c r="W4" s="497"/>
      <c r="X4" s="497"/>
      <c r="Y4" s="497"/>
      <c r="Z4" s="497"/>
      <c r="AA4" s="497"/>
      <c r="AB4" s="497"/>
      <c r="AC4" s="497"/>
      <c r="AD4" s="497"/>
      <c r="AE4" s="497"/>
      <c r="AF4" s="498"/>
      <c r="AG4" s="496" t="e">
        <f>INDEX(PT_DIFFERENTIATION_CS,MATCH(C4,PT_DIFFERENTIATION_CS_ID,0))</f>
        <v>#VALUE!</v>
      </c>
      <c r="AH4" s="497"/>
      <c r="AI4" s="497"/>
      <c r="AJ4" s="497"/>
      <c r="AK4" s="497"/>
      <c r="AL4" s="497"/>
      <c r="AM4" s="497"/>
      <c r="AN4" s="497"/>
      <c r="AO4" s="497"/>
      <c r="AP4" s="497"/>
      <c r="AQ4" s="497"/>
      <c r="AR4" s="498"/>
      <c r="AS4" s="499" t="s">
        <v>535</v>
      </c>
      <c r="AU4" s="129"/>
      <c r="AV4" s="129" t="str">
        <f t="shared" si="41"/>
        <v xml:space="preserve">Наименование централизованной системы горячего водоснабжения</v>
      </c>
      <c r="AW4" s="129"/>
      <c r="AX4" s="129"/>
      <c r="AY4" s="50">
        <v>0</v>
      </c>
    </row>
    <row r="5" ht="23.25" hidden="1" customHeight="1">
      <c r="A5" s="488"/>
      <c r="B5" s="488"/>
      <c r="C5" s="488"/>
      <c r="D5" s="488"/>
      <c r="E5" s="500"/>
      <c r="F5" s="500"/>
      <c r="G5" s="500"/>
      <c r="H5" s="500"/>
      <c r="I5" s="507" t="e">
        <f>S4&amp;".1"</f>
        <v>#VALUE!</v>
      </c>
      <c r="J5" s="488"/>
      <c r="K5" s="488"/>
      <c r="L5" s="490"/>
      <c r="P5" s="132">
        <v>1</v>
      </c>
      <c r="Q5" s="132"/>
      <c r="R5" s="508"/>
      <c r="S5" s="493" t="e">
        <f>$I5</f>
        <v>#VALUE!</v>
      </c>
      <c r="T5" s="509" t="s">
        <v>484</v>
      </c>
      <c r="U5" s="495"/>
      <c r="V5" s="685"/>
      <c r="W5" s="686"/>
      <c r="X5" s="686"/>
      <c r="Y5" s="686"/>
      <c r="Z5" s="686"/>
      <c r="AA5" s="686"/>
      <c r="AB5" s="686"/>
      <c r="AC5" s="686"/>
      <c r="AD5" s="686"/>
      <c r="AE5" s="686"/>
      <c r="AF5" s="687"/>
      <c r="AG5" s="688"/>
      <c r="AH5" s="689"/>
      <c r="AI5" s="689"/>
      <c r="AJ5" s="689"/>
      <c r="AK5" s="689"/>
      <c r="AL5" s="689"/>
      <c r="AM5" s="689"/>
      <c r="AN5" s="689"/>
      <c r="AO5" s="689"/>
      <c r="AP5" s="689"/>
      <c r="AQ5" s="689"/>
      <c r="AR5" s="690"/>
      <c r="AS5" s="499" t="s">
        <v>485</v>
      </c>
      <c r="AU5" s="129"/>
      <c r="AV5" s="129" t="str">
        <f t="shared" si="41"/>
        <v xml:space="preserve">Наименование признака дифференциации</v>
      </c>
      <c r="AW5" s="129"/>
      <c r="AX5" s="129"/>
      <c r="AY5" s="50">
        <v>0</v>
      </c>
    </row>
    <row r="6" ht="23.25" hidden="1" customHeight="1">
      <c r="A6" s="488"/>
      <c r="B6" s="488"/>
      <c r="C6" s="488"/>
      <c r="D6" s="488"/>
      <c r="E6" s="500"/>
      <c r="F6" s="500"/>
      <c r="G6" s="500"/>
      <c r="H6" s="500"/>
      <c r="I6" s="512"/>
      <c r="J6" s="507" t="e">
        <f>I5&amp;".1"</f>
        <v>#VALUE!</v>
      </c>
      <c r="K6" s="488"/>
      <c r="L6" s="490" t="s">
        <v>411</v>
      </c>
      <c r="P6" s="132"/>
      <c r="Q6" s="132">
        <v>1</v>
      </c>
      <c r="R6" s="513"/>
      <c r="S6" s="493" t="e">
        <f>$J6</f>
        <v>#VALUE!</v>
      </c>
      <c r="T6" s="514" t="s">
        <v>412</v>
      </c>
      <c r="U6" s="495"/>
      <c r="V6" s="440"/>
      <c r="W6" s="510"/>
      <c r="X6" s="510"/>
      <c r="Y6" s="510"/>
      <c r="Z6" s="510"/>
      <c r="AA6" s="510"/>
      <c r="AB6" s="510"/>
      <c r="AC6" s="510"/>
      <c r="AD6" s="510"/>
      <c r="AE6" s="510"/>
      <c r="AF6" s="511"/>
      <c r="AG6" s="440"/>
      <c r="AH6" s="510"/>
      <c r="AI6" s="510"/>
      <c r="AJ6" s="510"/>
      <c r="AK6" s="510"/>
      <c r="AL6" s="510"/>
      <c r="AM6" s="510"/>
      <c r="AN6" s="510"/>
      <c r="AO6" s="510"/>
      <c r="AP6" s="510"/>
      <c r="AQ6" s="510"/>
      <c r="AR6" s="511"/>
      <c r="AS6" s="626" t="s">
        <v>486</v>
      </c>
      <c r="AU6" s="129"/>
      <c r="AV6" s="129" t="str">
        <f t="shared" si="41"/>
        <v xml:space="preserve">Группа потребителей</v>
      </c>
      <c r="AW6" s="129"/>
      <c r="AX6" s="129"/>
      <c r="AY6" s="50">
        <v>0</v>
      </c>
    </row>
    <row r="7" ht="23.25" hidden="1" customHeight="1">
      <c r="A7" s="488"/>
      <c r="B7" s="488"/>
      <c r="C7" s="488"/>
      <c r="D7" s="488"/>
      <c r="E7" s="500"/>
      <c r="F7" s="500"/>
      <c r="G7" s="500"/>
      <c r="H7" s="500"/>
      <c r="I7" s="512"/>
      <c r="J7" s="512"/>
      <c r="K7" s="507" t="e">
        <f>J6&amp;".1"</f>
        <v>#VALUE!</v>
      </c>
      <c r="L7" s="490"/>
      <c r="P7" s="132"/>
      <c r="Q7" s="132"/>
      <c r="R7" s="513">
        <v>1</v>
      </c>
      <c r="S7" s="493" t="e">
        <f>$K7</f>
        <v>#VALUE!</v>
      </c>
      <c r="T7" s="691"/>
      <c r="U7" s="495"/>
      <c r="V7" s="516"/>
      <c r="W7" s="516"/>
      <c r="X7" s="516"/>
      <c r="Y7" s="516"/>
      <c r="Z7" s="516"/>
      <c r="AA7" s="516"/>
      <c r="AB7" s="516"/>
      <c r="AC7" s="519"/>
      <c r="AD7" s="224" t="s">
        <v>67</v>
      </c>
      <c r="AE7" s="519"/>
      <c r="AF7" s="224" t="s">
        <v>67</v>
      </c>
      <c r="AG7" s="516"/>
      <c r="AH7" s="516"/>
      <c r="AI7" s="516"/>
      <c r="AJ7" s="516"/>
      <c r="AK7" s="516"/>
      <c r="AL7" s="516"/>
      <c r="AM7" s="516"/>
      <c r="AN7" s="519"/>
      <c r="AO7" s="224" t="s">
        <v>67</v>
      </c>
      <c r="AP7" s="579"/>
      <c r="AQ7" s="224" t="s">
        <v>67</v>
      </c>
      <c r="AR7" s="692"/>
      <c r="AS7" s="69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7" t="e">
        <f>STRCHECKDATE(V8:AR8)</f>
        <v>#NAME?</v>
      </c>
      <c r="AU7" s="129"/>
      <c r="AV7" s="129" t="str">
        <f t="shared" si="41"/>
        <v/>
      </c>
      <c r="AW7" s="129"/>
      <c r="AX7" s="129"/>
      <c r="AY7" s="50">
        <v>0</v>
      </c>
    </row>
    <row r="8" ht="14.25" hidden="1" customHeight="1">
      <c r="A8" s="488"/>
      <c r="B8" s="488"/>
      <c r="C8" s="488"/>
      <c r="D8" s="488"/>
      <c r="E8" s="500"/>
      <c r="F8" s="500"/>
      <c r="G8" s="500"/>
      <c r="H8" s="500"/>
      <c r="I8" s="512"/>
      <c r="J8" s="512"/>
      <c r="K8" s="507"/>
      <c r="L8" s="490"/>
      <c r="P8" s="132"/>
      <c r="Q8" s="132"/>
      <c r="R8" s="513"/>
      <c r="S8" s="467"/>
      <c r="T8" s="495"/>
      <c r="U8" s="495"/>
      <c r="V8" s="517"/>
      <c r="W8" s="517"/>
      <c r="X8" s="517"/>
      <c r="Y8" s="517"/>
      <c r="Z8" s="517"/>
      <c r="AA8" s="517"/>
      <c r="AB8" s="517"/>
      <c r="AC8" s="522"/>
      <c r="AD8" s="224"/>
      <c r="AE8" s="522"/>
      <c r="AF8" s="224"/>
      <c r="AG8" s="517"/>
      <c r="AH8" s="517"/>
      <c r="AI8" s="517"/>
      <c r="AJ8" s="517"/>
      <c r="AK8" s="517"/>
      <c r="AL8" s="517"/>
      <c r="AM8" s="517"/>
      <c r="AN8" s="522"/>
      <c r="AO8" s="224"/>
      <c r="AP8" s="581"/>
      <c r="AQ8" s="224"/>
      <c r="AR8" s="694"/>
      <c r="AS8" s="693"/>
      <c r="AU8" s="129"/>
      <c r="AV8" s="129" t="str">
        <f t="shared" si="41"/>
        <v/>
      </c>
      <c r="AW8" s="129"/>
      <c r="AX8" s="129"/>
      <c r="AY8" s="50">
        <v>0</v>
      </c>
    </row>
    <row r="9" ht="21" hidden="1" customHeight="1">
      <c r="A9" s="488"/>
      <c r="B9" s="488"/>
      <c r="C9" s="488"/>
      <c r="D9" s="488"/>
      <c r="E9" s="500"/>
      <c r="F9" s="500"/>
      <c r="G9" s="500"/>
      <c r="H9" s="500"/>
      <c r="I9" s="512"/>
      <c r="J9" s="507"/>
      <c r="K9" s="488"/>
      <c r="L9" s="490"/>
      <c r="P9" s="132"/>
      <c r="Q9" s="132"/>
      <c r="R9" s="508"/>
      <c r="S9" s="524"/>
      <c r="T9" s="528" t="s">
        <v>487</v>
      </c>
      <c r="U9" s="214"/>
      <c r="V9" s="214"/>
      <c r="W9" s="214"/>
      <c r="X9" s="214"/>
      <c r="Y9" s="214"/>
      <c r="Z9" s="214"/>
      <c r="AA9" s="214"/>
      <c r="AB9" s="214"/>
      <c r="AC9" s="214"/>
      <c r="AD9" s="214"/>
      <c r="AE9" s="214"/>
      <c r="AF9" s="214"/>
      <c r="AG9" s="214"/>
      <c r="AH9" s="214"/>
      <c r="AI9" s="214"/>
      <c r="AJ9" s="214"/>
      <c r="AK9" s="214"/>
      <c r="AL9" s="214"/>
      <c r="AM9" s="214"/>
      <c r="AN9" s="214"/>
      <c r="AO9" s="214"/>
      <c r="AP9" s="214"/>
      <c r="AQ9" s="214"/>
      <c r="AR9" s="214"/>
      <c r="AS9" s="499" t="s">
        <v>488</v>
      </c>
      <c r="AU9" s="129"/>
      <c r="AV9" s="129" t="str">
        <f t="shared" si="41"/>
        <v xml:space="preserve">Добавить значение признака дифференциации</v>
      </c>
      <c r="AW9" s="129"/>
      <c r="AX9" s="129"/>
      <c r="AY9" s="50">
        <v>0</v>
      </c>
    </row>
    <row r="10" ht="21" hidden="1" customHeight="1">
      <c r="A10" s="488"/>
      <c r="B10" s="488"/>
      <c r="C10" s="488"/>
      <c r="D10" s="488"/>
      <c r="E10" s="500"/>
      <c r="F10" s="500"/>
      <c r="G10" s="500"/>
      <c r="H10" s="500"/>
      <c r="I10" s="507"/>
      <c r="J10" s="488"/>
      <c r="K10" s="488"/>
      <c r="L10" s="490"/>
      <c r="P10" s="132"/>
      <c r="Q10" s="132"/>
      <c r="R10" s="508"/>
      <c r="S10" s="524"/>
      <c r="T10" s="532" t="s">
        <v>417</v>
      </c>
      <c r="U10" s="214"/>
      <c r="V10" s="214"/>
      <c r="W10" s="214"/>
      <c r="X10" s="214"/>
      <c r="Y10" s="214"/>
      <c r="Z10" s="214"/>
      <c r="AA10" s="214"/>
      <c r="AB10" s="214"/>
      <c r="AC10" s="214"/>
      <c r="AD10" s="214"/>
      <c r="AE10" s="214"/>
      <c r="AF10" s="529"/>
      <c r="AG10" s="214"/>
      <c r="AH10" s="214"/>
      <c r="AI10" s="214"/>
      <c r="AJ10" s="214"/>
      <c r="AK10" s="214"/>
      <c r="AL10" s="214"/>
      <c r="AM10" s="214"/>
      <c r="AN10" s="214"/>
      <c r="AO10" s="214"/>
      <c r="AP10" s="214"/>
      <c r="AQ10" s="529"/>
      <c r="AR10" s="214"/>
      <c r="AS10" s="695"/>
      <c r="AU10" s="129"/>
      <c r="AV10" s="129" t="str">
        <f t="shared" ref="AV10:AV54" si="42">IF(T10="","",T10)</f>
        <v xml:space="preserve">Добавить группу потребителей</v>
      </c>
      <c r="AW10" s="129"/>
      <c r="AX10" s="129"/>
      <c r="AY10" s="50">
        <v>0</v>
      </c>
    </row>
    <row r="11" ht="21" hidden="1" customHeight="1">
      <c r="A11" s="488"/>
      <c r="B11" s="488"/>
      <c r="C11" s="488"/>
      <c r="D11" s="488"/>
      <c r="E11" s="500"/>
      <c r="F11" s="500"/>
      <c r="G11" s="500"/>
      <c r="H11" s="489"/>
      <c r="I11" s="488"/>
      <c r="J11" s="488"/>
      <c r="K11" s="488"/>
      <c r="L11" s="490"/>
      <c r="M11" s="491"/>
      <c r="N11" s="491"/>
      <c r="O11" s="53"/>
      <c r="P11" s="143"/>
      <c r="Q11" s="531"/>
      <c r="R11" s="492"/>
      <c r="S11" s="524"/>
      <c r="T11" s="696" t="s">
        <v>489</v>
      </c>
      <c r="U11" s="214"/>
      <c r="V11" s="214"/>
      <c r="W11" s="214"/>
      <c r="X11" s="214"/>
      <c r="Y11" s="214"/>
      <c r="Z11" s="214"/>
      <c r="AA11" s="214"/>
      <c r="AB11" s="214"/>
      <c r="AC11" s="214"/>
      <c r="AD11" s="214"/>
      <c r="AE11" s="214"/>
      <c r="AF11" s="529"/>
      <c r="AG11" s="214"/>
      <c r="AH11" s="214"/>
      <c r="AI11" s="214"/>
      <c r="AJ11" s="214"/>
      <c r="AK11" s="214"/>
      <c r="AL11" s="214"/>
      <c r="AM11" s="214"/>
      <c r="AN11" s="214"/>
      <c r="AO11" s="214"/>
      <c r="AP11" s="214"/>
      <c r="AQ11" s="529"/>
      <c r="AR11" s="214"/>
      <c r="AS11" s="530"/>
      <c r="AU11" s="129"/>
      <c r="AV11" s="129" t="str">
        <f t="shared" si="42"/>
        <v xml:space="preserve">Добавить наименование признака дифференциации</v>
      </c>
      <c r="AW11" s="129"/>
      <c r="AX11" s="129"/>
      <c r="AY11" s="50">
        <v>0</v>
      </c>
    </row>
    <row r="12" s="57" customFormat="1" ht="14.25" hidden="1" customHeight="1">
      <c r="A12" s="133"/>
      <c r="B12" s="133"/>
      <c r="C12" s="133"/>
      <c r="D12" s="133"/>
      <c r="E12" s="500"/>
      <c r="F12" s="489"/>
      <c r="G12" s="133"/>
      <c r="H12" s="133"/>
      <c r="I12" s="133"/>
      <c r="J12" s="133"/>
      <c r="K12" s="133"/>
      <c r="L12" s="212"/>
      <c r="M12" s="537"/>
      <c r="N12" s="537"/>
      <c r="P12" s="167"/>
      <c r="Q12" s="533"/>
      <c r="R12" s="167"/>
      <c r="S12" s="538"/>
      <c r="T12" s="541" t="s">
        <v>212</v>
      </c>
      <c r="U12" s="540"/>
      <c r="V12" s="540"/>
      <c r="W12" s="540"/>
      <c r="X12" s="540"/>
      <c r="Y12" s="540"/>
      <c r="Z12" s="540"/>
      <c r="AA12" s="540"/>
      <c r="AB12" s="540"/>
      <c r="AC12" s="540"/>
      <c r="AD12" s="540"/>
      <c r="AE12" s="540"/>
      <c r="AF12" s="540"/>
      <c r="AG12" s="540"/>
      <c r="AH12" s="540"/>
      <c r="AI12" s="540"/>
      <c r="AJ12" s="540"/>
      <c r="AK12" s="540"/>
      <c r="AL12" s="540"/>
      <c r="AM12" s="540"/>
      <c r="AN12" s="540"/>
      <c r="AO12" s="540"/>
      <c r="AP12" s="540"/>
      <c r="AQ12" s="540"/>
      <c r="AR12" s="540"/>
      <c r="AS12" s="540"/>
      <c r="AU12" s="129"/>
      <c r="AV12" s="129" t="str">
        <f t="shared" si="42"/>
        <v xml:space="preserve">Добавить централизованную систему для дифференциации</v>
      </c>
      <c r="AW12" s="129"/>
      <c r="AX12" s="129"/>
      <c r="AY12" s="57">
        <v>0</v>
      </c>
    </row>
    <row r="13" s="57" customFormat="1" ht="14.25" hidden="1" customHeight="1">
      <c r="A13" s="133"/>
      <c r="B13" s="133"/>
      <c r="C13" s="133"/>
      <c r="D13" s="133"/>
      <c r="E13" s="489"/>
      <c r="F13" s="133"/>
      <c r="G13" s="133"/>
      <c r="H13" s="133"/>
      <c r="I13" s="133"/>
      <c r="J13" s="133"/>
      <c r="K13" s="133"/>
      <c r="L13" s="212"/>
      <c r="M13" s="537"/>
      <c r="N13" s="537"/>
      <c r="O13" s="57"/>
      <c r="P13" s="167"/>
      <c r="Q13" s="533"/>
      <c r="R13" s="167"/>
      <c r="S13" s="538"/>
      <c r="T13" s="541" t="s">
        <v>213</v>
      </c>
      <c r="U13" s="540"/>
      <c r="V13" s="540"/>
      <c r="W13" s="540"/>
      <c r="X13" s="540"/>
      <c r="Y13" s="540"/>
      <c r="Z13" s="540"/>
      <c r="AA13" s="540"/>
      <c r="AB13" s="540"/>
      <c r="AC13" s="540"/>
      <c r="AD13" s="540"/>
      <c r="AE13" s="540"/>
      <c r="AF13" s="540"/>
      <c r="AG13" s="540"/>
      <c r="AH13" s="540"/>
      <c r="AI13" s="540"/>
      <c r="AJ13" s="540"/>
      <c r="AK13" s="540"/>
      <c r="AL13" s="540"/>
      <c r="AM13" s="540"/>
      <c r="AN13" s="540"/>
      <c r="AO13" s="540"/>
      <c r="AP13" s="540"/>
      <c r="AQ13" s="540"/>
      <c r="AR13" s="540"/>
      <c r="AS13" s="540"/>
      <c r="AU13" s="129"/>
      <c r="AV13" s="129" t="str">
        <f t="shared" si="42"/>
        <v xml:space="preserve">Добавить территорию для дифференциации</v>
      </c>
      <c r="AW13" s="129"/>
      <c r="AX13" s="129"/>
      <c r="AY13" s="57">
        <v>0</v>
      </c>
    </row>
    <row r="14" ht="14.25" hidden="1" customHeight="1">
      <c r="AF14" s="50"/>
      <c r="AQ14" s="50"/>
      <c r="AY14" s="50">
        <v>0</v>
      </c>
    </row>
    <row r="15" ht="14.25" hidden="1" customHeight="1">
      <c r="AG15" s="542"/>
      <c r="AH15" s="542"/>
      <c r="AI15" s="542"/>
      <c r="AJ15" s="542"/>
      <c r="AK15" s="542"/>
      <c r="AL15" s="542"/>
      <c r="AM15" s="542"/>
      <c r="AN15" s="544"/>
      <c r="AO15" s="545" t="s">
        <v>67</v>
      </c>
      <c r="AP15" s="544"/>
      <c r="AQ15" s="545" t="s">
        <v>67</v>
      </c>
      <c r="AY15" s="50">
        <v>0</v>
      </c>
    </row>
    <row r="16" ht="14.25" hidden="1" customHeight="1">
      <c r="AG16" s="542"/>
      <c r="AH16" s="542"/>
      <c r="AI16" s="542"/>
      <c r="AJ16" s="542"/>
      <c r="AK16" s="542"/>
      <c r="AL16" s="542"/>
      <c r="AM16" s="542"/>
      <c r="AN16" s="545"/>
      <c r="AO16" s="545"/>
      <c r="AP16" s="545"/>
      <c r="AQ16" s="545"/>
      <c r="AY16" s="50">
        <v>0</v>
      </c>
    </row>
    <row r="17" ht="14.25" hidden="1" customHeight="1">
      <c r="AQ17" s="50"/>
      <c r="AY17" s="50">
        <v>0</v>
      </c>
    </row>
    <row r="18" s="53" customFormat="1" ht="22.5" hidden="1" customHeight="1">
      <c r="L18" s="113"/>
      <c r="M18" s="61"/>
      <c r="N18" s="61"/>
      <c r="O18" s="546" t="s">
        <v>419</v>
      </c>
      <c r="P18" s="61"/>
      <c r="Q18" s="547"/>
      <c r="R18" s="547"/>
      <c r="S18" s="491"/>
      <c r="W18" s="53"/>
      <c r="X18" s="53"/>
      <c r="Y18" s="53"/>
      <c r="Z18" s="53"/>
      <c r="AA18" s="53"/>
      <c r="AB18" s="53"/>
      <c r="AC18" s="546"/>
      <c r="AE18" s="546"/>
      <c r="AF18" s="53"/>
      <c r="AH18" s="53"/>
      <c r="AI18" s="53"/>
      <c r="AJ18" s="53"/>
      <c r="AK18" s="53"/>
      <c r="AL18" s="53"/>
      <c r="AN18" s="546"/>
      <c r="AP18" s="546"/>
      <c r="AQ18" s="53"/>
      <c r="AT18" s="57"/>
      <c r="AU18" s="57"/>
      <c r="AV18" s="57"/>
      <c r="AW18" s="57"/>
      <c r="AX18" s="57"/>
      <c r="AY18" s="53">
        <v>0</v>
      </c>
    </row>
    <row r="19" s="53" customFormat="1" ht="14.25" hidden="1" customHeight="1">
      <c r="L19" s="113"/>
      <c r="M19" s="61"/>
      <c r="N19" s="61"/>
      <c r="O19" s="61"/>
      <c r="P19" s="61"/>
      <c r="Q19" s="547"/>
      <c r="R19" s="547"/>
      <c r="S19" s="491"/>
      <c r="W19" s="53"/>
      <c r="X19" s="53"/>
      <c r="Y19" s="53"/>
      <c r="Z19" s="53"/>
      <c r="AA19" s="53"/>
      <c r="AB19" s="53"/>
      <c r="AF19" s="53"/>
      <c r="AH19" s="53"/>
      <c r="AI19" s="53"/>
      <c r="AJ19" s="53"/>
      <c r="AK19" s="53"/>
      <c r="AL19" s="53"/>
      <c r="AQ19" s="53"/>
      <c r="AT19" s="57"/>
      <c r="AU19" s="57"/>
      <c r="AV19" s="57"/>
      <c r="AW19" s="57"/>
      <c r="AX19" s="57"/>
      <c r="AY19" s="53">
        <v>0</v>
      </c>
    </row>
    <row r="20" s="53" customFormat="1" ht="12" hidden="1" customHeight="1">
      <c r="L20" s="113"/>
      <c r="M20" s="61"/>
      <c r="N20" s="61"/>
      <c r="O20" s="490" t="s">
        <v>420</v>
      </c>
      <c r="P20" s="61"/>
      <c r="Q20" s="697"/>
      <c r="R20" s="697"/>
      <c r="S20" s="491"/>
      <c r="T20" s="53" t="s">
        <v>421</v>
      </c>
      <c r="W20" s="53"/>
      <c r="X20" s="53"/>
      <c r="Y20" s="53"/>
      <c r="Z20" s="53"/>
      <c r="AA20" s="53"/>
      <c r="AB20" s="53"/>
      <c r="AD20" s="151" t="s">
        <v>422</v>
      </c>
      <c r="AF20" s="151" t="s">
        <v>423</v>
      </c>
      <c r="AG20" s="53" t="s">
        <v>421</v>
      </c>
      <c r="AH20" s="53"/>
      <c r="AI20" s="53"/>
      <c r="AJ20" s="53"/>
      <c r="AK20" s="53"/>
      <c r="AL20" s="53"/>
      <c r="AO20" s="151" t="s">
        <v>424</v>
      </c>
      <c r="AQ20" s="151" t="s">
        <v>423</v>
      </c>
      <c r="AY20" s="53">
        <v>0</v>
      </c>
    </row>
    <row r="21" ht="14.25" hidden="1" customHeight="1">
      <c r="O21" s="490"/>
      <c r="AY21" s="50">
        <v>0</v>
      </c>
    </row>
    <row r="22" ht="14.25" hidden="1" customHeight="1">
      <c r="O22" s="490"/>
      <c r="AY22" s="50">
        <v>0</v>
      </c>
    </row>
    <row r="23" ht="14.65" customHeight="1">
      <c r="Q23" s="548"/>
      <c r="R23" s="548"/>
      <c r="S23" s="549"/>
      <c r="T23" s="91"/>
      <c r="U23" s="91"/>
      <c r="V23" s="50"/>
      <c r="W23" s="50"/>
      <c r="X23" s="50"/>
      <c r="Y23" s="50"/>
      <c r="Z23" s="50"/>
      <c r="AA23" s="50"/>
      <c r="AB23" s="50"/>
      <c r="AC23" s="50"/>
      <c r="AD23" s="50"/>
      <c r="AE23" s="50"/>
      <c r="AF23" s="50"/>
      <c r="AG23" s="50"/>
      <c r="AH23" s="50"/>
      <c r="AI23" s="50"/>
      <c r="AJ23" s="50"/>
      <c r="AK23" s="50"/>
      <c r="AL23" s="50"/>
      <c r="AM23" s="50"/>
      <c r="AN23" s="50"/>
      <c r="AO23" s="50"/>
      <c r="AP23" s="50"/>
      <c r="AQ23" s="50"/>
      <c r="AY23" s="50">
        <v>14</v>
      </c>
    </row>
    <row r="24" ht="26.25" customHeight="1">
      <c r="Q24" s="548"/>
      <c r="R24" s="548"/>
      <c r="S24" s="461" t="str">
        <f>IF(TEMPLATE_GROUP="P",PT_P_FORM_HOTVSNA_4_NAME_FORM,PT_R_FORM_HOTVSNA_16_NAME_FORM)</f>
        <v xml:space="preserve">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461"/>
      <c r="U24" s="461"/>
      <c r="V24" s="461"/>
      <c r="W24" s="461"/>
      <c r="X24" s="461"/>
      <c r="Y24" s="461"/>
      <c r="Z24" s="461"/>
      <c r="AA24" s="461"/>
      <c r="AB24" s="461"/>
      <c r="AC24" s="461"/>
      <c r="AD24" s="461"/>
      <c r="AE24" s="461"/>
      <c r="AF24" s="461"/>
      <c r="AG24" s="461"/>
      <c r="AH24" s="461"/>
      <c r="AI24" s="461"/>
      <c r="AJ24" s="461"/>
      <c r="AK24" s="461"/>
      <c r="AL24" s="461"/>
      <c r="AM24" s="461"/>
      <c r="AN24" s="461"/>
      <c r="AO24" s="461"/>
      <c r="AP24" s="461"/>
      <c r="AQ24" s="240"/>
      <c r="AY24" s="50">
        <v>25</v>
      </c>
    </row>
    <row r="25" ht="14.65" customHeight="1">
      <c r="Q25" s="548"/>
      <c r="R25" s="548"/>
      <c r="S25" s="316" t="str">
        <f>IF(org=0,"Не определено",org)</f>
        <v xml:space="preserve">АО "ДГК"</v>
      </c>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6"/>
      <c r="AQ25" s="240"/>
      <c r="AY25" s="50">
        <v>14</v>
      </c>
    </row>
    <row r="26" ht="14.25" hidden="1" customHeight="1">
      <c r="Q26" s="548"/>
      <c r="R26" s="548"/>
      <c r="S26" s="549"/>
      <c r="T26" s="91"/>
      <c r="U26" s="91"/>
      <c r="V26" s="550"/>
      <c r="W26" s="550"/>
      <c r="X26" s="550"/>
      <c r="Y26" s="550"/>
      <c r="Z26" s="550"/>
      <c r="AA26" s="550"/>
      <c r="AB26" s="550"/>
      <c r="AC26" s="550"/>
      <c r="AD26" s="550"/>
      <c r="AE26" s="550"/>
      <c r="AF26" s="550"/>
      <c r="AG26" s="550"/>
      <c r="AH26" s="550"/>
      <c r="AI26" s="550"/>
      <c r="AJ26" s="550"/>
      <c r="AK26" s="550"/>
      <c r="AL26" s="550"/>
      <c r="AM26" s="550"/>
      <c r="AN26" s="550"/>
      <c r="AO26" s="550"/>
      <c r="AP26" s="550"/>
      <c r="AQ26" s="550"/>
      <c r="AR26" s="50"/>
      <c r="AY26" s="50">
        <v>0</v>
      </c>
    </row>
    <row r="27" s="184" customFormat="1" ht="25.5" hidden="1" customHeight="1">
      <c r="A27" s="151"/>
      <c r="B27" s="151"/>
      <c r="C27" s="151"/>
      <c r="D27" s="151"/>
      <c r="E27" s="151"/>
      <c r="F27" s="151"/>
      <c r="G27" s="151"/>
      <c r="H27" s="151"/>
      <c r="I27" s="151"/>
      <c r="J27" s="151"/>
      <c r="K27" s="151"/>
      <c r="L27" s="490"/>
      <c r="M27" s="151"/>
      <c r="N27" s="151"/>
      <c r="O27" s="151"/>
      <c r="S27" s="551" t="s">
        <v>42</v>
      </c>
      <c r="T27" s="551"/>
      <c r="U27" s="552"/>
      <c r="V27" s="553" t="str">
        <f>IF(TITLE_NAME_OR_PR_CHANGE="",IF(TITLE_NAME_OR_PR="","",TITLE_NAME_OR_PR),TITLE_NAME_OR_PR_CHANGE)</f>
        <v/>
      </c>
      <c r="W27" s="553"/>
      <c r="X27" s="553"/>
      <c r="Y27" s="553"/>
      <c r="Z27" s="553"/>
      <c r="AA27" s="553"/>
      <c r="AB27" s="553"/>
      <c r="AC27" s="553"/>
      <c r="AD27" s="553"/>
      <c r="AE27" s="553"/>
      <c r="AF27" s="50"/>
      <c r="AG27" s="553" t="str">
        <f>IF(TITLE_NAME_OR_PR_CHANGE="",IF(TITLE_NAME_OR_PR="","",TITLE_NAME_OR_PR),TITLE_NAME_OR_PR_CHANGE)</f>
        <v/>
      </c>
      <c r="AH27" s="553"/>
      <c r="AI27" s="553"/>
      <c r="AJ27" s="553"/>
      <c r="AK27" s="553"/>
      <c r="AL27" s="553"/>
      <c r="AM27" s="553"/>
      <c r="AN27" s="553"/>
      <c r="AO27" s="553"/>
      <c r="AP27" s="553"/>
      <c r="AQ27" s="50"/>
      <c r="AR27" s="50"/>
      <c r="AS27" s="554"/>
      <c r="AT27" s="129"/>
      <c r="AU27" s="129"/>
      <c r="AV27" s="129"/>
      <c r="AW27" s="129"/>
      <c r="AX27" s="129"/>
      <c r="AY27" s="184">
        <v>0</v>
      </c>
    </row>
    <row r="28" s="184" customFormat="1" ht="18.75" hidden="1" customHeight="1">
      <c r="A28" s="151"/>
      <c r="B28" s="151"/>
      <c r="C28" s="151"/>
      <c r="D28" s="151"/>
      <c r="E28" s="151"/>
      <c r="F28" s="151"/>
      <c r="G28" s="151"/>
      <c r="H28" s="151"/>
      <c r="I28" s="151"/>
      <c r="J28" s="151"/>
      <c r="K28" s="151"/>
      <c r="L28" s="490"/>
      <c r="M28" s="151"/>
      <c r="N28" s="151"/>
      <c r="O28" s="151"/>
      <c r="S28" s="551" t="s">
        <v>425</v>
      </c>
      <c r="T28" s="551"/>
      <c r="U28" s="552"/>
      <c r="V28" s="555">
        <f>IF(TITLE_DATE_PR_CHANGE="",IF(TITLE_DATE_PR="","",TITLE_DATE_PR),TITLE_DATE_PR_CHANGE)</f>
        <v>46212.428518518522</v>
      </c>
      <c r="W28" s="555"/>
      <c r="X28" s="555"/>
      <c r="Y28" s="555"/>
      <c r="Z28" s="555"/>
      <c r="AA28" s="555"/>
      <c r="AB28" s="555"/>
      <c r="AC28" s="555"/>
      <c r="AD28" s="555"/>
      <c r="AE28" s="555"/>
      <c r="AF28" s="50"/>
      <c r="AG28" s="555">
        <f>IF(TITLE_DATE_PR_CHANGE="",IF(TITLE_DATE_PR="","",TITLE_DATE_PR),TITLE_DATE_PR_CHANGE)</f>
        <v>46212.428518518522</v>
      </c>
      <c r="AH28" s="555"/>
      <c r="AI28" s="555"/>
      <c r="AJ28" s="555"/>
      <c r="AK28" s="555"/>
      <c r="AL28" s="555"/>
      <c r="AM28" s="555"/>
      <c r="AN28" s="555"/>
      <c r="AO28" s="555"/>
      <c r="AP28" s="555"/>
      <c r="AQ28" s="50"/>
      <c r="AR28" s="50"/>
      <c r="AS28" s="554"/>
      <c r="AT28" s="129"/>
      <c r="AU28" s="129"/>
      <c r="AV28" s="129"/>
      <c r="AW28" s="129"/>
      <c r="AX28" s="129"/>
      <c r="AY28" s="184">
        <v>0</v>
      </c>
    </row>
    <row r="29" s="184" customFormat="1" ht="18.75" hidden="1" customHeight="1">
      <c r="A29" s="151"/>
      <c r="B29" s="151"/>
      <c r="C29" s="151"/>
      <c r="D29" s="151"/>
      <c r="E29" s="151"/>
      <c r="F29" s="151"/>
      <c r="G29" s="151"/>
      <c r="H29" s="151"/>
      <c r="I29" s="151"/>
      <c r="J29" s="151"/>
      <c r="K29" s="151"/>
      <c r="L29" s="490"/>
      <c r="M29" s="151"/>
      <c r="N29" s="151"/>
      <c r="O29" s="151"/>
      <c r="S29" s="551" t="s">
        <v>426</v>
      </c>
      <c r="T29" s="551"/>
      <c r="U29" s="552"/>
      <c r="V29" s="553" t="str">
        <f>IF(TITLE_NUMBER_PR_CHANGE="",IF(TITLE_NUMBER_PR="","",TITLE_NUMBER_PR),TITLE_NUMBER_PR_CHANGE)</f>
        <v>Исх-260/1397</v>
      </c>
      <c r="W29" s="553"/>
      <c r="X29" s="553"/>
      <c r="Y29" s="553"/>
      <c r="Z29" s="553"/>
      <c r="AA29" s="553"/>
      <c r="AB29" s="553"/>
      <c r="AC29" s="553"/>
      <c r="AD29" s="553"/>
      <c r="AE29" s="553"/>
      <c r="AF29" s="50"/>
      <c r="AG29" s="553" t="str">
        <f>IF(TITLE_NUMBER_PR_CHANGE="",IF(TITLE_NUMBER_PR="","",TITLE_NUMBER_PR),TITLE_NUMBER_PR_CHANGE)</f>
        <v>Исх-260/1397</v>
      </c>
      <c r="AH29" s="553"/>
      <c r="AI29" s="553"/>
      <c r="AJ29" s="553"/>
      <c r="AK29" s="553"/>
      <c r="AL29" s="553"/>
      <c r="AM29" s="553"/>
      <c r="AN29" s="553"/>
      <c r="AO29" s="553"/>
      <c r="AP29" s="553"/>
      <c r="AQ29" s="50"/>
      <c r="AR29" s="50"/>
      <c r="AS29" s="554"/>
      <c r="AT29" s="129"/>
      <c r="AU29" s="129"/>
      <c r="AV29" s="129"/>
      <c r="AW29" s="129"/>
      <c r="AX29" s="129"/>
      <c r="AY29" s="184">
        <v>0</v>
      </c>
    </row>
    <row r="30" s="184" customFormat="1" ht="18.75" hidden="1" customHeight="1">
      <c r="A30" s="151"/>
      <c r="B30" s="151"/>
      <c r="C30" s="151"/>
      <c r="D30" s="151"/>
      <c r="E30" s="151"/>
      <c r="F30" s="151"/>
      <c r="G30" s="151"/>
      <c r="H30" s="151"/>
      <c r="I30" s="151"/>
      <c r="J30" s="151"/>
      <c r="K30" s="151"/>
      <c r="L30" s="490"/>
      <c r="M30" s="151"/>
      <c r="N30" s="151"/>
      <c r="O30" s="151"/>
      <c r="S30" s="551" t="s">
        <v>43</v>
      </c>
      <c r="T30" s="551"/>
      <c r="U30" s="552"/>
      <c r="V30" s="553" t="str">
        <f>IF(TITLE_IST_PUB_CHANGE="",IF(TITLE_IST_PUB="","",TITLE_IST_PUB),TITLE_IST_PUB_CHANGE)</f>
        <v/>
      </c>
      <c r="W30" s="553"/>
      <c r="X30" s="553"/>
      <c r="Y30" s="553"/>
      <c r="Z30" s="553"/>
      <c r="AA30" s="553"/>
      <c r="AB30" s="553"/>
      <c r="AC30" s="553"/>
      <c r="AD30" s="553"/>
      <c r="AE30" s="553"/>
      <c r="AF30" s="50"/>
      <c r="AG30" s="553" t="str">
        <f>IF(TITLE_IST_PUB_CHANGE="",IF(TITLE_IST_PUB="","",TITLE_IST_PUB),TITLE_IST_PUB_CHANGE)</f>
        <v/>
      </c>
      <c r="AH30" s="553"/>
      <c r="AI30" s="553"/>
      <c r="AJ30" s="553"/>
      <c r="AK30" s="553"/>
      <c r="AL30" s="553"/>
      <c r="AM30" s="553"/>
      <c r="AN30" s="553"/>
      <c r="AO30" s="553"/>
      <c r="AP30" s="553"/>
      <c r="AQ30" s="50"/>
      <c r="AR30" s="50"/>
      <c r="AS30" s="554"/>
      <c r="AT30" s="129"/>
      <c r="AU30" s="129"/>
      <c r="AV30" s="129"/>
      <c r="AW30" s="129"/>
      <c r="AX30" s="129"/>
      <c r="AY30" s="184">
        <v>0</v>
      </c>
    </row>
    <row r="31" ht="14.25" customHeight="1">
      <c r="Q31" s="548"/>
      <c r="R31" s="548"/>
      <c r="S31" s="549"/>
      <c r="T31" s="91"/>
      <c r="U31" s="91"/>
      <c r="V31" s="550"/>
      <c r="W31" s="550"/>
      <c r="X31" s="550"/>
      <c r="Y31" s="550"/>
      <c r="Z31" s="550"/>
      <c r="AA31" s="550"/>
      <c r="AB31" s="550"/>
      <c r="AC31" s="550"/>
      <c r="AD31" s="550"/>
      <c r="AE31" s="550"/>
      <c r="AF31" s="550"/>
      <c r="AG31" s="550"/>
      <c r="AH31" s="550"/>
      <c r="AI31" s="550"/>
      <c r="AJ31" s="550"/>
      <c r="AK31" s="550"/>
      <c r="AL31" s="550"/>
      <c r="AM31" s="550"/>
      <c r="AN31" s="550"/>
      <c r="AO31" s="550"/>
      <c r="AP31" s="550"/>
      <c r="AQ31" s="550"/>
      <c r="AR31" s="50"/>
      <c r="AY31" s="50">
        <v>0</v>
      </c>
    </row>
    <row r="32" s="184" customFormat="1" ht="18.75" customHeight="1">
      <c r="A32" s="151"/>
      <c r="B32" s="151"/>
      <c r="C32" s="151"/>
      <c r="D32" s="151"/>
      <c r="E32" s="151"/>
      <c r="F32" s="151"/>
      <c r="G32" s="151"/>
      <c r="H32" s="151"/>
      <c r="I32" s="151"/>
      <c r="J32" s="151"/>
      <c r="K32" s="151"/>
      <c r="L32" s="490"/>
      <c r="M32" s="151"/>
      <c r="N32" s="151"/>
      <c r="O32" s="151"/>
      <c r="S32" s="551" t="s">
        <v>427</v>
      </c>
      <c r="T32" s="551"/>
      <c r="U32" s="552"/>
      <c r="V32" s="555">
        <f>IF(TITLE_DATE_PR_CHANGE="",IF(TITLE_DATE_PR="","",TITLE_DATE_PR),TITLE_DATE_PR_CHANGE)</f>
        <v>46212.428518518522</v>
      </c>
      <c r="W32" s="555"/>
      <c r="X32" s="555"/>
      <c r="Y32" s="555"/>
      <c r="Z32" s="555"/>
      <c r="AA32" s="555"/>
      <c r="AB32" s="555"/>
      <c r="AC32" s="555"/>
      <c r="AD32" s="555"/>
      <c r="AE32" s="555"/>
      <c r="AF32" s="50"/>
      <c r="AG32" s="555">
        <f>IF(TITLE_DATE_PR_CHANGE="",IF(TITLE_DATE_PR="","",TITLE_DATE_PR),TITLE_DATE_PR_CHANGE)</f>
        <v>46212.428518518522</v>
      </c>
      <c r="AH32" s="555"/>
      <c r="AI32" s="555"/>
      <c r="AJ32" s="555"/>
      <c r="AK32" s="555"/>
      <c r="AL32" s="555"/>
      <c r="AM32" s="555"/>
      <c r="AN32" s="555"/>
      <c r="AO32" s="555"/>
      <c r="AP32" s="555"/>
      <c r="AQ32" s="50"/>
      <c r="AR32" s="50"/>
      <c r="AS32" s="554"/>
      <c r="AT32" s="129"/>
      <c r="AU32" s="129"/>
      <c r="AV32" s="129"/>
      <c r="AW32" s="129"/>
      <c r="AX32" s="129"/>
      <c r="AY32" s="184">
        <v>0</v>
      </c>
    </row>
    <row r="33" s="184" customFormat="1" ht="18.75" customHeight="1">
      <c r="A33" s="151"/>
      <c r="B33" s="151"/>
      <c r="C33" s="151"/>
      <c r="D33" s="151"/>
      <c r="E33" s="151"/>
      <c r="F33" s="151"/>
      <c r="G33" s="151"/>
      <c r="H33" s="151"/>
      <c r="I33" s="151"/>
      <c r="J33" s="151"/>
      <c r="K33" s="151"/>
      <c r="L33" s="490"/>
      <c r="M33" s="151"/>
      <c r="N33" s="151"/>
      <c r="O33" s="151"/>
      <c r="S33" s="551" t="s">
        <v>428</v>
      </c>
      <c r="T33" s="551"/>
      <c r="U33" s="552"/>
      <c r="V33" s="553" t="str">
        <f>IF(TITLE_NUMBER_PR_CHANGE="",IF(TITLE_NUMBER_PR="","",TITLE_NUMBER_PR),TITLE_NUMBER_PR_CHANGE)</f>
        <v>Исх-260/1397</v>
      </c>
      <c r="W33" s="553"/>
      <c r="X33" s="553"/>
      <c r="Y33" s="553"/>
      <c r="Z33" s="553"/>
      <c r="AA33" s="553"/>
      <c r="AB33" s="553"/>
      <c r="AC33" s="553"/>
      <c r="AD33" s="553"/>
      <c r="AE33" s="553"/>
      <c r="AF33" s="50"/>
      <c r="AG33" s="553" t="str">
        <f>IF(TITLE_NUMBER_PR_CHANGE="",IF(TITLE_NUMBER_PR="","",TITLE_NUMBER_PR),TITLE_NUMBER_PR_CHANGE)</f>
        <v>Исх-260/1397</v>
      </c>
      <c r="AH33" s="553"/>
      <c r="AI33" s="553"/>
      <c r="AJ33" s="553"/>
      <c r="AK33" s="553"/>
      <c r="AL33" s="553"/>
      <c r="AM33" s="553"/>
      <c r="AN33" s="553"/>
      <c r="AO33" s="553"/>
      <c r="AP33" s="553"/>
      <c r="AQ33" s="50"/>
      <c r="AR33" s="50"/>
      <c r="AS33" s="554"/>
      <c r="AT33" s="129"/>
      <c r="AU33" s="129"/>
      <c r="AV33" s="129"/>
      <c r="AW33" s="129"/>
      <c r="AX33" s="129"/>
      <c r="AY33" s="184">
        <v>0</v>
      </c>
    </row>
    <row r="34" s="184" customFormat="1" ht="1.05" customHeight="1">
      <c r="A34" s="151"/>
      <c r="B34" s="151"/>
      <c r="C34" s="151"/>
      <c r="D34" s="151"/>
      <c r="E34" s="151"/>
      <c r="F34" s="151"/>
      <c r="G34" s="151"/>
      <c r="H34" s="151"/>
      <c r="I34" s="151"/>
      <c r="J34" s="151"/>
      <c r="K34" s="151"/>
      <c r="L34" s="490"/>
      <c r="M34" s="151"/>
      <c r="N34" s="151"/>
      <c r="O34" s="151"/>
      <c r="S34" s="50"/>
      <c r="T34" s="50"/>
      <c r="U34" s="140"/>
      <c r="V34" s="50"/>
      <c r="W34" s="50"/>
      <c r="X34" s="50"/>
      <c r="Y34" s="50"/>
      <c r="Z34" s="50"/>
      <c r="AA34" s="50"/>
      <c r="AB34" s="50"/>
      <c r="AC34" s="50"/>
      <c r="AD34" s="50"/>
      <c r="AE34" s="50"/>
      <c r="AF34" s="57" t="s">
        <v>429</v>
      </c>
      <c r="AG34" s="50"/>
      <c r="AH34" s="50"/>
      <c r="AI34" s="50"/>
      <c r="AJ34" s="50"/>
      <c r="AK34" s="50"/>
      <c r="AL34" s="50"/>
      <c r="AM34" s="50"/>
      <c r="AN34" s="50"/>
      <c r="AO34" s="50"/>
      <c r="AP34" s="50"/>
      <c r="AQ34" s="57" t="s">
        <v>429</v>
      </c>
      <c r="AT34" s="129"/>
      <c r="AU34" s="129"/>
      <c r="AV34" s="129"/>
      <c r="AW34" s="129"/>
      <c r="AX34" s="129"/>
      <c r="AY34" s="184">
        <v>1</v>
      </c>
    </row>
    <row r="35" ht="14.65" customHeight="1">
      <c r="Q35" s="548"/>
      <c r="R35" s="548"/>
      <c r="S35" s="549"/>
      <c r="T35" s="91"/>
      <c r="U35" s="556"/>
      <c r="V35" s="557"/>
      <c r="W35" s="557"/>
      <c r="X35" s="557"/>
      <c r="Y35" s="557"/>
      <c r="Z35" s="557"/>
      <c r="AA35" s="557"/>
      <c r="AB35" s="557"/>
      <c r="AC35" s="557"/>
      <c r="AD35" s="557"/>
      <c r="AE35" s="557"/>
      <c r="AF35" s="557"/>
      <c r="AG35" s="557"/>
      <c r="AH35" s="557"/>
      <c r="AI35" s="557"/>
      <c r="AJ35" s="557"/>
      <c r="AK35" s="557"/>
      <c r="AL35" s="557"/>
      <c r="AM35" s="557"/>
      <c r="AN35" s="557"/>
      <c r="AO35" s="557"/>
      <c r="AP35" s="557"/>
      <c r="AQ35" s="557"/>
      <c r="AY35" s="50">
        <v>14</v>
      </c>
    </row>
    <row r="36" ht="14.65" customHeight="1">
      <c r="Q36" s="548"/>
      <c r="R36" s="548"/>
      <c r="S36" s="157" t="s">
        <v>305</v>
      </c>
      <c r="T36" s="157"/>
      <c r="U36" s="157"/>
      <c r="V36" s="157"/>
      <c r="W36" s="157"/>
      <c r="X36" s="157"/>
      <c r="Y36" s="157"/>
      <c r="Z36" s="157"/>
      <c r="AA36" s="157"/>
      <c r="AB36" s="157"/>
      <c r="AC36" s="157"/>
      <c r="AD36" s="157"/>
      <c r="AE36" s="157"/>
      <c r="AF36" s="157"/>
      <c r="AG36" s="157"/>
      <c r="AH36" s="157"/>
      <c r="AI36" s="157"/>
      <c r="AJ36" s="157"/>
      <c r="AK36" s="157"/>
      <c r="AL36" s="157"/>
      <c r="AM36" s="157"/>
      <c r="AN36" s="157"/>
      <c r="AO36" s="157"/>
      <c r="AP36" s="157"/>
      <c r="AQ36" s="157"/>
      <c r="AR36" s="157"/>
      <c r="AS36" s="157" t="s">
        <v>306</v>
      </c>
      <c r="AY36" s="50">
        <v>14</v>
      </c>
    </row>
    <row r="37" ht="14.65" customHeight="1">
      <c r="Q37" s="548"/>
      <c r="R37" s="548"/>
      <c r="S37" s="493" t="s">
        <v>89</v>
      </c>
      <c r="T37" s="358" t="s">
        <v>430</v>
      </c>
      <c r="U37" s="558"/>
      <c r="V37" s="559" t="s">
        <v>431</v>
      </c>
      <c r="W37" s="593"/>
      <c r="X37" s="593"/>
      <c r="Y37" s="593"/>
      <c r="Z37" s="593"/>
      <c r="AA37" s="593"/>
      <c r="AB37" s="593"/>
      <c r="AC37" s="560"/>
      <c r="AD37" s="560"/>
      <c r="AE37" s="561"/>
      <c r="AF37" s="562" t="s">
        <v>432</v>
      </c>
      <c r="AG37" s="559" t="s">
        <v>431</v>
      </c>
      <c r="AH37" s="560"/>
      <c r="AI37" s="560"/>
      <c r="AJ37" s="560"/>
      <c r="AK37" s="560"/>
      <c r="AL37" s="560"/>
      <c r="AM37" s="560"/>
      <c r="AN37" s="560"/>
      <c r="AO37" s="560"/>
      <c r="AP37" s="561"/>
      <c r="AQ37" s="562" t="s">
        <v>433</v>
      </c>
      <c r="AR37" s="563" t="s">
        <v>434</v>
      </c>
      <c r="AS37" s="157"/>
      <c r="AY37" s="50">
        <v>14</v>
      </c>
    </row>
    <row r="38" ht="19.949999999999999" customHeight="1">
      <c r="Q38" s="548"/>
      <c r="R38" s="548"/>
      <c r="S38" s="493"/>
      <c r="T38" s="358"/>
      <c r="U38" s="564"/>
      <c r="V38" s="157" t="s">
        <v>536</v>
      </c>
      <c r="W38" s="714" t="s">
        <v>537</v>
      </c>
      <c r="X38" s="714"/>
      <c r="Y38" s="714"/>
      <c r="Z38" s="714" t="s">
        <v>538</v>
      </c>
      <c r="AA38" s="714"/>
      <c r="AB38" s="714"/>
      <c r="AC38" s="317" t="s">
        <v>438</v>
      </c>
      <c r="AD38" s="635"/>
      <c r="AE38" s="318"/>
      <c r="AF38" s="566"/>
      <c r="AG38" s="157" t="s">
        <v>536</v>
      </c>
      <c r="AH38" s="714" t="s">
        <v>537</v>
      </c>
      <c r="AI38" s="714"/>
      <c r="AJ38" s="714"/>
      <c r="AK38" s="714" t="s">
        <v>538</v>
      </c>
      <c r="AL38" s="714"/>
      <c r="AM38" s="714"/>
      <c r="AN38" s="317" t="s">
        <v>438</v>
      </c>
      <c r="AO38" s="635"/>
      <c r="AP38" s="318"/>
      <c r="AQ38" s="566"/>
      <c r="AR38" s="567"/>
      <c r="AS38" s="157"/>
      <c r="AY38" s="50">
        <v>19</v>
      </c>
    </row>
    <row r="39" s="50" customFormat="1" ht="19.949999999999999" customHeight="1">
      <c r="A39" s="53"/>
      <c r="B39" s="53"/>
      <c r="C39" s="53"/>
      <c r="D39" s="53"/>
      <c r="E39" s="53"/>
      <c r="F39" s="53"/>
      <c r="G39" s="53"/>
      <c r="H39" s="53"/>
      <c r="I39" s="53"/>
      <c r="J39" s="53"/>
      <c r="K39" s="53"/>
      <c r="L39" s="113"/>
      <c r="M39" s="61"/>
      <c r="N39" s="61"/>
      <c r="O39" s="61"/>
      <c r="P39" s="60"/>
      <c r="Q39" s="548"/>
      <c r="R39" s="548"/>
      <c r="S39" s="493"/>
      <c r="T39" s="358"/>
      <c r="U39" s="564"/>
      <c r="V39" s="157"/>
      <c r="W39" s="714" t="s">
        <v>539</v>
      </c>
      <c r="X39" s="714" t="s">
        <v>540</v>
      </c>
      <c r="Y39" s="714"/>
      <c r="Z39" s="714" t="s">
        <v>541</v>
      </c>
      <c r="AA39" s="714" t="s">
        <v>540</v>
      </c>
      <c r="AB39" s="714"/>
      <c r="AC39" s="323"/>
      <c r="AD39" s="636"/>
      <c r="AE39" s="324"/>
      <c r="AF39" s="566"/>
      <c r="AG39" s="157"/>
      <c r="AH39" s="714" t="s">
        <v>539</v>
      </c>
      <c r="AI39" s="714" t="s">
        <v>540</v>
      </c>
      <c r="AJ39" s="714"/>
      <c r="AK39" s="714" t="s">
        <v>541</v>
      </c>
      <c r="AL39" s="714" t="s">
        <v>540</v>
      </c>
      <c r="AM39" s="714"/>
      <c r="AN39" s="323"/>
      <c r="AO39" s="636"/>
      <c r="AP39" s="324"/>
      <c r="AQ39" s="566"/>
      <c r="AR39" s="567"/>
      <c r="AS39" s="157"/>
      <c r="AT39" s="57"/>
      <c r="AU39" s="57"/>
      <c r="AV39" s="57"/>
      <c r="AW39" s="57"/>
      <c r="AX39" s="57"/>
      <c r="AY39" s="50">
        <v>19</v>
      </c>
    </row>
    <row r="40" ht="61.950000000000003" customHeight="1">
      <c r="A40" s="151"/>
      <c r="B40" s="151" t="s">
        <v>135</v>
      </c>
      <c r="C40" s="151" t="s">
        <v>136</v>
      </c>
      <c r="D40" s="151" t="s">
        <v>137</v>
      </c>
      <c r="E40" s="490" t="s">
        <v>439</v>
      </c>
      <c r="F40" s="490" t="s">
        <v>440</v>
      </c>
      <c r="G40" s="490" t="s">
        <v>441</v>
      </c>
      <c r="H40" s="490"/>
      <c r="I40" s="490" t="s">
        <v>491</v>
      </c>
      <c r="J40" s="490" t="s">
        <v>444</v>
      </c>
      <c r="K40" s="490" t="s">
        <v>492</v>
      </c>
      <c r="L40" s="490" t="s">
        <v>420</v>
      </c>
      <c r="Q40" s="548"/>
      <c r="R40" s="548"/>
      <c r="S40" s="493"/>
      <c r="T40" s="358"/>
      <c r="U40" s="568"/>
      <c r="V40" s="157"/>
      <c r="W40" s="714"/>
      <c r="X40" s="714" t="s">
        <v>542</v>
      </c>
      <c r="Y40" s="714" t="s">
        <v>543</v>
      </c>
      <c r="Z40" s="714"/>
      <c r="AA40" s="714" t="s">
        <v>544</v>
      </c>
      <c r="AB40" s="714" t="s">
        <v>545</v>
      </c>
      <c r="AC40" s="246" t="s">
        <v>448</v>
      </c>
      <c r="AD40" s="424" t="s">
        <v>449</v>
      </c>
      <c r="AE40" s="426"/>
      <c r="AF40" s="570"/>
      <c r="AG40" s="157"/>
      <c r="AH40" s="714"/>
      <c r="AI40" s="714" t="s">
        <v>542</v>
      </c>
      <c r="AJ40" s="714" t="s">
        <v>543</v>
      </c>
      <c r="AK40" s="714"/>
      <c r="AL40" s="714" t="s">
        <v>544</v>
      </c>
      <c r="AM40" s="714" t="s">
        <v>545</v>
      </c>
      <c r="AN40" s="246" t="s">
        <v>448</v>
      </c>
      <c r="AO40" s="424" t="s">
        <v>449</v>
      </c>
      <c r="AP40" s="426"/>
      <c r="AQ40" s="570"/>
      <c r="AR40" s="571"/>
      <c r="AS40" s="157"/>
      <c r="AY40" s="50">
        <v>59</v>
      </c>
    </row>
    <row r="41" s="131" customFormat="1" ht="11.25" hidden="1" customHeight="1">
      <c r="A41" s="151"/>
      <c r="B41" s="151"/>
      <c r="C41" s="151"/>
      <c r="D41" s="151"/>
      <c r="E41" s="151"/>
      <c r="F41" s="151"/>
      <c r="G41" s="151"/>
      <c r="H41" s="151"/>
      <c r="I41" s="151"/>
      <c r="J41" s="151"/>
      <c r="K41" s="151"/>
      <c r="L41" s="490"/>
      <c r="M41" s="61"/>
      <c r="N41" s="61"/>
      <c r="O41" s="61"/>
      <c r="P41" s="572"/>
      <c r="Q41" s="573"/>
      <c r="R41" s="574">
        <v>1</v>
      </c>
      <c r="S41" s="575" t="s">
        <v>109</v>
      </c>
      <c r="T41" s="576" t="s">
        <v>110</v>
      </c>
      <c r="U41" s="577" t="str">
        <f ca="1">OFFSET(U41,0,-1)</f>
        <v>2</v>
      </c>
      <c r="V41" s="578">
        <f ca="1">OFFSET(V41,0,-1)+1</f>
        <v>3</v>
      </c>
      <c r="W41" s="435"/>
      <c r="X41" s="435"/>
      <c r="Y41" s="435"/>
      <c r="Z41" s="435"/>
      <c r="AA41" s="435"/>
      <c r="AB41" s="435"/>
      <c r="AC41" s="578">
        <f ca="1">OFFSET(AC41,0,-1)+1</f>
        <v>1</v>
      </c>
      <c r="AD41" s="578">
        <f ca="1">OFFSET(AD41,0,-1)+1</f>
        <v>2</v>
      </c>
      <c r="AE41" s="578"/>
      <c r="AF41" s="578">
        <f ca="1">OFFSET(AF41,0,-2)+1</f>
        <v>3</v>
      </c>
      <c r="AG41" s="578">
        <f ca="1">OFFSET(AG41,0,-1)+1</f>
        <v>4</v>
      </c>
      <c r="AH41" s="578"/>
      <c r="AI41" s="578"/>
      <c r="AJ41" s="578"/>
      <c r="AK41" s="578"/>
      <c r="AL41" s="578"/>
      <c r="AM41" s="578">
        <f ca="1">OFFSET(AM41,0,-1)+1</f>
        <v>1</v>
      </c>
      <c r="AN41" s="578">
        <f ca="1">OFFSET(AN41,0,-1)+1</f>
        <v>2</v>
      </c>
      <c r="AO41" s="578">
        <f ca="1">OFFSET(AO41,0,-1)+1</f>
        <v>3</v>
      </c>
      <c r="AP41" s="578"/>
      <c r="AQ41" s="578">
        <f ca="1">OFFSET(AQ41,0,-2)+1</f>
        <v>4</v>
      </c>
      <c r="AR41" s="577">
        <f ca="1">OFFSET(AR41,0,-1)</f>
        <v>4</v>
      </c>
      <c r="AS41" s="578">
        <f ca="1">OFFSET(AS41,0,-1)+1</f>
        <v>5</v>
      </c>
      <c r="AT41" s="57"/>
      <c r="AU41" s="57"/>
      <c r="AV41" s="57"/>
      <c r="AW41" s="57"/>
      <c r="AX41" s="57"/>
      <c r="AY41" s="131">
        <v>0</v>
      </c>
    </row>
    <row r="42" ht="24" customHeight="1">
      <c r="A42" s="488" t="s">
        <v>256</v>
      </c>
      <c r="B42" s="488"/>
      <c r="C42" s="488"/>
      <c r="D42" s="488"/>
      <c r="E42" s="489">
        <v>1</v>
      </c>
      <c r="F42" s="488"/>
      <c r="G42" s="488"/>
      <c r="H42" s="488"/>
      <c r="I42" s="488"/>
      <c r="J42" s="488"/>
      <c r="K42" s="488"/>
      <c r="L42" s="490"/>
      <c r="M42" s="491"/>
      <c r="N42" s="491"/>
      <c r="O42" s="491"/>
      <c r="P42" s="60"/>
      <c r="Q42" s="143"/>
      <c r="R42" s="492"/>
      <c r="S42" s="493">
        <f>INDEX(PT_DIFFERENTIATION_NUM_NTAR,MATCH(A42,PT_DIFFERENTIATION_NTAR_ID,0))</f>
        <v>0</v>
      </c>
      <c r="T42" s="494" t="s">
        <v>123</v>
      </c>
      <c r="U42" s="495"/>
      <c r="V42" s="496"/>
      <c r="W42" s="497"/>
      <c r="X42" s="497"/>
      <c r="Y42" s="497"/>
      <c r="Z42" s="497"/>
      <c r="AA42" s="497"/>
      <c r="AB42" s="497"/>
      <c r="AC42" s="497"/>
      <c r="AD42" s="497"/>
      <c r="AE42" s="497"/>
      <c r="AF42" s="498"/>
      <c r="AG42" s="496" t="str">
        <f>INDEX(PT_DIFFERENTIATION_NTAR,MATCH(A42,PT_DIFFERENTIATION_NTAR_ID,0))</f>
        <v/>
      </c>
      <c r="AH42" s="497"/>
      <c r="AI42" s="497"/>
      <c r="AJ42" s="497"/>
      <c r="AK42" s="497"/>
      <c r="AL42" s="497"/>
      <c r="AM42" s="497"/>
      <c r="AN42" s="497"/>
      <c r="AO42" s="497"/>
      <c r="AP42" s="497"/>
      <c r="AQ42" s="497"/>
      <c r="AR42" s="498"/>
      <c r="AS42" s="4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129"/>
      <c r="AV42" s="129" t="str">
        <f t="shared" si="42"/>
        <v xml:space="preserve">Наименование тарифа</v>
      </c>
      <c r="AW42" s="129"/>
      <c r="AX42" s="129"/>
      <c r="AY42" s="50">
        <v>23</v>
      </c>
    </row>
    <row r="43" ht="24" customHeight="1">
      <c r="A43" s="488" t="s">
        <v>256</v>
      </c>
      <c r="B43" s="488" t="s">
        <v>257</v>
      </c>
      <c r="C43" s="488"/>
      <c r="D43" s="488"/>
      <c r="E43" s="500"/>
      <c r="F43" s="489">
        <v>1</v>
      </c>
      <c r="G43" s="488"/>
      <c r="H43" s="488"/>
      <c r="I43" s="488"/>
      <c r="J43" s="488"/>
      <c r="K43" s="488"/>
      <c r="L43" s="490"/>
      <c r="M43" s="491"/>
      <c r="N43" s="491"/>
      <c r="O43" s="491"/>
      <c r="P43" s="51"/>
      <c r="Q43" s="501"/>
      <c r="R43" s="502"/>
      <c r="S43" s="493" t="str">
        <f>INDEX(PT_DIFFERENTIATION_NUM_TER,MATCH(B43,PT_DIFFERENTIATION_TER_ID,0))</f>
        <v>.</v>
      </c>
      <c r="T43" s="503" t="s">
        <v>402</v>
      </c>
      <c r="U43" s="495"/>
      <c r="V43" s="496"/>
      <c r="W43" s="497"/>
      <c r="X43" s="497"/>
      <c r="Y43" s="497"/>
      <c r="Z43" s="497"/>
      <c r="AA43" s="497"/>
      <c r="AB43" s="497"/>
      <c r="AC43" s="497"/>
      <c r="AD43" s="497"/>
      <c r="AE43" s="497"/>
      <c r="AF43" s="498"/>
      <c r="AG43" s="496" t="str">
        <f>INDEX(PT_DIFFERENTIATION_TER,MATCH(B43,PT_DIFFERENTIATION_TER_ID,0))</f>
        <v/>
      </c>
      <c r="AH43" s="497"/>
      <c r="AI43" s="497"/>
      <c r="AJ43" s="497"/>
      <c r="AK43" s="497"/>
      <c r="AL43" s="497"/>
      <c r="AM43" s="497"/>
      <c r="AN43" s="497"/>
      <c r="AO43" s="497"/>
      <c r="AP43" s="497"/>
      <c r="AQ43" s="497"/>
      <c r="AR43" s="498"/>
      <c r="AS43" s="499" t="s">
        <v>403</v>
      </c>
      <c r="AU43" s="129"/>
      <c r="AV43" s="129" t="str">
        <f t="shared" si="42"/>
        <v xml:space="preserve">Территория действия тарифа</v>
      </c>
      <c r="AW43" s="129"/>
      <c r="AX43" s="129"/>
      <c r="AY43" s="50">
        <v>23</v>
      </c>
    </row>
    <row r="44" ht="24" customHeight="1">
      <c r="A44" s="488" t="s">
        <v>256</v>
      </c>
      <c r="B44" s="488" t="s">
        <v>257</v>
      </c>
      <c r="C44" s="488" t="s">
        <v>258</v>
      </c>
      <c r="D44" s="488"/>
      <c r="E44" s="500"/>
      <c r="F44" s="500"/>
      <c r="G44" s="489">
        <v>1</v>
      </c>
      <c r="H44" s="488"/>
      <c r="I44" s="488"/>
      <c r="J44" s="488"/>
      <c r="K44" s="488"/>
      <c r="L44" s="490"/>
      <c r="M44" s="491"/>
      <c r="N44" s="491"/>
      <c r="O44" s="491"/>
      <c r="P44" s="504"/>
      <c r="Q44" s="501"/>
      <c r="R44" s="502"/>
      <c r="S44" s="493" t="str">
        <f>INDEX(PT_DIFFERENTIATION_NUM_CS,MATCH(C44,PT_DIFFERENTIATION_CS_ID,0))</f>
        <v>..</v>
      </c>
      <c r="T44" s="505" t="s">
        <v>534</v>
      </c>
      <c r="U44" s="495"/>
      <c r="V44" s="496"/>
      <c r="W44" s="497"/>
      <c r="X44" s="497"/>
      <c r="Y44" s="497"/>
      <c r="Z44" s="497"/>
      <c r="AA44" s="497"/>
      <c r="AB44" s="497"/>
      <c r="AC44" s="497"/>
      <c r="AD44" s="497"/>
      <c r="AE44" s="497"/>
      <c r="AF44" s="498"/>
      <c r="AG44" s="496" t="str">
        <f>INDEX(PT_DIFFERENTIATION_CS,MATCH(C44,PT_DIFFERENTIATION_CS_ID,0))</f>
        <v/>
      </c>
      <c r="AH44" s="497"/>
      <c r="AI44" s="497"/>
      <c r="AJ44" s="497"/>
      <c r="AK44" s="497"/>
      <c r="AL44" s="497"/>
      <c r="AM44" s="497"/>
      <c r="AN44" s="497"/>
      <c r="AO44" s="497"/>
      <c r="AP44" s="497"/>
      <c r="AQ44" s="497"/>
      <c r="AR44" s="498"/>
      <c r="AS44" s="499" t="s">
        <v>535</v>
      </c>
      <c r="AU44" s="129"/>
      <c r="AV44" s="129" t="str">
        <f t="shared" si="42"/>
        <v xml:space="preserve">Наименование централизованной системы горячего водоснабжения</v>
      </c>
      <c r="AW44" s="129"/>
      <c r="AX44" s="129"/>
      <c r="AY44" s="50">
        <v>23</v>
      </c>
    </row>
    <row r="45" ht="24" customHeight="1">
      <c r="A45" s="488" t="s">
        <v>256</v>
      </c>
      <c r="B45" s="488" t="s">
        <v>257</v>
      </c>
      <c r="C45" s="488" t="s">
        <v>258</v>
      </c>
      <c r="D45" s="488" t="s">
        <v>546</v>
      </c>
      <c r="E45" s="500"/>
      <c r="F45" s="500"/>
      <c r="G45" s="500"/>
      <c r="H45" s="500"/>
      <c r="I45" s="507" t="str">
        <f>S44&amp;".1"</f>
        <v>...1</v>
      </c>
      <c r="J45" s="488"/>
      <c r="K45" s="488"/>
      <c r="L45" s="490"/>
      <c r="P45" s="132">
        <v>1</v>
      </c>
      <c r="Q45" s="132"/>
      <c r="R45" s="508"/>
      <c r="S45" s="493" t="str">
        <f>$I45</f>
        <v>...1</v>
      </c>
      <c r="T45" s="509" t="s">
        <v>484</v>
      </c>
      <c r="U45" s="495"/>
      <c r="V45" s="685"/>
      <c r="W45" s="686"/>
      <c r="X45" s="686"/>
      <c r="Y45" s="686"/>
      <c r="Z45" s="686"/>
      <c r="AA45" s="686"/>
      <c r="AB45" s="686"/>
      <c r="AC45" s="686"/>
      <c r="AD45" s="686"/>
      <c r="AE45" s="686"/>
      <c r="AF45" s="687"/>
      <c r="AG45" s="688"/>
      <c r="AH45" s="689"/>
      <c r="AI45" s="689"/>
      <c r="AJ45" s="689"/>
      <c r="AK45" s="689"/>
      <c r="AL45" s="689"/>
      <c r="AM45" s="689"/>
      <c r="AN45" s="689"/>
      <c r="AO45" s="689"/>
      <c r="AP45" s="689"/>
      <c r="AQ45" s="689"/>
      <c r="AR45" s="690"/>
      <c r="AS45" s="499" t="s">
        <v>485</v>
      </c>
      <c r="AU45" s="129"/>
      <c r="AV45" s="129" t="str">
        <f t="shared" si="42"/>
        <v xml:space="preserve">Наименование признака дифференциации</v>
      </c>
      <c r="AW45" s="129"/>
      <c r="AX45" s="129"/>
      <c r="AY45" s="50">
        <v>23</v>
      </c>
    </row>
    <row r="46" ht="24" customHeight="1">
      <c r="A46" s="488" t="s">
        <v>256</v>
      </c>
      <c r="B46" s="488" t="s">
        <v>257</v>
      </c>
      <c r="C46" s="488" t="s">
        <v>258</v>
      </c>
      <c r="D46" s="488" t="s">
        <v>546</v>
      </c>
      <c r="E46" s="500"/>
      <c r="F46" s="500"/>
      <c r="G46" s="500"/>
      <c r="H46" s="500"/>
      <c r="I46" s="512"/>
      <c r="J46" s="507" t="str">
        <f>I45&amp;".1"</f>
        <v>...1.1</v>
      </c>
      <c r="K46" s="488"/>
      <c r="L46" s="490" t="s">
        <v>411</v>
      </c>
      <c r="P46" s="132"/>
      <c r="Q46" s="132">
        <v>1</v>
      </c>
      <c r="R46" s="513"/>
      <c r="S46" s="493" t="str">
        <f>$J46</f>
        <v>...1.1</v>
      </c>
      <c r="T46" s="514" t="s">
        <v>412</v>
      </c>
      <c r="U46" s="495"/>
      <c r="V46" s="440"/>
      <c r="W46" s="510"/>
      <c r="X46" s="510"/>
      <c r="Y46" s="510"/>
      <c r="Z46" s="510"/>
      <c r="AA46" s="510"/>
      <c r="AB46" s="510"/>
      <c r="AC46" s="510"/>
      <c r="AD46" s="510"/>
      <c r="AE46" s="510"/>
      <c r="AF46" s="511"/>
      <c r="AG46" s="440"/>
      <c r="AH46" s="510"/>
      <c r="AI46" s="510"/>
      <c r="AJ46" s="510"/>
      <c r="AK46" s="510"/>
      <c r="AL46" s="510"/>
      <c r="AM46" s="510"/>
      <c r="AN46" s="510"/>
      <c r="AO46" s="510"/>
      <c r="AP46" s="510"/>
      <c r="AQ46" s="510"/>
      <c r="AR46" s="511"/>
      <c r="AS46" s="626" t="s">
        <v>486</v>
      </c>
      <c r="AU46" s="129"/>
      <c r="AV46" s="129" t="str">
        <f t="shared" si="42"/>
        <v xml:space="preserve">Группа потребителей</v>
      </c>
      <c r="AW46" s="129"/>
      <c r="AX46" s="129"/>
      <c r="AY46" s="50">
        <v>23</v>
      </c>
    </row>
    <row r="47" ht="24" customHeight="1">
      <c r="A47" s="488" t="s">
        <v>256</v>
      </c>
      <c r="B47" s="488" t="s">
        <v>257</v>
      </c>
      <c r="C47" s="488" t="s">
        <v>258</v>
      </c>
      <c r="D47" s="488" t="s">
        <v>546</v>
      </c>
      <c r="E47" s="500"/>
      <c r="F47" s="500"/>
      <c r="G47" s="500"/>
      <c r="H47" s="500"/>
      <c r="I47" s="512"/>
      <c r="J47" s="512"/>
      <c r="K47" s="507" t="str">
        <f>J46&amp;".1"</f>
        <v>...1.1.1</v>
      </c>
      <c r="L47" s="490"/>
      <c r="P47" s="132"/>
      <c r="Q47" s="132"/>
      <c r="R47" s="513">
        <v>1</v>
      </c>
      <c r="S47" s="493" t="str">
        <f>$K47</f>
        <v>...1.1.1</v>
      </c>
      <c r="T47" s="691"/>
      <c r="U47" s="495"/>
      <c r="V47" s="516"/>
      <c r="W47" s="516"/>
      <c r="X47" s="516"/>
      <c r="Y47" s="516"/>
      <c r="Z47" s="516"/>
      <c r="AA47" s="516"/>
      <c r="AB47" s="516"/>
      <c r="AC47" s="544"/>
      <c r="AD47" s="545" t="s">
        <v>67</v>
      </c>
      <c r="AE47" s="544"/>
      <c r="AF47" s="545" t="s">
        <v>67</v>
      </c>
      <c r="AG47" s="516"/>
      <c r="AH47" s="516"/>
      <c r="AI47" s="516"/>
      <c r="AJ47" s="516"/>
      <c r="AK47" s="516"/>
      <c r="AL47" s="516"/>
      <c r="AM47" s="516"/>
      <c r="AN47" s="519"/>
      <c r="AO47" s="224" t="s">
        <v>67</v>
      </c>
      <c r="AP47" s="579"/>
      <c r="AQ47" s="224" t="s">
        <v>19</v>
      </c>
      <c r="AR47" s="692"/>
      <c r="AS47" s="69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7" t="e">
        <f>STRCHECKDATE(V48:AR48)</f>
        <v>#NAME?</v>
      </c>
      <c r="AU47" s="129"/>
      <c r="AV47" s="129" t="str">
        <f t="shared" si="42"/>
        <v/>
      </c>
      <c r="AW47" s="129"/>
      <c r="AX47" s="129"/>
      <c r="AY47" s="50">
        <v>23</v>
      </c>
    </row>
    <row r="48" ht="0" customHeight="1">
      <c r="A48" s="488" t="s">
        <v>256</v>
      </c>
      <c r="B48" s="488" t="s">
        <v>257</v>
      </c>
      <c r="C48" s="488" t="s">
        <v>258</v>
      </c>
      <c r="D48" s="488" t="s">
        <v>546</v>
      </c>
      <c r="E48" s="500"/>
      <c r="F48" s="500"/>
      <c r="G48" s="500"/>
      <c r="H48" s="500"/>
      <c r="I48" s="512"/>
      <c r="J48" s="512"/>
      <c r="K48" s="507"/>
      <c r="L48" s="490"/>
      <c r="P48" s="132"/>
      <c r="Q48" s="132"/>
      <c r="R48" s="513"/>
      <c r="S48" s="467"/>
      <c r="T48" s="495"/>
      <c r="U48" s="495"/>
      <c r="V48" s="542"/>
      <c r="W48" s="542"/>
      <c r="X48" s="542"/>
      <c r="Y48" s="542"/>
      <c r="Z48" s="542"/>
      <c r="AA48" s="542"/>
      <c r="AB48" s="542"/>
      <c r="AC48" s="545"/>
      <c r="AD48" s="545"/>
      <c r="AE48" s="545"/>
      <c r="AF48" s="545"/>
      <c r="AG48" s="517"/>
      <c r="AH48" s="517"/>
      <c r="AI48" s="517"/>
      <c r="AJ48" s="517"/>
      <c r="AK48" s="517"/>
      <c r="AL48" s="517"/>
      <c r="AM48" s="517"/>
      <c r="AN48" s="522"/>
      <c r="AO48" s="224"/>
      <c r="AP48" s="581"/>
      <c r="AQ48" s="224"/>
      <c r="AR48" s="694"/>
      <c r="AS48" s="693"/>
      <c r="AU48" s="129"/>
      <c r="AV48" s="129" t="str">
        <f t="shared" si="42"/>
        <v/>
      </c>
      <c r="AW48" s="129"/>
      <c r="AX48" s="129"/>
      <c r="AY48" s="50">
        <v>0</v>
      </c>
    </row>
    <row r="49" ht="21" customHeight="1">
      <c r="A49" s="488" t="s">
        <v>256</v>
      </c>
      <c r="B49" s="488" t="s">
        <v>257</v>
      </c>
      <c r="C49" s="488" t="s">
        <v>258</v>
      </c>
      <c r="D49" s="488" t="s">
        <v>546</v>
      </c>
      <c r="E49" s="500"/>
      <c r="F49" s="500"/>
      <c r="G49" s="500"/>
      <c r="H49" s="500"/>
      <c r="I49" s="512"/>
      <c r="J49" s="507"/>
      <c r="K49" s="488"/>
      <c r="L49" s="490"/>
      <c r="P49" s="132"/>
      <c r="Q49" s="132"/>
      <c r="R49" s="508"/>
      <c r="S49" s="524"/>
      <c r="T49" s="528" t="s">
        <v>487</v>
      </c>
      <c r="U49" s="214"/>
      <c r="V49" s="214"/>
      <c r="W49" s="214"/>
      <c r="X49" s="214"/>
      <c r="Y49" s="214"/>
      <c r="Z49" s="214"/>
      <c r="AA49" s="214"/>
      <c r="AB49" s="214"/>
      <c r="AC49" s="214"/>
      <c r="AD49" s="214"/>
      <c r="AE49" s="214"/>
      <c r="AF49" s="214"/>
      <c r="AG49" s="214"/>
      <c r="AH49" s="214"/>
      <c r="AI49" s="214"/>
      <c r="AJ49" s="214"/>
      <c r="AK49" s="214"/>
      <c r="AL49" s="214"/>
      <c r="AM49" s="214"/>
      <c r="AN49" s="214"/>
      <c r="AO49" s="214"/>
      <c r="AP49" s="214"/>
      <c r="AQ49" s="214"/>
      <c r="AR49" s="214"/>
      <c r="AS49" s="499" t="s">
        <v>488</v>
      </c>
      <c r="AU49" s="129"/>
      <c r="AV49" s="129" t="str">
        <f t="shared" si="42"/>
        <v xml:space="preserve">Добавить значение признака дифференциации</v>
      </c>
      <c r="AW49" s="129"/>
      <c r="AX49" s="129"/>
      <c r="AY49" s="50">
        <v>20</v>
      </c>
    </row>
    <row r="50" ht="22" customHeight="1">
      <c r="A50" s="488" t="s">
        <v>256</v>
      </c>
      <c r="B50" s="488" t="s">
        <v>257</v>
      </c>
      <c r="C50" s="488" t="s">
        <v>258</v>
      </c>
      <c r="D50" s="488" t="s">
        <v>546</v>
      </c>
      <c r="E50" s="500"/>
      <c r="F50" s="500"/>
      <c r="G50" s="500"/>
      <c r="H50" s="500"/>
      <c r="I50" s="507"/>
      <c r="J50" s="488"/>
      <c r="K50" s="488"/>
      <c r="L50" s="490"/>
      <c r="P50" s="132"/>
      <c r="Q50" s="132"/>
      <c r="R50" s="508"/>
      <c r="S50" s="524"/>
      <c r="T50" s="532" t="s">
        <v>417</v>
      </c>
      <c r="U50" s="214"/>
      <c r="V50" s="214"/>
      <c r="W50" s="214"/>
      <c r="X50" s="214"/>
      <c r="Y50" s="214"/>
      <c r="Z50" s="214"/>
      <c r="AA50" s="214"/>
      <c r="AB50" s="214"/>
      <c r="AC50" s="214"/>
      <c r="AD50" s="214"/>
      <c r="AE50" s="214"/>
      <c r="AF50" s="529"/>
      <c r="AG50" s="214"/>
      <c r="AH50" s="214"/>
      <c r="AI50" s="214"/>
      <c r="AJ50" s="214"/>
      <c r="AK50" s="214"/>
      <c r="AL50" s="214"/>
      <c r="AM50" s="214"/>
      <c r="AN50" s="214"/>
      <c r="AO50" s="214"/>
      <c r="AP50" s="214"/>
      <c r="AQ50" s="529"/>
      <c r="AR50" s="214"/>
      <c r="AS50" s="695"/>
      <c r="AU50" s="129"/>
      <c r="AV50" s="129" t="str">
        <f t="shared" si="42"/>
        <v xml:space="preserve">Добавить группу потребителей</v>
      </c>
      <c r="AW50" s="129"/>
      <c r="AX50" s="129"/>
      <c r="AY50" s="50">
        <v>21</v>
      </c>
    </row>
    <row r="51" ht="22" customHeight="1">
      <c r="A51" s="488" t="s">
        <v>256</v>
      </c>
      <c r="B51" s="488" t="s">
        <v>257</v>
      </c>
      <c r="C51" s="488" t="s">
        <v>258</v>
      </c>
      <c r="D51" s="488" t="s">
        <v>546</v>
      </c>
      <c r="E51" s="500"/>
      <c r="F51" s="500"/>
      <c r="G51" s="500"/>
      <c r="H51" s="489"/>
      <c r="I51" s="488"/>
      <c r="J51" s="488"/>
      <c r="K51" s="488"/>
      <c r="L51" s="490"/>
      <c r="M51" s="491"/>
      <c r="N51" s="491"/>
      <c r="O51" s="53"/>
      <c r="P51" s="143"/>
      <c r="Q51" s="531"/>
      <c r="R51" s="492"/>
      <c r="S51" s="524"/>
      <c r="T51" s="696" t="s">
        <v>489</v>
      </c>
      <c r="U51" s="214"/>
      <c r="V51" s="214"/>
      <c r="W51" s="214"/>
      <c r="X51" s="214"/>
      <c r="Y51" s="214"/>
      <c r="Z51" s="214"/>
      <c r="AA51" s="214"/>
      <c r="AB51" s="214"/>
      <c r="AC51" s="214"/>
      <c r="AD51" s="214"/>
      <c r="AE51" s="214"/>
      <c r="AF51" s="529"/>
      <c r="AG51" s="214"/>
      <c r="AH51" s="214"/>
      <c r="AI51" s="214"/>
      <c r="AJ51" s="214"/>
      <c r="AK51" s="214"/>
      <c r="AL51" s="214"/>
      <c r="AM51" s="214"/>
      <c r="AN51" s="214"/>
      <c r="AO51" s="214"/>
      <c r="AP51" s="214"/>
      <c r="AQ51" s="529"/>
      <c r="AR51" s="214"/>
      <c r="AS51" s="530"/>
      <c r="AU51" s="129"/>
      <c r="AV51" s="129" t="str">
        <f t="shared" si="42"/>
        <v xml:space="preserve">Добавить наименование признака дифференциации</v>
      </c>
      <c r="AW51" s="129"/>
      <c r="AX51" s="129"/>
      <c r="AY51" s="50">
        <v>21</v>
      </c>
    </row>
    <row r="52" s="57" customFormat="1" ht="0" customHeight="1">
      <c r="A52" s="133" t="s">
        <v>256</v>
      </c>
      <c r="B52" s="133" t="s">
        <v>257</v>
      </c>
      <c r="C52" s="133"/>
      <c r="D52" s="133"/>
      <c r="E52" s="500"/>
      <c r="F52" s="489"/>
      <c r="G52" s="133"/>
      <c r="H52" s="133"/>
      <c r="I52" s="133"/>
      <c r="J52" s="133"/>
      <c r="K52" s="133"/>
      <c r="L52" s="212"/>
      <c r="M52" s="537"/>
      <c r="N52" s="537"/>
      <c r="P52" s="167"/>
      <c r="Q52" s="533"/>
      <c r="R52" s="167"/>
      <c r="S52" s="538"/>
      <c r="T52" s="541" t="s">
        <v>212</v>
      </c>
      <c r="U52" s="540"/>
      <c r="V52" s="540"/>
      <c r="W52" s="540"/>
      <c r="X52" s="540"/>
      <c r="Y52" s="540"/>
      <c r="Z52" s="540"/>
      <c r="AA52" s="540"/>
      <c r="AB52" s="540"/>
      <c r="AC52" s="540"/>
      <c r="AD52" s="540"/>
      <c r="AE52" s="540"/>
      <c r="AF52" s="540"/>
      <c r="AG52" s="540"/>
      <c r="AH52" s="540"/>
      <c r="AI52" s="540"/>
      <c r="AJ52" s="540"/>
      <c r="AK52" s="540"/>
      <c r="AL52" s="540"/>
      <c r="AM52" s="540"/>
      <c r="AN52" s="540"/>
      <c r="AO52" s="540"/>
      <c r="AP52" s="540"/>
      <c r="AQ52" s="540"/>
      <c r="AR52" s="540"/>
      <c r="AS52" s="540"/>
      <c r="AU52" s="129"/>
      <c r="AV52" s="129" t="str">
        <f t="shared" si="42"/>
        <v xml:space="preserve">Добавить централизованную систему для дифференциации</v>
      </c>
      <c r="AW52" s="129"/>
      <c r="AX52" s="129"/>
      <c r="AY52" s="57">
        <v>0</v>
      </c>
    </row>
    <row r="53" s="57" customFormat="1" ht="0" customHeight="1">
      <c r="A53" s="133" t="s">
        <v>256</v>
      </c>
      <c r="B53" s="133"/>
      <c r="C53" s="133"/>
      <c r="D53" s="133"/>
      <c r="E53" s="489"/>
      <c r="F53" s="133"/>
      <c r="G53" s="133"/>
      <c r="H53" s="133"/>
      <c r="I53" s="133"/>
      <c r="J53" s="133"/>
      <c r="K53" s="133"/>
      <c r="L53" s="212"/>
      <c r="M53" s="537"/>
      <c r="N53" s="537"/>
      <c r="O53" s="57"/>
      <c r="P53" s="167"/>
      <c r="Q53" s="533"/>
      <c r="R53" s="167"/>
      <c r="S53" s="538"/>
      <c r="T53" s="541" t="s">
        <v>213</v>
      </c>
      <c r="U53" s="540"/>
      <c r="V53" s="540"/>
      <c r="W53" s="540"/>
      <c r="X53" s="540"/>
      <c r="Y53" s="540"/>
      <c r="Z53" s="540"/>
      <c r="AA53" s="540"/>
      <c r="AB53" s="540"/>
      <c r="AC53" s="540"/>
      <c r="AD53" s="540"/>
      <c r="AE53" s="540"/>
      <c r="AF53" s="540"/>
      <c r="AG53" s="540"/>
      <c r="AH53" s="540"/>
      <c r="AI53" s="540"/>
      <c r="AJ53" s="540"/>
      <c r="AK53" s="540"/>
      <c r="AL53" s="540"/>
      <c r="AM53" s="540"/>
      <c r="AN53" s="540"/>
      <c r="AO53" s="540"/>
      <c r="AP53" s="540"/>
      <c r="AQ53" s="540"/>
      <c r="AR53" s="540"/>
      <c r="AS53" s="540"/>
      <c r="AU53" s="129"/>
      <c r="AV53" s="129" t="str">
        <f t="shared" si="42"/>
        <v xml:space="preserve">Добавить территорию для дифференциации</v>
      </c>
      <c r="AW53" s="129"/>
      <c r="AX53" s="129"/>
      <c r="AY53" s="57">
        <v>0</v>
      </c>
    </row>
    <row r="54" s="57" customFormat="1" ht="0" customHeight="1">
      <c r="A54" s="133"/>
      <c r="B54" s="133"/>
      <c r="C54" s="133"/>
      <c r="D54" s="133"/>
      <c r="E54" s="133"/>
      <c r="F54" s="133"/>
      <c r="G54" s="133"/>
      <c r="H54" s="133"/>
      <c r="I54" s="133"/>
      <c r="J54" s="133"/>
      <c r="K54" s="133"/>
      <c r="L54" s="212"/>
      <c r="M54" s="537"/>
      <c r="N54" s="537"/>
      <c r="P54" s="167"/>
      <c r="Q54" s="533"/>
      <c r="R54" s="167"/>
      <c r="S54" s="538"/>
      <c r="T54" s="541" t="s">
        <v>214</v>
      </c>
      <c r="U54" s="540"/>
      <c r="V54" s="540"/>
      <c r="W54" s="540"/>
      <c r="X54" s="540"/>
      <c r="Y54" s="540"/>
      <c r="Z54" s="540"/>
      <c r="AA54" s="540"/>
      <c r="AB54" s="540"/>
      <c r="AC54" s="540"/>
      <c r="AD54" s="540"/>
      <c r="AE54" s="540"/>
      <c r="AF54" s="540"/>
      <c r="AG54" s="540"/>
      <c r="AH54" s="540"/>
      <c r="AI54" s="540"/>
      <c r="AJ54" s="540"/>
      <c r="AK54" s="540"/>
      <c r="AL54" s="540"/>
      <c r="AM54" s="540"/>
      <c r="AN54" s="540"/>
      <c r="AO54" s="540"/>
      <c r="AP54" s="540"/>
      <c r="AQ54" s="540"/>
      <c r="AR54" s="540"/>
      <c r="AS54" s="540"/>
      <c r="AU54" s="129"/>
      <c r="AV54" s="129" t="str">
        <f t="shared" si="42"/>
        <v xml:space="preserve">Добавить наименование тарифа</v>
      </c>
      <c r="AW54" s="129"/>
      <c r="AX54" s="129"/>
      <c r="AY54" s="57">
        <v>0</v>
      </c>
    </row>
    <row r="55" ht="11.5" customHeight="1">
      <c r="M55" s="53"/>
      <c r="N55" s="53"/>
      <c r="O55" s="53"/>
      <c r="P55" s="50"/>
      <c r="Q55" s="50"/>
      <c r="R55" s="50"/>
      <c r="S55" s="50"/>
      <c r="AT55" s="50"/>
      <c r="AU55" s="50"/>
      <c r="AV55" s="50"/>
      <c r="AW55" s="50"/>
      <c r="AX55" s="50"/>
      <c r="AY55" s="50">
        <v>11</v>
      </c>
    </row>
    <row r="56" ht="14.65" customHeight="1">
      <c r="O56" s="53"/>
      <c r="S56" s="485"/>
      <c r="T56" s="583"/>
      <c r="U56" s="583"/>
      <c r="V56" s="583"/>
      <c r="W56" s="583"/>
      <c r="X56" s="583"/>
      <c r="Y56" s="583"/>
      <c r="Z56" s="583"/>
      <c r="AA56" s="583"/>
      <c r="AB56" s="583"/>
      <c r="AC56" s="583"/>
      <c r="AD56" s="583"/>
      <c r="AE56" s="583"/>
      <c r="AF56" s="583"/>
      <c r="AG56" s="583"/>
      <c r="AH56" s="583"/>
      <c r="AI56" s="583"/>
      <c r="AJ56" s="583"/>
      <c r="AK56" s="583"/>
      <c r="AL56" s="583"/>
      <c r="AM56" s="583"/>
      <c r="AN56" s="583"/>
      <c r="AO56" s="583"/>
      <c r="AP56" s="583"/>
      <c r="AQ56" s="583"/>
      <c r="AR56" s="583"/>
      <c r="AS56" s="583"/>
      <c r="AY56" s="50">
        <v>14</v>
      </c>
    </row>
    <row r="57" ht="14.65" customHeight="1">
      <c r="O57" s="53"/>
      <c r="AY57" s="50">
        <v>14</v>
      </c>
    </row>
    <row r="58" ht="14.65" customHeight="1">
      <c r="O58" s="53"/>
      <c r="S58" s="485"/>
      <c r="T58" s="583"/>
      <c r="U58" s="583"/>
      <c r="V58" s="583"/>
      <c r="W58" s="583"/>
      <c r="X58" s="583"/>
      <c r="Y58" s="583"/>
      <c r="Z58" s="583"/>
      <c r="AA58" s="583"/>
      <c r="AB58" s="583"/>
      <c r="AC58" s="583"/>
      <c r="AD58" s="583"/>
      <c r="AE58" s="583"/>
      <c r="AF58" s="583"/>
      <c r="AG58" s="583"/>
      <c r="AH58" s="583"/>
      <c r="AI58" s="583"/>
      <c r="AJ58" s="583"/>
      <c r="AK58" s="583"/>
      <c r="AL58" s="583"/>
      <c r="AM58" s="583"/>
      <c r="AN58" s="583"/>
      <c r="AO58" s="583"/>
      <c r="AP58" s="583"/>
      <c r="AQ58" s="583"/>
      <c r="AR58" s="583"/>
      <c r="AS58" s="583"/>
      <c r="AY58" s="50">
        <v>14</v>
      </c>
    </row>
    <row r="59" ht="22.5" hidden="1" customHeight="1">
      <c r="A59" s="53" t="s">
        <v>83</v>
      </c>
      <c r="B59" s="53">
        <v>0</v>
      </c>
      <c r="C59" s="53">
        <v>0</v>
      </c>
      <c r="D59" s="53">
        <v>0</v>
      </c>
      <c r="E59" s="53">
        <v>0</v>
      </c>
      <c r="F59" s="53">
        <v>0</v>
      </c>
      <c r="G59" s="53">
        <v>0</v>
      </c>
      <c r="H59" s="53">
        <v>0</v>
      </c>
      <c r="I59" s="53">
        <v>0</v>
      </c>
      <c r="J59" s="53">
        <v>0</v>
      </c>
      <c r="K59" s="53">
        <v>0</v>
      </c>
      <c r="L59" s="113">
        <v>0</v>
      </c>
      <c r="M59" s="61">
        <v>0</v>
      </c>
      <c r="N59" s="61">
        <v>0</v>
      </c>
      <c r="O59" s="61">
        <v>0</v>
      </c>
      <c r="P59" s="60">
        <v>3</v>
      </c>
      <c r="Q59" s="487">
        <v>3</v>
      </c>
      <c r="R59" s="487">
        <v>3</v>
      </c>
      <c r="S59" s="86">
        <v>12</v>
      </c>
      <c r="T59" s="50">
        <v>35</v>
      </c>
      <c r="U59" s="50">
        <v>0</v>
      </c>
      <c r="V59" s="50">
        <v>0</v>
      </c>
      <c r="W59" s="50">
        <v>0</v>
      </c>
      <c r="X59" s="50">
        <v>0</v>
      </c>
      <c r="Y59" s="50">
        <v>0</v>
      </c>
      <c r="Z59" s="50">
        <v>0</v>
      </c>
      <c r="AA59" s="50">
        <v>0</v>
      </c>
      <c r="AB59" s="50">
        <v>0</v>
      </c>
      <c r="AC59" s="50">
        <v>0</v>
      </c>
      <c r="AD59" s="50">
        <v>0</v>
      </c>
      <c r="AE59" s="50">
        <v>0</v>
      </c>
      <c r="AF59" s="50">
        <v>0</v>
      </c>
      <c r="AG59" s="50">
        <v>19</v>
      </c>
      <c r="AH59" s="50">
        <v>19</v>
      </c>
      <c r="AI59" s="50">
        <v>19</v>
      </c>
      <c r="AJ59" s="50">
        <v>19</v>
      </c>
      <c r="AK59" s="50">
        <v>19</v>
      </c>
      <c r="AL59" s="50">
        <v>19</v>
      </c>
      <c r="AM59" s="50">
        <v>19</v>
      </c>
      <c r="AN59" s="50">
        <v>11</v>
      </c>
      <c r="AO59" s="50">
        <v>3</v>
      </c>
      <c r="AP59" s="50">
        <v>11</v>
      </c>
      <c r="AQ59" s="50">
        <v>0</v>
      </c>
      <c r="AR59" s="50">
        <v>4</v>
      </c>
      <c r="AS59" s="50">
        <v>115</v>
      </c>
      <c r="AT59" s="57">
        <v>10</v>
      </c>
      <c r="AU59" s="57">
        <v>10</v>
      </c>
      <c r="AV59" s="57">
        <v>10</v>
      </c>
      <c r="AW59" s="57">
        <v>10</v>
      </c>
      <c r="AX59" s="57">
        <v>10</v>
      </c>
      <c r="AY59" s="50">
        <v>23</v>
      </c>
    </row>
  </sheetData>
  <sheetProtection autoFilter="0" deleteColumns="1" deleteRows="1" formatCells="1" formatColumns="0" formatRows="0" insertColumns="1" insertHyperlinks="1" insertRows="1" objects="0" pivotTables="1" scenarios="0" selectLockedCells="0" selectUnlockedCells="0" sheet="1" sort="1"/>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D7:AD8"/>
    <mergeCell ref="AE7:AE8"/>
    <mergeCell ref="AF7:AF8"/>
    <mergeCell ref="AN7:AN8"/>
    <mergeCell ref="AO7:AO8"/>
    <mergeCell ref="AP7:AP8"/>
    <mergeCell ref="AQ7:AQ8"/>
    <mergeCell ref="AS7:AS8"/>
    <mergeCell ref="AN15:AN16"/>
    <mergeCell ref="AO15:AO16"/>
    <mergeCell ref="AP15:AP16"/>
    <mergeCell ref="AQ15:AQ16"/>
    <mergeCell ref="S24:AP24"/>
    <mergeCell ref="S25:AP25"/>
    <mergeCell ref="S27:T27"/>
    <mergeCell ref="V27:AE27"/>
    <mergeCell ref="AG27:AP27"/>
    <mergeCell ref="S28:T28"/>
    <mergeCell ref="V28:AE28"/>
    <mergeCell ref="AG28:AP28"/>
    <mergeCell ref="S29:T29"/>
    <mergeCell ref="V29:AE29"/>
    <mergeCell ref="AG29:AP29"/>
    <mergeCell ref="S30:T30"/>
    <mergeCell ref="V30:AE30"/>
    <mergeCell ref="AG30:AP30"/>
    <mergeCell ref="S32:T32"/>
    <mergeCell ref="V32:AE32"/>
    <mergeCell ref="AG32:AP32"/>
    <mergeCell ref="S33:T33"/>
    <mergeCell ref="V33:AE33"/>
    <mergeCell ref="AG33:AP33"/>
    <mergeCell ref="V35:AF35"/>
    <mergeCell ref="AG35:AQ35"/>
    <mergeCell ref="S36:AR36"/>
    <mergeCell ref="AS36:AS40"/>
    <mergeCell ref="S37:S40"/>
    <mergeCell ref="T37:T40"/>
    <mergeCell ref="V37:AE37"/>
    <mergeCell ref="AF37:AF40"/>
    <mergeCell ref="AG37:AP37"/>
    <mergeCell ref="AQ37:AQ40"/>
    <mergeCell ref="AR37:AR40"/>
    <mergeCell ref="V38:V40"/>
    <mergeCell ref="W38:Y38"/>
    <mergeCell ref="Z38:AB38"/>
    <mergeCell ref="AC38:AE39"/>
    <mergeCell ref="AG38:AG40"/>
    <mergeCell ref="AH38:AJ38"/>
    <mergeCell ref="AK38:AM38"/>
    <mergeCell ref="AN38:AP39"/>
    <mergeCell ref="W39:W40"/>
    <mergeCell ref="X39:Y39"/>
    <mergeCell ref="Z39:Z40"/>
    <mergeCell ref="AA39:AB39"/>
    <mergeCell ref="AH39:AH40"/>
    <mergeCell ref="AI39:AJ39"/>
    <mergeCell ref="AK39:AK40"/>
    <mergeCell ref="AL39:AM39"/>
    <mergeCell ref="AD40:AE40"/>
    <mergeCell ref="AO40:AP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K47:K48"/>
    <mergeCell ref="AC47:AC48"/>
    <mergeCell ref="AD47:AD48"/>
    <mergeCell ref="AE47:AE48"/>
    <mergeCell ref="AF47:AF48"/>
    <mergeCell ref="AN47:AN48"/>
    <mergeCell ref="AO47:AO48"/>
    <mergeCell ref="AP47:AP48"/>
    <mergeCell ref="AQ47:AQ48"/>
    <mergeCell ref="AS47:AS48"/>
    <mergeCell ref="T56:AS56"/>
    <mergeCell ref="T58:AS58"/>
  </mergeCells>
  <dataValidations count="3" disablePrompts="0">
    <dataValidation sqref="S131117:AS131123 S196653:AS196659 S262189:AS262195 S327725:AS327731 S393261:AS393267 S458797:AS458803 S524333:AS524339 S589869:AS589875 S655405:AS655411 S720941:AS720947 S786477:AS786483 S852013:AS852019 S917549:AS917555 S983085:AS983091 S65581:AS65587" type="none" allowBlank="1" errorStyle="stop" imeMode="noControl" operator="between" showDropDown="0" showErrorMessage="0" showInputMessage="0"/>
    <dataValidation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2200F0-0005-442D-8A36-008600C30051}"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V983082:AR983082 V65578:AR65578 V131114:AR131114 V196650:AR196650 V262186:AR262186 V327722:AR327722 V393258:AR393258 V458794:AR458794 V524330:AR524330 V589866:AR589866 V655402:AR655402 V720938:AR720938 V786474:AR786474 V852010:AR852010 V917546:AR917546</xm:sqref>
        </x14:dataValidation>
        <x14:dataValidation xr:uid="{0081001B-0074-4C84-B73D-007A0093009C}" type="list" allowBlank="1" error="Выберите значение из списка" errorStyle="stop" errorTitle="Ошибка" imeMode="noControl" operator="between" showDropDown="0" showErrorMessage="1" showInputMessage="1">
          <x14:formula1>
            <xm:f>kind_of_scheme_in</xm:f>
          </x14:formula1>
          <xm: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xm:sqref>
        </x14:dataValidation>
        <x14:dataValidation xr:uid="{0061007C-00D9-42B9-AB7D-0020005D00F7}" type="textLength" allowBlank="1" error="Допускается ввод не более 900 символов!" errorStyle="stop" errorTitle="Ошибка" imeMode="noControl" operator="lessThanOrEqual" showDropDown="0" showErrorMessage="1" showInputMessage="1">
          <x14:formula1>
            <xm:f>900</xm:f>
          </x14:formula1>
          <xm: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xm:sqref>
        </x14:dataValidation>
        <x14:dataValidation xr:uid="{00D100B9-00EB-4680-875C-00D3006600CD}" type="list" allowBlank="1" error="Выберите значение из списка" errorStyle="stop" errorTitle="Ошибка" imeMode="noControl" operator="between" showDropDown="0" showErrorMessage="1" showInputMessage="1">
          <x14:formula1>
            <xm:f>kind_of_heat_transfer</xm:f>
          </x14:formula1>
          <xm:sqref>T65579 T131115 T196651 T262187 T327723 T393259 T458795 T524331 T589867 T655403 T720939 T786475 T852011 T917547 T983083</xm:sqref>
        </x14:dataValidation>
      </x14:dataValidations>
    </ext>
  </extLs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zoomScale="90" workbookViewId="0">
      <pane xSplit="32" ySplit="41" topLeftCell="AG42" activePane="bottomRight" state="frozen"/>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4.140625"/>
    <col customWidth="1" hidden="1" min="10" max="10" style="53" width="9.8515625"/>
    <col customWidth="1" hidden="1" min="11" max="11" style="53" width="14.7109375"/>
    <col customWidth="1" hidden="1" min="12" max="12" style="113" width="19.140625"/>
    <col customWidth="1" hidden="1" min="13" max="14" style="61" width="12.28125"/>
    <col customWidth="1" hidden="1" min="15" max="15" style="61" width="23.421875"/>
    <col customWidth="1" min="16" max="16" style="60" width="3.00390625"/>
    <col customWidth="1" min="17" max="18" style="487" width="3.00390625"/>
    <col customWidth="1" min="19" max="19" style="86" width="12.00390625"/>
    <col customWidth="1" min="20" max="20" style="50" width="35.00390625"/>
    <col customWidth="1" min="21" max="21" style="50" width="0.140625"/>
    <col customWidth="1" hidden="1" min="22" max="28" style="50" width="19.7109375"/>
    <col customWidth="1" hidden="1" min="29" max="29" style="50" width="11.7109375"/>
    <col customWidth="1" hidden="1" min="30" max="30" style="50" width="3.7109375"/>
    <col customWidth="1" hidden="1" min="31" max="31" style="50" width="11.7109375"/>
    <col customWidth="1" hidden="1" min="32" max="32" style="50" width="8.57421875"/>
    <col customWidth="1" min="33" max="33" style="50" width="19.7109375"/>
    <col customWidth="1" min="34" max="39" style="50" width="19.00390625"/>
    <col customWidth="1" min="40" max="40" style="50" width="11.00390625"/>
    <col customWidth="1" min="41" max="41" style="50" width="3.7109375"/>
    <col customWidth="1" min="42" max="42" style="50" width="11.00390625"/>
    <col customWidth="1" hidden="1" min="43" max="43" style="50" width="8.57421875"/>
    <col customWidth="1" min="44" max="44" style="50" width="4.00390625"/>
    <col customWidth="1" min="45" max="45" style="50" width="115.00390625"/>
    <col customWidth="1" min="46" max="50" style="57" width="10.00390625"/>
    <col hidden="1" min="51" max="51" style="50" width="10.57421875"/>
  </cols>
  <sheetData>
    <row r="1" ht="22.5" hidden="1" customHeight="1">
      <c r="AB1" s="50"/>
      <c r="AC1" s="50"/>
      <c r="AM1" s="50"/>
      <c r="AN1" s="50"/>
      <c r="AY1" s="50" t="s">
        <v>14</v>
      </c>
    </row>
    <row r="2" ht="23.25" hidden="1" customHeight="1">
      <c r="A2" s="488"/>
      <c r="B2" s="488"/>
      <c r="C2" s="488"/>
      <c r="D2" s="488"/>
      <c r="E2" s="489">
        <v>1</v>
      </c>
      <c r="F2" s="488"/>
      <c r="G2" s="488"/>
      <c r="H2" s="488"/>
      <c r="I2" s="488"/>
      <c r="J2" s="488"/>
      <c r="K2" s="488"/>
      <c r="L2" s="490"/>
      <c r="M2" s="491"/>
      <c r="N2" s="491"/>
      <c r="O2" s="491"/>
      <c r="P2" s="60"/>
      <c r="Q2" s="143"/>
      <c r="R2" s="492"/>
      <c r="S2" s="493" t="e">
        <f>INDEX(PT_DIFFERENTIATION_NUM_NTAR,MATCH(A2,PT_DIFFERENTIATION_NTAR_ID,0))</f>
        <v>#VALUE!</v>
      </c>
      <c r="T2" s="494" t="s">
        <v>123</v>
      </c>
      <c r="U2" s="495"/>
      <c r="V2" s="496"/>
      <c r="W2" s="497"/>
      <c r="X2" s="497"/>
      <c r="Y2" s="497"/>
      <c r="Z2" s="497"/>
      <c r="AA2" s="497"/>
      <c r="AB2" s="497"/>
      <c r="AC2" s="497"/>
      <c r="AD2" s="497"/>
      <c r="AE2" s="497"/>
      <c r="AF2" s="498"/>
      <c r="AG2" s="496" t="e">
        <f>INDEX(PT_DIFFERENTIATION_NTAR,MATCH(A2,PT_DIFFERENTIATION_NTAR_ID,0))</f>
        <v>#VALUE!</v>
      </c>
      <c r="AH2" s="497"/>
      <c r="AI2" s="497"/>
      <c r="AJ2" s="497"/>
      <c r="AK2" s="497"/>
      <c r="AL2" s="497"/>
      <c r="AM2" s="497"/>
      <c r="AN2" s="497"/>
      <c r="AO2" s="497"/>
      <c r="AP2" s="497"/>
      <c r="AQ2" s="497"/>
      <c r="AR2" s="498"/>
      <c r="AS2" s="4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129"/>
      <c r="AV2" s="129" t="str">
        <f t="shared" ref="AV2:AV9" si="43">IF(T2="","",T2)</f>
        <v xml:space="preserve">Наименование тарифа</v>
      </c>
      <c r="AW2" s="129"/>
      <c r="AX2" s="129"/>
      <c r="AY2" s="50">
        <v>0</v>
      </c>
    </row>
    <row r="3" ht="23.25" hidden="1" customHeight="1">
      <c r="A3" s="488"/>
      <c r="B3" s="488"/>
      <c r="C3" s="488"/>
      <c r="D3" s="488"/>
      <c r="E3" s="500"/>
      <c r="F3" s="489">
        <v>1</v>
      </c>
      <c r="G3" s="488"/>
      <c r="H3" s="488"/>
      <c r="I3" s="488"/>
      <c r="J3" s="488"/>
      <c r="K3" s="488"/>
      <c r="L3" s="490"/>
      <c r="M3" s="491"/>
      <c r="N3" s="491"/>
      <c r="O3" s="491"/>
      <c r="P3" s="51"/>
      <c r="Q3" s="501"/>
      <c r="R3" s="502"/>
      <c r="S3" s="493" t="e">
        <f>INDEX(PT_DIFFERENTIATION_NUM_TER,MATCH(B3,PT_DIFFERENTIATION_TER_ID,0))</f>
        <v>#VALUE!</v>
      </c>
      <c r="T3" s="503" t="s">
        <v>402</v>
      </c>
      <c r="U3" s="495"/>
      <c r="V3" s="496"/>
      <c r="W3" s="497"/>
      <c r="X3" s="497"/>
      <c r="Y3" s="497"/>
      <c r="Z3" s="497"/>
      <c r="AA3" s="497"/>
      <c r="AB3" s="497"/>
      <c r="AC3" s="497"/>
      <c r="AD3" s="497"/>
      <c r="AE3" s="497"/>
      <c r="AF3" s="498"/>
      <c r="AG3" s="496" t="e">
        <f>INDEX(PT_DIFFERENTIATION_TER,MATCH(B3,PT_DIFFERENTIATION_TER_ID,0))</f>
        <v>#VALUE!</v>
      </c>
      <c r="AH3" s="497"/>
      <c r="AI3" s="497"/>
      <c r="AJ3" s="497"/>
      <c r="AK3" s="497"/>
      <c r="AL3" s="497"/>
      <c r="AM3" s="497"/>
      <c r="AN3" s="497"/>
      <c r="AO3" s="497"/>
      <c r="AP3" s="497"/>
      <c r="AQ3" s="497"/>
      <c r="AR3" s="498"/>
      <c r="AS3" s="499" t="s">
        <v>403</v>
      </c>
      <c r="AU3" s="129"/>
      <c r="AV3" s="129" t="str">
        <f t="shared" si="43"/>
        <v xml:space="preserve">Территория действия тарифа</v>
      </c>
      <c r="AW3" s="129"/>
      <c r="AX3" s="129"/>
      <c r="AY3" s="50">
        <v>0</v>
      </c>
    </row>
    <row r="4" ht="23.25" hidden="1" customHeight="1">
      <c r="A4" s="488"/>
      <c r="B4" s="488"/>
      <c r="C4" s="488"/>
      <c r="D4" s="488"/>
      <c r="E4" s="500"/>
      <c r="F4" s="500"/>
      <c r="G4" s="489">
        <v>1</v>
      </c>
      <c r="H4" s="488"/>
      <c r="I4" s="488"/>
      <c r="J4" s="488"/>
      <c r="K4" s="488"/>
      <c r="L4" s="490"/>
      <c r="M4" s="491"/>
      <c r="N4" s="491"/>
      <c r="O4" s="491"/>
      <c r="P4" s="504"/>
      <c r="Q4" s="501"/>
      <c r="R4" s="502"/>
      <c r="S4" s="493" t="e">
        <f>INDEX(PT_DIFFERENTIATION_NUM_CS,MATCH(C4,PT_DIFFERENTIATION_CS_ID,0))</f>
        <v>#VALUE!</v>
      </c>
      <c r="T4" s="505" t="s">
        <v>534</v>
      </c>
      <c r="U4" s="495"/>
      <c r="V4" s="496"/>
      <c r="W4" s="497"/>
      <c r="X4" s="497"/>
      <c r="Y4" s="497"/>
      <c r="Z4" s="497"/>
      <c r="AA4" s="497"/>
      <c r="AB4" s="497"/>
      <c r="AC4" s="497"/>
      <c r="AD4" s="497"/>
      <c r="AE4" s="497"/>
      <c r="AF4" s="498"/>
      <c r="AG4" s="496" t="e">
        <f>INDEX(PT_DIFFERENTIATION_CS,MATCH(C4,PT_DIFFERENTIATION_CS_ID,0))</f>
        <v>#VALUE!</v>
      </c>
      <c r="AH4" s="497"/>
      <c r="AI4" s="497"/>
      <c r="AJ4" s="497"/>
      <c r="AK4" s="497"/>
      <c r="AL4" s="497"/>
      <c r="AM4" s="497"/>
      <c r="AN4" s="497"/>
      <c r="AO4" s="497"/>
      <c r="AP4" s="497"/>
      <c r="AQ4" s="497"/>
      <c r="AR4" s="498"/>
      <c r="AS4" s="499" t="s">
        <v>535</v>
      </c>
      <c r="AU4" s="129"/>
      <c r="AV4" s="129" t="str">
        <f t="shared" si="43"/>
        <v xml:space="preserve">Наименование централизованной системы горячего водоснабжения</v>
      </c>
      <c r="AW4" s="129"/>
      <c r="AX4" s="129"/>
      <c r="AY4" s="50">
        <v>0</v>
      </c>
    </row>
    <row r="5" ht="23.25" hidden="1" customHeight="1">
      <c r="A5" s="488"/>
      <c r="B5" s="488"/>
      <c r="C5" s="488"/>
      <c r="D5" s="488"/>
      <c r="E5" s="500"/>
      <c r="F5" s="500"/>
      <c r="G5" s="500"/>
      <c r="H5" s="500"/>
      <c r="I5" s="507" t="e">
        <f>S4&amp;".1"</f>
        <v>#VALUE!</v>
      </c>
      <c r="J5" s="488"/>
      <c r="K5" s="488"/>
      <c r="L5" s="490"/>
      <c r="P5" s="132">
        <v>1</v>
      </c>
      <c r="Q5" s="132"/>
      <c r="R5" s="508"/>
      <c r="S5" s="493" t="e">
        <f>$I5</f>
        <v>#VALUE!</v>
      </c>
      <c r="T5" s="509" t="s">
        <v>484</v>
      </c>
      <c r="U5" s="495"/>
      <c r="V5" s="685"/>
      <c r="W5" s="686"/>
      <c r="X5" s="686"/>
      <c r="Y5" s="686"/>
      <c r="Z5" s="686"/>
      <c r="AA5" s="686"/>
      <c r="AB5" s="686"/>
      <c r="AC5" s="686"/>
      <c r="AD5" s="686"/>
      <c r="AE5" s="686"/>
      <c r="AF5" s="687"/>
      <c r="AG5" s="688"/>
      <c r="AH5" s="689"/>
      <c r="AI5" s="689"/>
      <c r="AJ5" s="689"/>
      <c r="AK5" s="689"/>
      <c r="AL5" s="689"/>
      <c r="AM5" s="689"/>
      <c r="AN5" s="689"/>
      <c r="AO5" s="689"/>
      <c r="AP5" s="689"/>
      <c r="AQ5" s="689"/>
      <c r="AR5" s="690"/>
      <c r="AS5" s="499" t="s">
        <v>485</v>
      </c>
      <c r="AU5" s="129"/>
      <c r="AV5" s="129" t="str">
        <f t="shared" si="43"/>
        <v xml:space="preserve">Наименование признака дифференциации</v>
      </c>
      <c r="AW5" s="129"/>
      <c r="AX5" s="129"/>
      <c r="AY5" s="50">
        <v>0</v>
      </c>
    </row>
    <row r="6" ht="23.25" hidden="1" customHeight="1">
      <c r="A6" s="488"/>
      <c r="B6" s="488"/>
      <c r="C6" s="488"/>
      <c r="D6" s="488"/>
      <c r="E6" s="500"/>
      <c r="F6" s="500"/>
      <c r="G6" s="500"/>
      <c r="H6" s="500"/>
      <c r="I6" s="512"/>
      <c r="J6" s="507" t="e">
        <f>I5&amp;".1"</f>
        <v>#VALUE!</v>
      </c>
      <c r="K6" s="488"/>
      <c r="L6" s="490" t="s">
        <v>411</v>
      </c>
      <c r="P6" s="132"/>
      <c r="Q6" s="132">
        <v>1</v>
      </c>
      <c r="R6" s="513"/>
      <c r="S6" s="493" t="e">
        <f>$J6</f>
        <v>#VALUE!</v>
      </c>
      <c r="T6" s="514" t="s">
        <v>412</v>
      </c>
      <c r="U6" s="495"/>
      <c r="V6" s="440"/>
      <c r="W6" s="510"/>
      <c r="X6" s="510"/>
      <c r="Y6" s="510"/>
      <c r="Z6" s="510"/>
      <c r="AA6" s="510"/>
      <c r="AB6" s="510"/>
      <c r="AC6" s="510"/>
      <c r="AD6" s="510"/>
      <c r="AE6" s="510"/>
      <c r="AF6" s="511"/>
      <c r="AG6" s="440"/>
      <c r="AH6" s="510"/>
      <c r="AI6" s="510"/>
      <c r="AJ6" s="510"/>
      <c r="AK6" s="510"/>
      <c r="AL6" s="510"/>
      <c r="AM6" s="510"/>
      <c r="AN6" s="510"/>
      <c r="AO6" s="510"/>
      <c r="AP6" s="510"/>
      <c r="AQ6" s="510"/>
      <c r="AR6" s="511"/>
      <c r="AS6" s="626" t="s">
        <v>486</v>
      </c>
      <c r="AU6" s="129"/>
      <c r="AV6" s="129" t="str">
        <f t="shared" si="43"/>
        <v xml:space="preserve">Группа потребителей</v>
      </c>
      <c r="AW6" s="129"/>
      <c r="AX6" s="129"/>
      <c r="AY6" s="50">
        <v>0</v>
      </c>
    </row>
    <row r="7" ht="23.25" hidden="1" customHeight="1">
      <c r="A7" s="488"/>
      <c r="B7" s="488"/>
      <c r="C7" s="488"/>
      <c r="D7" s="488"/>
      <c r="E7" s="500"/>
      <c r="F7" s="500"/>
      <c r="G7" s="500"/>
      <c r="H7" s="500"/>
      <c r="I7" s="512"/>
      <c r="J7" s="512"/>
      <c r="K7" s="507" t="e">
        <f>J6&amp;".1"</f>
        <v>#VALUE!</v>
      </c>
      <c r="L7" s="490"/>
      <c r="P7" s="132"/>
      <c r="Q7" s="132"/>
      <c r="R7" s="513">
        <v>1</v>
      </c>
      <c r="S7" s="493" t="e">
        <f>$K7</f>
        <v>#VALUE!</v>
      </c>
      <c r="T7" s="691"/>
      <c r="U7" s="495"/>
      <c r="V7" s="516"/>
      <c r="W7" s="516"/>
      <c r="X7" s="516"/>
      <c r="Y7" s="516"/>
      <c r="Z7" s="516"/>
      <c r="AA7" s="516"/>
      <c r="AB7" s="518"/>
      <c r="AC7" s="519"/>
      <c r="AD7" s="224" t="s">
        <v>67</v>
      </c>
      <c r="AE7" s="519"/>
      <c r="AF7" s="224" t="s">
        <v>67</v>
      </c>
      <c r="AG7" s="516"/>
      <c r="AH7" s="516"/>
      <c r="AI7" s="516"/>
      <c r="AJ7" s="516"/>
      <c r="AK7" s="516"/>
      <c r="AL7" s="516"/>
      <c r="AM7" s="518"/>
      <c r="AN7" s="519"/>
      <c r="AO7" s="224" t="s">
        <v>67</v>
      </c>
      <c r="AP7" s="579"/>
      <c r="AQ7" s="224" t="s">
        <v>67</v>
      </c>
      <c r="AR7" s="692"/>
      <c r="AS7" s="69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7" t="e">
        <f>STRCHECKDATE(V8:AR8)</f>
        <v>#NAME?</v>
      </c>
      <c r="AU7" s="129"/>
      <c r="AV7" s="129" t="str">
        <f t="shared" si="43"/>
        <v/>
      </c>
      <c r="AW7" s="129"/>
      <c r="AX7" s="129"/>
      <c r="AY7" s="50">
        <v>0</v>
      </c>
    </row>
    <row r="8" ht="14.25" hidden="1" customHeight="1">
      <c r="A8" s="488"/>
      <c r="B8" s="488"/>
      <c r="C8" s="488"/>
      <c r="D8" s="488"/>
      <c r="E8" s="500"/>
      <c r="F8" s="500"/>
      <c r="G8" s="500"/>
      <c r="H8" s="500"/>
      <c r="I8" s="512"/>
      <c r="J8" s="512"/>
      <c r="K8" s="507"/>
      <c r="L8" s="490"/>
      <c r="P8" s="132"/>
      <c r="Q8" s="132"/>
      <c r="R8" s="513"/>
      <c r="S8" s="467"/>
      <c r="T8" s="495"/>
      <c r="U8" s="495"/>
      <c r="V8" s="517"/>
      <c r="W8" s="517"/>
      <c r="X8" s="517"/>
      <c r="Y8" s="517"/>
      <c r="Z8" s="517"/>
      <c r="AA8" s="517"/>
      <c r="AB8" s="521" t="str">
        <f>AC7&amp;"-"&amp;AE7</f>
        <v>-</v>
      </c>
      <c r="AC8" s="522"/>
      <c r="AD8" s="224"/>
      <c r="AE8" s="522"/>
      <c r="AF8" s="224"/>
      <c r="AG8" s="517"/>
      <c r="AH8" s="517"/>
      <c r="AI8" s="517"/>
      <c r="AJ8" s="517"/>
      <c r="AK8" s="517"/>
      <c r="AL8" s="517"/>
      <c r="AM8" s="521" t="str">
        <f>AN7&amp;"-"&amp;AP7</f>
        <v>-</v>
      </c>
      <c r="AN8" s="522"/>
      <c r="AO8" s="224"/>
      <c r="AP8" s="581"/>
      <c r="AQ8" s="224"/>
      <c r="AR8" s="694"/>
      <c r="AS8" s="693"/>
      <c r="AU8" s="129"/>
      <c r="AV8" s="129" t="str">
        <f t="shared" si="43"/>
        <v/>
      </c>
      <c r="AW8" s="129"/>
      <c r="AX8" s="129"/>
      <c r="AY8" s="50">
        <v>0</v>
      </c>
    </row>
    <row r="9" ht="21" hidden="1" customHeight="1">
      <c r="A9" s="488"/>
      <c r="B9" s="488"/>
      <c r="C9" s="488"/>
      <c r="D9" s="488"/>
      <c r="E9" s="500"/>
      <c r="F9" s="500"/>
      <c r="G9" s="500"/>
      <c r="H9" s="500"/>
      <c r="I9" s="512"/>
      <c r="J9" s="507"/>
      <c r="K9" s="488"/>
      <c r="L9" s="490"/>
      <c r="P9" s="132"/>
      <c r="Q9" s="132"/>
      <c r="R9" s="508"/>
      <c r="S9" s="524"/>
      <c r="T9" s="528" t="s">
        <v>487</v>
      </c>
      <c r="U9" s="214"/>
      <c r="V9" s="214"/>
      <c r="W9" s="214"/>
      <c r="X9" s="214"/>
      <c r="Y9" s="214"/>
      <c r="Z9" s="214"/>
      <c r="AA9" s="214"/>
      <c r="AB9" s="214"/>
      <c r="AC9" s="214"/>
      <c r="AD9" s="214"/>
      <c r="AE9" s="214"/>
      <c r="AF9" s="214"/>
      <c r="AG9" s="214"/>
      <c r="AH9" s="214"/>
      <c r="AI9" s="214"/>
      <c r="AJ9" s="214"/>
      <c r="AK9" s="214"/>
      <c r="AL9" s="214"/>
      <c r="AM9" s="214"/>
      <c r="AN9" s="214"/>
      <c r="AO9" s="214"/>
      <c r="AP9" s="214"/>
      <c r="AQ9" s="214"/>
      <c r="AR9" s="214"/>
      <c r="AS9" s="499" t="s">
        <v>488</v>
      </c>
      <c r="AU9" s="129"/>
      <c r="AV9" s="129" t="str">
        <f t="shared" si="43"/>
        <v xml:space="preserve">Добавить значение признака дифференциации</v>
      </c>
      <c r="AW9" s="129"/>
      <c r="AX9" s="129"/>
      <c r="AY9" s="50">
        <v>0</v>
      </c>
    </row>
    <row r="10" ht="21" hidden="1" customHeight="1">
      <c r="A10" s="488"/>
      <c r="B10" s="488"/>
      <c r="C10" s="488"/>
      <c r="D10" s="488"/>
      <c r="E10" s="500"/>
      <c r="F10" s="500"/>
      <c r="G10" s="500"/>
      <c r="H10" s="500"/>
      <c r="I10" s="507"/>
      <c r="J10" s="488"/>
      <c r="K10" s="488"/>
      <c r="L10" s="490"/>
      <c r="P10" s="132"/>
      <c r="Q10" s="132"/>
      <c r="R10" s="508"/>
      <c r="S10" s="524"/>
      <c r="T10" s="532" t="s">
        <v>417</v>
      </c>
      <c r="U10" s="214"/>
      <c r="V10" s="214"/>
      <c r="W10" s="214"/>
      <c r="X10" s="214"/>
      <c r="Y10" s="214"/>
      <c r="Z10" s="214"/>
      <c r="AA10" s="214"/>
      <c r="AB10" s="214"/>
      <c r="AC10" s="214"/>
      <c r="AD10" s="214"/>
      <c r="AE10" s="214"/>
      <c r="AF10" s="529"/>
      <c r="AG10" s="214"/>
      <c r="AH10" s="214"/>
      <c r="AI10" s="214"/>
      <c r="AJ10" s="214"/>
      <c r="AK10" s="214"/>
      <c r="AL10" s="214"/>
      <c r="AM10" s="214"/>
      <c r="AN10" s="214"/>
      <c r="AO10" s="214"/>
      <c r="AP10" s="214"/>
      <c r="AQ10" s="529"/>
      <c r="AR10" s="214"/>
      <c r="AS10" s="695"/>
      <c r="AU10" s="129"/>
      <c r="AV10" s="129" t="str">
        <f t="shared" ref="AV10:AV54" si="44">IF(T10="","",T10)</f>
        <v xml:space="preserve">Добавить группу потребителей</v>
      </c>
      <c r="AW10" s="129"/>
      <c r="AX10" s="129"/>
      <c r="AY10" s="50">
        <v>0</v>
      </c>
    </row>
    <row r="11" ht="21" hidden="1" customHeight="1">
      <c r="A11" s="488"/>
      <c r="B11" s="488"/>
      <c r="C11" s="488"/>
      <c r="D11" s="488"/>
      <c r="E11" s="500"/>
      <c r="F11" s="500"/>
      <c r="G11" s="500"/>
      <c r="H11" s="489"/>
      <c r="I11" s="488"/>
      <c r="J11" s="488"/>
      <c r="K11" s="488"/>
      <c r="L11" s="490"/>
      <c r="M11" s="491"/>
      <c r="N11" s="491"/>
      <c r="O11" s="53"/>
      <c r="P11" s="143"/>
      <c r="Q11" s="531"/>
      <c r="R11" s="492"/>
      <c r="S11" s="524"/>
      <c r="T11" s="696" t="s">
        <v>489</v>
      </c>
      <c r="U11" s="214"/>
      <c r="V11" s="214"/>
      <c r="W11" s="214"/>
      <c r="X11" s="214"/>
      <c r="Y11" s="214"/>
      <c r="Z11" s="214"/>
      <c r="AA11" s="214"/>
      <c r="AB11" s="214"/>
      <c r="AC11" s="214"/>
      <c r="AD11" s="214"/>
      <c r="AE11" s="214"/>
      <c r="AF11" s="529"/>
      <c r="AG11" s="214"/>
      <c r="AH11" s="214"/>
      <c r="AI11" s="214"/>
      <c r="AJ11" s="214"/>
      <c r="AK11" s="214"/>
      <c r="AL11" s="214"/>
      <c r="AM11" s="214"/>
      <c r="AN11" s="214"/>
      <c r="AO11" s="214"/>
      <c r="AP11" s="214"/>
      <c r="AQ11" s="529"/>
      <c r="AR11" s="214"/>
      <c r="AS11" s="530"/>
      <c r="AU11" s="129"/>
      <c r="AV11" s="129" t="str">
        <f t="shared" si="44"/>
        <v xml:space="preserve">Добавить наименование признака дифференциации</v>
      </c>
      <c r="AW11" s="129"/>
      <c r="AX11" s="129"/>
      <c r="AY11" s="50">
        <v>0</v>
      </c>
    </row>
    <row r="12" s="57" customFormat="1" ht="14.25" hidden="1" customHeight="1">
      <c r="A12" s="133"/>
      <c r="B12" s="133"/>
      <c r="C12" s="133"/>
      <c r="D12" s="133"/>
      <c r="E12" s="500"/>
      <c r="F12" s="489"/>
      <c r="G12" s="133"/>
      <c r="H12" s="133"/>
      <c r="I12" s="133"/>
      <c r="J12" s="133"/>
      <c r="K12" s="133"/>
      <c r="L12" s="212"/>
      <c r="M12" s="537"/>
      <c r="N12" s="537"/>
      <c r="P12" s="167"/>
      <c r="Q12" s="533"/>
      <c r="R12" s="167"/>
      <c r="S12" s="538"/>
      <c r="T12" s="541" t="s">
        <v>212</v>
      </c>
      <c r="U12" s="540"/>
      <c r="V12" s="540"/>
      <c r="W12" s="540"/>
      <c r="X12" s="540"/>
      <c r="Y12" s="540"/>
      <c r="Z12" s="540"/>
      <c r="AA12" s="540"/>
      <c r="AB12" s="540"/>
      <c r="AC12" s="540"/>
      <c r="AD12" s="540"/>
      <c r="AE12" s="540"/>
      <c r="AF12" s="540"/>
      <c r="AG12" s="540"/>
      <c r="AH12" s="540"/>
      <c r="AI12" s="540"/>
      <c r="AJ12" s="540"/>
      <c r="AK12" s="540"/>
      <c r="AL12" s="540"/>
      <c r="AM12" s="540"/>
      <c r="AN12" s="540"/>
      <c r="AO12" s="540"/>
      <c r="AP12" s="540"/>
      <c r="AQ12" s="540"/>
      <c r="AR12" s="540"/>
      <c r="AS12" s="540"/>
      <c r="AU12" s="129"/>
      <c r="AV12" s="129" t="str">
        <f t="shared" si="44"/>
        <v xml:space="preserve">Добавить централизованную систему для дифференциации</v>
      </c>
      <c r="AW12" s="129"/>
      <c r="AX12" s="129"/>
      <c r="AY12" s="57">
        <v>0</v>
      </c>
    </row>
    <row r="13" s="57" customFormat="1" ht="14.25" hidden="1" customHeight="1">
      <c r="A13" s="133"/>
      <c r="B13" s="133"/>
      <c r="C13" s="133"/>
      <c r="D13" s="133"/>
      <c r="E13" s="489"/>
      <c r="F13" s="133"/>
      <c r="G13" s="133"/>
      <c r="H13" s="133"/>
      <c r="I13" s="133"/>
      <c r="J13" s="133"/>
      <c r="K13" s="133"/>
      <c r="L13" s="212"/>
      <c r="M13" s="537"/>
      <c r="N13" s="537"/>
      <c r="O13" s="57"/>
      <c r="P13" s="167"/>
      <c r="Q13" s="533"/>
      <c r="R13" s="167"/>
      <c r="S13" s="538"/>
      <c r="T13" s="541" t="s">
        <v>213</v>
      </c>
      <c r="U13" s="540"/>
      <c r="V13" s="540"/>
      <c r="W13" s="540"/>
      <c r="X13" s="540"/>
      <c r="Y13" s="540"/>
      <c r="Z13" s="540"/>
      <c r="AA13" s="540"/>
      <c r="AB13" s="540"/>
      <c r="AC13" s="540"/>
      <c r="AD13" s="540"/>
      <c r="AE13" s="540"/>
      <c r="AF13" s="540"/>
      <c r="AG13" s="540"/>
      <c r="AH13" s="540"/>
      <c r="AI13" s="540"/>
      <c r="AJ13" s="540"/>
      <c r="AK13" s="540"/>
      <c r="AL13" s="540"/>
      <c r="AM13" s="540"/>
      <c r="AN13" s="540"/>
      <c r="AO13" s="540"/>
      <c r="AP13" s="540"/>
      <c r="AQ13" s="540"/>
      <c r="AR13" s="540"/>
      <c r="AS13" s="540"/>
      <c r="AU13" s="129"/>
      <c r="AV13" s="129" t="str">
        <f t="shared" si="44"/>
        <v xml:space="preserve">Добавить территорию для дифференциации</v>
      </c>
      <c r="AW13" s="129"/>
      <c r="AX13" s="129"/>
      <c r="AY13" s="57">
        <v>0</v>
      </c>
    </row>
    <row r="14" ht="14.25" hidden="1" customHeight="1">
      <c r="AF14" s="50"/>
      <c r="AQ14" s="50"/>
      <c r="AY14" s="50">
        <v>0</v>
      </c>
    </row>
    <row r="15" ht="14.25" hidden="1" customHeight="1">
      <c r="AG15" s="542"/>
      <c r="AH15" s="542"/>
      <c r="AI15" s="542"/>
      <c r="AJ15" s="542"/>
      <c r="AK15" s="542"/>
      <c r="AL15" s="542"/>
      <c r="AM15" s="543"/>
      <c r="AN15" s="544"/>
      <c r="AO15" s="545" t="s">
        <v>67</v>
      </c>
      <c r="AP15" s="544"/>
      <c r="AQ15" s="545" t="s">
        <v>67</v>
      </c>
      <c r="AY15" s="50">
        <v>0</v>
      </c>
    </row>
    <row r="16" ht="14.25" hidden="1" customHeight="1">
      <c r="AG16" s="542"/>
      <c r="AH16" s="542"/>
      <c r="AI16" s="542"/>
      <c r="AJ16" s="542"/>
      <c r="AK16" s="542"/>
      <c r="AL16" s="542"/>
      <c r="AM16" s="521" t="str">
        <f>AN15&amp;"-"&amp;AP15</f>
        <v>-</v>
      </c>
      <c r="AN16" s="545"/>
      <c r="AO16" s="545"/>
      <c r="AP16" s="545"/>
      <c r="AQ16" s="545"/>
      <c r="AY16" s="50">
        <v>0</v>
      </c>
    </row>
    <row r="17" ht="14.25" hidden="1" customHeight="1">
      <c r="AQ17" s="50"/>
      <c r="AY17" s="50">
        <v>0</v>
      </c>
    </row>
    <row r="18" s="53" customFormat="1" ht="22.5" hidden="1" customHeight="1">
      <c r="L18" s="113"/>
      <c r="M18" s="61"/>
      <c r="N18" s="61"/>
      <c r="O18" s="546" t="s">
        <v>419</v>
      </c>
      <c r="P18" s="61"/>
      <c r="Q18" s="547"/>
      <c r="R18" s="547"/>
      <c r="S18" s="491"/>
      <c r="W18" s="53"/>
      <c r="X18" s="53"/>
      <c r="Y18" s="53"/>
      <c r="Z18" s="53"/>
      <c r="AA18" s="53"/>
      <c r="AC18" s="546"/>
      <c r="AE18" s="546"/>
      <c r="AF18" s="53"/>
      <c r="AH18" s="53"/>
      <c r="AI18" s="53"/>
      <c r="AJ18" s="53"/>
      <c r="AK18" s="53"/>
      <c r="AL18" s="53"/>
      <c r="AN18" s="546"/>
      <c r="AP18" s="546"/>
      <c r="AQ18" s="53"/>
      <c r="AT18" s="57"/>
      <c r="AU18" s="57"/>
      <c r="AV18" s="57"/>
      <c r="AW18" s="57"/>
      <c r="AX18" s="57"/>
      <c r="AY18" s="53">
        <v>0</v>
      </c>
    </row>
    <row r="19" s="53" customFormat="1" ht="14.25" hidden="1" customHeight="1">
      <c r="L19" s="113"/>
      <c r="M19" s="61"/>
      <c r="N19" s="61"/>
      <c r="O19" s="61"/>
      <c r="P19" s="61"/>
      <c r="Q19" s="547"/>
      <c r="R19" s="547"/>
      <c r="S19" s="491"/>
      <c r="W19" s="53"/>
      <c r="X19" s="53"/>
      <c r="Y19" s="53"/>
      <c r="Z19" s="53"/>
      <c r="AA19" s="53"/>
      <c r="AF19" s="53"/>
      <c r="AH19" s="53"/>
      <c r="AI19" s="53"/>
      <c r="AJ19" s="53"/>
      <c r="AK19" s="53"/>
      <c r="AL19" s="53"/>
      <c r="AQ19" s="53"/>
      <c r="AT19" s="57"/>
      <c r="AU19" s="57"/>
      <c r="AV19" s="57"/>
      <c r="AW19" s="57"/>
      <c r="AX19" s="57"/>
      <c r="AY19" s="53">
        <v>0</v>
      </c>
    </row>
    <row r="20" s="53" customFormat="1" ht="12" hidden="1" customHeight="1">
      <c r="L20" s="113"/>
      <c r="M20" s="61"/>
      <c r="N20" s="61"/>
      <c r="O20" s="490" t="s">
        <v>420</v>
      </c>
      <c r="P20" s="61"/>
      <c r="Q20" s="697"/>
      <c r="R20" s="697"/>
      <c r="S20" s="491"/>
      <c r="T20" s="53" t="s">
        <v>421</v>
      </c>
      <c r="W20" s="53"/>
      <c r="X20" s="53"/>
      <c r="Y20" s="53"/>
      <c r="Z20" s="53"/>
      <c r="AA20" s="53"/>
      <c r="AD20" s="151" t="s">
        <v>422</v>
      </c>
      <c r="AF20" s="151" t="s">
        <v>423</v>
      </c>
      <c r="AG20" s="53" t="s">
        <v>421</v>
      </c>
      <c r="AH20" s="53"/>
      <c r="AI20" s="53"/>
      <c r="AJ20" s="53"/>
      <c r="AK20" s="53"/>
      <c r="AL20" s="53"/>
      <c r="AO20" s="151" t="s">
        <v>424</v>
      </c>
      <c r="AQ20" s="151" t="s">
        <v>423</v>
      </c>
      <c r="AY20" s="53">
        <v>0</v>
      </c>
    </row>
    <row r="21" ht="14.25" hidden="1" customHeight="1">
      <c r="O21" s="490"/>
      <c r="AY21" s="50">
        <v>0</v>
      </c>
    </row>
    <row r="22" ht="14.25" hidden="1" customHeight="1">
      <c r="O22" s="490"/>
      <c r="AY22" s="50">
        <v>0</v>
      </c>
    </row>
    <row r="23" ht="14.65" customHeight="1">
      <c r="Q23" s="548"/>
      <c r="R23" s="548"/>
      <c r="S23" s="549"/>
      <c r="T23" s="91"/>
      <c r="U23" s="91"/>
      <c r="V23" s="50"/>
      <c r="W23" s="50"/>
      <c r="X23" s="50"/>
      <c r="Y23" s="50"/>
      <c r="Z23" s="50"/>
      <c r="AA23" s="50"/>
      <c r="AB23" s="50"/>
      <c r="AC23" s="50"/>
      <c r="AD23" s="50"/>
      <c r="AE23" s="50"/>
      <c r="AF23" s="50"/>
      <c r="AG23" s="50"/>
      <c r="AH23" s="50"/>
      <c r="AI23" s="50"/>
      <c r="AJ23" s="50"/>
      <c r="AK23" s="50"/>
      <c r="AL23" s="50"/>
      <c r="AM23" s="50"/>
      <c r="AN23" s="50"/>
      <c r="AO23" s="50"/>
      <c r="AP23" s="50"/>
      <c r="AQ23" s="50"/>
      <c r="AY23" s="50">
        <v>14</v>
      </c>
    </row>
    <row r="24" ht="26.25" customHeight="1">
      <c r="Q24" s="548"/>
      <c r="R24" s="548"/>
      <c r="S24" s="461" t="str">
        <f>IF(TEMPLATE_GROUP="P",PT_P_FORM_HOTVSNA_4_NAME_FORM,PT_R_FORM_HOTVSNA_16_NAME_FORM)</f>
        <v xml:space="preserve">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461"/>
      <c r="U24" s="461"/>
      <c r="V24" s="461"/>
      <c r="W24" s="461"/>
      <c r="X24" s="461"/>
      <c r="Y24" s="461"/>
      <c r="Z24" s="461"/>
      <c r="AA24" s="461"/>
      <c r="AB24" s="461"/>
      <c r="AC24" s="461"/>
      <c r="AD24" s="461"/>
      <c r="AE24" s="461"/>
      <c r="AF24" s="461"/>
      <c r="AG24" s="461"/>
      <c r="AH24" s="461"/>
      <c r="AI24" s="461"/>
      <c r="AJ24" s="461"/>
      <c r="AK24" s="461"/>
      <c r="AL24" s="461"/>
      <c r="AM24" s="461"/>
      <c r="AN24" s="461"/>
      <c r="AO24" s="461"/>
      <c r="AP24" s="461"/>
      <c r="AQ24" s="240"/>
      <c r="AY24" s="50">
        <v>25</v>
      </c>
    </row>
    <row r="25" ht="14.65" customHeight="1">
      <c r="Q25" s="548"/>
      <c r="R25" s="548"/>
      <c r="S25" s="316" t="str">
        <f>IF(org=0,"Не определено",org)</f>
        <v xml:space="preserve">АО "ДГК"</v>
      </c>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6"/>
      <c r="AQ25" s="240"/>
      <c r="AY25" s="50">
        <v>14</v>
      </c>
    </row>
    <row r="26" ht="14.25" hidden="1" customHeight="1">
      <c r="Q26" s="548"/>
      <c r="R26" s="548"/>
      <c r="S26" s="549"/>
      <c r="T26" s="91"/>
      <c r="U26" s="91"/>
      <c r="V26" s="550"/>
      <c r="W26" s="550"/>
      <c r="X26" s="550"/>
      <c r="Y26" s="550"/>
      <c r="Z26" s="550"/>
      <c r="AA26" s="550"/>
      <c r="AB26" s="550"/>
      <c r="AC26" s="550"/>
      <c r="AD26" s="550"/>
      <c r="AE26" s="550"/>
      <c r="AF26" s="550"/>
      <c r="AG26" s="550"/>
      <c r="AH26" s="550"/>
      <c r="AI26" s="550"/>
      <c r="AJ26" s="550"/>
      <c r="AK26" s="550"/>
      <c r="AL26" s="550"/>
      <c r="AM26" s="550"/>
      <c r="AN26" s="550"/>
      <c r="AO26" s="550"/>
      <c r="AP26" s="550"/>
      <c r="AQ26" s="550"/>
      <c r="AR26" s="50"/>
      <c r="AY26" s="50">
        <v>0</v>
      </c>
    </row>
    <row r="27" s="184" customFormat="1" ht="25.5" hidden="1" customHeight="1">
      <c r="A27" s="151"/>
      <c r="B27" s="151"/>
      <c r="C27" s="151"/>
      <c r="D27" s="151"/>
      <c r="E27" s="151"/>
      <c r="F27" s="151"/>
      <c r="G27" s="151"/>
      <c r="H27" s="151"/>
      <c r="I27" s="151"/>
      <c r="J27" s="151"/>
      <c r="K27" s="151"/>
      <c r="L27" s="490"/>
      <c r="M27" s="151"/>
      <c r="N27" s="151"/>
      <c r="O27" s="151"/>
      <c r="S27" s="551" t="s">
        <v>42</v>
      </c>
      <c r="T27" s="551"/>
      <c r="U27" s="552"/>
      <c r="V27" s="553" t="str">
        <f>IF(TITLE_NAME_OR_PR_CHANGE="",IF(TITLE_NAME_OR_PR="","",TITLE_NAME_OR_PR),TITLE_NAME_OR_PR_CHANGE)</f>
        <v/>
      </c>
      <c r="W27" s="553"/>
      <c r="X27" s="553"/>
      <c r="Y27" s="553"/>
      <c r="Z27" s="553"/>
      <c r="AA27" s="553"/>
      <c r="AB27" s="553"/>
      <c r="AC27" s="553"/>
      <c r="AD27" s="553"/>
      <c r="AE27" s="553"/>
      <c r="AF27" s="50"/>
      <c r="AG27" s="553" t="str">
        <f>IF(TITLE_NAME_OR_PR_CHANGE="",IF(TITLE_NAME_OR_PR="","",TITLE_NAME_OR_PR),TITLE_NAME_OR_PR_CHANGE)</f>
        <v/>
      </c>
      <c r="AH27" s="553"/>
      <c r="AI27" s="553"/>
      <c r="AJ27" s="553"/>
      <c r="AK27" s="553"/>
      <c r="AL27" s="553"/>
      <c r="AM27" s="553"/>
      <c r="AN27" s="553"/>
      <c r="AO27" s="553"/>
      <c r="AP27" s="553"/>
      <c r="AQ27" s="50"/>
      <c r="AR27" s="50"/>
      <c r="AS27" s="554"/>
      <c r="AT27" s="129"/>
      <c r="AU27" s="129"/>
      <c r="AV27" s="129"/>
      <c r="AW27" s="129"/>
      <c r="AX27" s="129"/>
      <c r="AY27" s="184">
        <v>0</v>
      </c>
    </row>
    <row r="28" s="184" customFormat="1" ht="18.75" hidden="1" customHeight="1">
      <c r="A28" s="151"/>
      <c r="B28" s="151"/>
      <c r="C28" s="151"/>
      <c r="D28" s="151"/>
      <c r="E28" s="151"/>
      <c r="F28" s="151"/>
      <c r="G28" s="151"/>
      <c r="H28" s="151"/>
      <c r="I28" s="151"/>
      <c r="J28" s="151"/>
      <c r="K28" s="151"/>
      <c r="L28" s="490"/>
      <c r="M28" s="151"/>
      <c r="N28" s="151"/>
      <c r="O28" s="151"/>
      <c r="S28" s="551" t="s">
        <v>425</v>
      </c>
      <c r="T28" s="551"/>
      <c r="U28" s="552"/>
      <c r="V28" s="555">
        <f>IF(TITLE_DATE_PR_CHANGE="",IF(TITLE_DATE_PR="","",TITLE_DATE_PR),TITLE_DATE_PR_CHANGE)</f>
        <v>46212.428518518522</v>
      </c>
      <c r="W28" s="555"/>
      <c r="X28" s="555"/>
      <c r="Y28" s="555"/>
      <c r="Z28" s="555"/>
      <c r="AA28" s="555"/>
      <c r="AB28" s="555"/>
      <c r="AC28" s="555"/>
      <c r="AD28" s="555"/>
      <c r="AE28" s="555"/>
      <c r="AF28" s="50"/>
      <c r="AG28" s="555">
        <f>IF(TITLE_DATE_PR_CHANGE="",IF(TITLE_DATE_PR="","",TITLE_DATE_PR),TITLE_DATE_PR_CHANGE)</f>
        <v>46212.428518518522</v>
      </c>
      <c r="AH28" s="555"/>
      <c r="AI28" s="555"/>
      <c r="AJ28" s="555"/>
      <c r="AK28" s="555"/>
      <c r="AL28" s="555"/>
      <c r="AM28" s="555"/>
      <c r="AN28" s="555"/>
      <c r="AO28" s="555"/>
      <c r="AP28" s="555"/>
      <c r="AQ28" s="50"/>
      <c r="AR28" s="50"/>
      <c r="AS28" s="554"/>
      <c r="AT28" s="129"/>
      <c r="AU28" s="129"/>
      <c r="AV28" s="129"/>
      <c r="AW28" s="129"/>
      <c r="AX28" s="129"/>
      <c r="AY28" s="184">
        <v>0</v>
      </c>
    </row>
    <row r="29" s="184" customFormat="1" ht="18.75" hidden="1" customHeight="1">
      <c r="A29" s="151"/>
      <c r="B29" s="151"/>
      <c r="C29" s="151"/>
      <c r="D29" s="151"/>
      <c r="E29" s="151"/>
      <c r="F29" s="151"/>
      <c r="G29" s="151"/>
      <c r="H29" s="151"/>
      <c r="I29" s="151"/>
      <c r="J29" s="151"/>
      <c r="K29" s="151"/>
      <c r="L29" s="490"/>
      <c r="M29" s="151"/>
      <c r="N29" s="151"/>
      <c r="O29" s="151"/>
      <c r="S29" s="551" t="s">
        <v>426</v>
      </c>
      <c r="T29" s="551"/>
      <c r="U29" s="552"/>
      <c r="V29" s="553" t="str">
        <f>IF(TITLE_NUMBER_PR_CHANGE="",IF(TITLE_NUMBER_PR="","",TITLE_NUMBER_PR),TITLE_NUMBER_PR_CHANGE)</f>
        <v>Исх-260/1397</v>
      </c>
      <c r="W29" s="553"/>
      <c r="X29" s="553"/>
      <c r="Y29" s="553"/>
      <c r="Z29" s="553"/>
      <c r="AA29" s="553"/>
      <c r="AB29" s="553"/>
      <c r="AC29" s="553"/>
      <c r="AD29" s="553"/>
      <c r="AE29" s="553"/>
      <c r="AF29" s="50"/>
      <c r="AG29" s="553" t="str">
        <f>IF(TITLE_NUMBER_PR_CHANGE="",IF(TITLE_NUMBER_PR="","",TITLE_NUMBER_PR),TITLE_NUMBER_PR_CHANGE)</f>
        <v>Исх-260/1397</v>
      </c>
      <c r="AH29" s="553"/>
      <c r="AI29" s="553"/>
      <c r="AJ29" s="553"/>
      <c r="AK29" s="553"/>
      <c r="AL29" s="553"/>
      <c r="AM29" s="553"/>
      <c r="AN29" s="553"/>
      <c r="AO29" s="553"/>
      <c r="AP29" s="553"/>
      <c r="AQ29" s="50"/>
      <c r="AR29" s="50"/>
      <c r="AS29" s="554"/>
      <c r="AT29" s="129"/>
      <c r="AU29" s="129"/>
      <c r="AV29" s="129"/>
      <c r="AW29" s="129"/>
      <c r="AX29" s="129"/>
      <c r="AY29" s="184">
        <v>0</v>
      </c>
    </row>
    <row r="30" s="184" customFormat="1" ht="18.75" hidden="1" customHeight="1">
      <c r="A30" s="151"/>
      <c r="B30" s="151"/>
      <c r="C30" s="151"/>
      <c r="D30" s="151"/>
      <c r="E30" s="151"/>
      <c r="F30" s="151"/>
      <c r="G30" s="151"/>
      <c r="H30" s="151"/>
      <c r="I30" s="151"/>
      <c r="J30" s="151"/>
      <c r="K30" s="151"/>
      <c r="L30" s="490"/>
      <c r="M30" s="151"/>
      <c r="N30" s="151"/>
      <c r="O30" s="151"/>
      <c r="S30" s="551" t="s">
        <v>43</v>
      </c>
      <c r="T30" s="551"/>
      <c r="U30" s="552"/>
      <c r="V30" s="553" t="str">
        <f>IF(TITLE_IST_PUB_CHANGE="",IF(TITLE_IST_PUB="","",TITLE_IST_PUB),TITLE_IST_PUB_CHANGE)</f>
        <v/>
      </c>
      <c r="W30" s="553"/>
      <c r="X30" s="553"/>
      <c r="Y30" s="553"/>
      <c r="Z30" s="553"/>
      <c r="AA30" s="553"/>
      <c r="AB30" s="553"/>
      <c r="AC30" s="553"/>
      <c r="AD30" s="553"/>
      <c r="AE30" s="553"/>
      <c r="AF30" s="50"/>
      <c r="AG30" s="553" t="str">
        <f>IF(TITLE_IST_PUB_CHANGE="",IF(TITLE_IST_PUB="","",TITLE_IST_PUB),TITLE_IST_PUB_CHANGE)</f>
        <v/>
      </c>
      <c r="AH30" s="553"/>
      <c r="AI30" s="553"/>
      <c r="AJ30" s="553"/>
      <c r="AK30" s="553"/>
      <c r="AL30" s="553"/>
      <c r="AM30" s="553"/>
      <c r="AN30" s="553"/>
      <c r="AO30" s="553"/>
      <c r="AP30" s="553"/>
      <c r="AQ30" s="50"/>
      <c r="AR30" s="50"/>
      <c r="AS30" s="554"/>
      <c r="AT30" s="129"/>
      <c r="AU30" s="129"/>
      <c r="AV30" s="129"/>
      <c r="AW30" s="129"/>
      <c r="AX30" s="129"/>
      <c r="AY30" s="184">
        <v>0</v>
      </c>
    </row>
    <row r="31" ht="14.25" customHeight="1">
      <c r="Q31" s="548"/>
      <c r="R31" s="548"/>
      <c r="S31" s="549"/>
      <c r="T31" s="91"/>
      <c r="U31" s="91"/>
      <c r="V31" s="550"/>
      <c r="W31" s="550"/>
      <c r="X31" s="550"/>
      <c r="Y31" s="550"/>
      <c r="Z31" s="550"/>
      <c r="AA31" s="550"/>
      <c r="AB31" s="550"/>
      <c r="AC31" s="550"/>
      <c r="AD31" s="550"/>
      <c r="AE31" s="550"/>
      <c r="AF31" s="550"/>
      <c r="AG31" s="550"/>
      <c r="AH31" s="550"/>
      <c r="AI31" s="550"/>
      <c r="AJ31" s="550"/>
      <c r="AK31" s="550"/>
      <c r="AL31" s="550"/>
      <c r="AM31" s="550"/>
      <c r="AN31" s="550"/>
      <c r="AO31" s="550"/>
      <c r="AP31" s="550"/>
      <c r="AQ31" s="550"/>
      <c r="AR31" s="50"/>
      <c r="AY31" s="50">
        <v>0</v>
      </c>
    </row>
    <row r="32" s="184" customFormat="1" ht="18.75" customHeight="1">
      <c r="A32" s="151"/>
      <c r="B32" s="151"/>
      <c r="C32" s="151"/>
      <c r="D32" s="151"/>
      <c r="E32" s="151"/>
      <c r="F32" s="151"/>
      <c r="G32" s="151"/>
      <c r="H32" s="151"/>
      <c r="I32" s="151"/>
      <c r="J32" s="151"/>
      <c r="K32" s="151"/>
      <c r="L32" s="490"/>
      <c r="M32" s="151"/>
      <c r="N32" s="151"/>
      <c r="O32" s="151"/>
      <c r="S32" s="551" t="s">
        <v>427</v>
      </c>
      <c r="T32" s="551"/>
      <c r="U32" s="552"/>
      <c r="V32" s="555">
        <f>IF(TITLE_DATE_PR_CHANGE="",IF(TITLE_DATE_PR="","",TITLE_DATE_PR),TITLE_DATE_PR_CHANGE)</f>
        <v>46212.428518518522</v>
      </c>
      <c r="W32" s="555"/>
      <c r="X32" s="555"/>
      <c r="Y32" s="555"/>
      <c r="Z32" s="555"/>
      <c r="AA32" s="555"/>
      <c r="AB32" s="555"/>
      <c r="AC32" s="555"/>
      <c r="AD32" s="555"/>
      <c r="AE32" s="555"/>
      <c r="AF32" s="50"/>
      <c r="AG32" s="555">
        <f>IF(TITLE_DATE_PR_CHANGE="",IF(TITLE_DATE_PR="","",TITLE_DATE_PR),TITLE_DATE_PR_CHANGE)</f>
        <v>46212.428518518522</v>
      </c>
      <c r="AH32" s="555"/>
      <c r="AI32" s="555"/>
      <c r="AJ32" s="555"/>
      <c r="AK32" s="555"/>
      <c r="AL32" s="555"/>
      <c r="AM32" s="555"/>
      <c r="AN32" s="555"/>
      <c r="AO32" s="555"/>
      <c r="AP32" s="555"/>
      <c r="AQ32" s="50"/>
      <c r="AR32" s="50"/>
      <c r="AS32" s="554"/>
      <c r="AT32" s="129"/>
      <c r="AU32" s="129"/>
      <c r="AV32" s="129"/>
      <c r="AW32" s="129"/>
      <c r="AX32" s="129"/>
      <c r="AY32" s="184">
        <v>0</v>
      </c>
    </row>
    <row r="33" s="184" customFormat="1" ht="18.75" customHeight="1">
      <c r="A33" s="151"/>
      <c r="B33" s="151"/>
      <c r="C33" s="151"/>
      <c r="D33" s="151"/>
      <c r="E33" s="151"/>
      <c r="F33" s="151"/>
      <c r="G33" s="151"/>
      <c r="H33" s="151"/>
      <c r="I33" s="151"/>
      <c r="J33" s="151"/>
      <c r="K33" s="151"/>
      <c r="L33" s="490"/>
      <c r="M33" s="151"/>
      <c r="N33" s="151"/>
      <c r="O33" s="151"/>
      <c r="S33" s="551" t="s">
        <v>428</v>
      </c>
      <c r="T33" s="551"/>
      <c r="U33" s="552"/>
      <c r="V33" s="553" t="str">
        <f>IF(TITLE_NUMBER_PR_CHANGE="",IF(TITLE_NUMBER_PR="","",TITLE_NUMBER_PR),TITLE_NUMBER_PR_CHANGE)</f>
        <v>Исх-260/1397</v>
      </c>
      <c r="W33" s="553"/>
      <c r="X33" s="553"/>
      <c r="Y33" s="553"/>
      <c r="Z33" s="553"/>
      <c r="AA33" s="553"/>
      <c r="AB33" s="553"/>
      <c r="AC33" s="553"/>
      <c r="AD33" s="553"/>
      <c r="AE33" s="553"/>
      <c r="AF33" s="50"/>
      <c r="AG33" s="553" t="str">
        <f>IF(TITLE_NUMBER_PR_CHANGE="",IF(TITLE_NUMBER_PR="","",TITLE_NUMBER_PR),TITLE_NUMBER_PR_CHANGE)</f>
        <v>Исх-260/1397</v>
      </c>
      <c r="AH33" s="553"/>
      <c r="AI33" s="553"/>
      <c r="AJ33" s="553"/>
      <c r="AK33" s="553"/>
      <c r="AL33" s="553"/>
      <c r="AM33" s="553"/>
      <c r="AN33" s="553"/>
      <c r="AO33" s="553"/>
      <c r="AP33" s="553"/>
      <c r="AQ33" s="50"/>
      <c r="AR33" s="50"/>
      <c r="AS33" s="554"/>
      <c r="AT33" s="129"/>
      <c r="AU33" s="129"/>
      <c r="AV33" s="129"/>
      <c r="AW33" s="129"/>
      <c r="AX33" s="129"/>
      <c r="AY33" s="184">
        <v>0</v>
      </c>
    </row>
    <row r="34" s="184" customFormat="1" ht="1.05" customHeight="1">
      <c r="A34" s="151"/>
      <c r="B34" s="151"/>
      <c r="C34" s="151"/>
      <c r="D34" s="151"/>
      <c r="E34" s="151"/>
      <c r="F34" s="151"/>
      <c r="G34" s="151"/>
      <c r="H34" s="151"/>
      <c r="I34" s="151"/>
      <c r="J34" s="151"/>
      <c r="K34" s="151"/>
      <c r="L34" s="490"/>
      <c r="M34" s="151"/>
      <c r="N34" s="151"/>
      <c r="O34" s="151"/>
      <c r="S34" s="50"/>
      <c r="T34" s="50"/>
      <c r="U34" s="140"/>
      <c r="V34" s="50"/>
      <c r="W34" s="50"/>
      <c r="X34" s="50"/>
      <c r="Y34" s="50"/>
      <c r="Z34" s="50"/>
      <c r="AA34" s="50"/>
      <c r="AB34" s="50"/>
      <c r="AC34" s="50"/>
      <c r="AD34" s="50"/>
      <c r="AE34" s="50"/>
      <c r="AF34" s="57" t="s">
        <v>429</v>
      </c>
      <c r="AG34" s="50"/>
      <c r="AH34" s="50"/>
      <c r="AI34" s="50"/>
      <c r="AJ34" s="50"/>
      <c r="AK34" s="50"/>
      <c r="AL34" s="50"/>
      <c r="AM34" s="50"/>
      <c r="AN34" s="50"/>
      <c r="AO34" s="50"/>
      <c r="AP34" s="50"/>
      <c r="AQ34" s="57" t="s">
        <v>429</v>
      </c>
      <c r="AT34" s="129"/>
      <c r="AU34" s="129"/>
      <c r="AV34" s="129"/>
      <c r="AW34" s="129"/>
      <c r="AX34" s="129"/>
      <c r="AY34" s="184">
        <v>1</v>
      </c>
    </row>
    <row r="35" ht="14.65" customHeight="1">
      <c r="Q35" s="548"/>
      <c r="R35" s="548"/>
      <c r="S35" s="549"/>
      <c r="T35" s="91"/>
      <c r="U35" s="556"/>
      <c r="V35" s="557"/>
      <c r="W35" s="557"/>
      <c r="X35" s="557"/>
      <c r="Y35" s="557"/>
      <c r="Z35" s="557"/>
      <c r="AA35" s="557"/>
      <c r="AB35" s="557"/>
      <c r="AC35" s="557"/>
      <c r="AD35" s="557"/>
      <c r="AE35" s="557"/>
      <c r="AF35" s="557"/>
      <c r="AG35" s="557"/>
      <c r="AH35" s="557"/>
      <c r="AI35" s="557"/>
      <c r="AJ35" s="557"/>
      <c r="AK35" s="557"/>
      <c r="AL35" s="557"/>
      <c r="AM35" s="557"/>
      <c r="AN35" s="557"/>
      <c r="AO35" s="557"/>
      <c r="AP35" s="557"/>
      <c r="AQ35" s="557"/>
      <c r="AY35" s="50">
        <v>14</v>
      </c>
    </row>
    <row r="36" ht="14.65" customHeight="1">
      <c r="Q36" s="548"/>
      <c r="R36" s="548"/>
      <c r="S36" s="157" t="s">
        <v>305</v>
      </c>
      <c r="T36" s="157"/>
      <c r="U36" s="157"/>
      <c r="V36" s="157"/>
      <c r="W36" s="157"/>
      <c r="X36" s="157"/>
      <c r="Y36" s="157"/>
      <c r="Z36" s="157"/>
      <c r="AA36" s="157"/>
      <c r="AB36" s="157"/>
      <c r="AC36" s="157"/>
      <c r="AD36" s="157"/>
      <c r="AE36" s="157"/>
      <c r="AF36" s="157"/>
      <c r="AG36" s="157"/>
      <c r="AH36" s="157"/>
      <c r="AI36" s="157"/>
      <c r="AJ36" s="157"/>
      <c r="AK36" s="157"/>
      <c r="AL36" s="157"/>
      <c r="AM36" s="157"/>
      <c r="AN36" s="157"/>
      <c r="AO36" s="157"/>
      <c r="AP36" s="157"/>
      <c r="AQ36" s="157"/>
      <c r="AR36" s="157"/>
      <c r="AS36" s="157" t="s">
        <v>306</v>
      </c>
      <c r="AY36" s="50">
        <v>14</v>
      </c>
    </row>
    <row r="37" ht="14.65" customHeight="1">
      <c r="Q37" s="548"/>
      <c r="R37" s="548"/>
      <c r="S37" s="493" t="s">
        <v>89</v>
      </c>
      <c r="T37" s="358" t="s">
        <v>430</v>
      </c>
      <c r="U37" s="558"/>
      <c r="V37" s="559" t="s">
        <v>431</v>
      </c>
      <c r="W37" s="560"/>
      <c r="X37" s="560"/>
      <c r="Y37" s="560"/>
      <c r="Z37" s="560"/>
      <c r="AA37" s="560"/>
      <c r="AB37" s="560"/>
      <c r="AC37" s="560"/>
      <c r="AD37" s="560"/>
      <c r="AE37" s="561"/>
      <c r="AF37" s="562" t="s">
        <v>432</v>
      </c>
      <c r="AG37" s="559" t="s">
        <v>431</v>
      </c>
      <c r="AH37" s="560"/>
      <c r="AI37" s="560"/>
      <c r="AJ37" s="560"/>
      <c r="AK37" s="560"/>
      <c r="AL37" s="560"/>
      <c r="AM37" s="560"/>
      <c r="AN37" s="560"/>
      <c r="AO37" s="560"/>
      <c r="AP37" s="561"/>
      <c r="AQ37" s="562" t="s">
        <v>433</v>
      </c>
      <c r="AR37" s="563" t="s">
        <v>434</v>
      </c>
      <c r="AS37" s="157"/>
      <c r="AY37" s="50">
        <v>14</v>
      </c>
    </row>
    <row r="38" s="50" customFormat="1" ht="19.949999999999999" customHeight="1">
      <c r="A38" s="53"/>
      <c r="B38" s="53"/>
      <c r="C38" s="53"/>
      <c r="D38" s="53"/>
      <c r="E38" s="53"/>
      <c r="F38" s="53"/>
      <c r="G38" s="53"/>
      <c r="H38" s="53"/>
      <c r="I38" s="53"/>
      <c r="J38" s="53"/>
      <c r="K38" s="53"/>
      <c r="L38" s="113"/>
      <c r="M38" s="61"/>
      <c r="N38" s="61"/>
      <c r="O38" s="61"/>
      <c r="P38" s="60"/>
      <c r="Q38" s="548"/>
      <c r="R38" s="548"/>
      <c r="S38" s="493"/>
      <c r="T38" s="358"/>
      <c r="U38" s="564"/>
      <c r="V38" s="157" t="s">
        <v>536</v>
      </c>
      <c r="W38" s="714" t="s">
        <v>537</v>
      </c>
      <c r="X38" s="714"/>
      <c r="Y38" s="714"/>
      <c r="Z38" s="714" t="s">
        <v>538</v>
      </c>
      <c r="AA38" s="714"/>
      <c r="AB38" s="714"/>
      <c r="AC38" s="317" t="s">
        <v>438</v>
      </c>
      <c r="AD38" s="635"/>
      <c r="AE38" s="318"/>
      <c r="AF38" s="566"/>
      <c r="AG38" s="157" t="s">
        <v>536</v>
      </c>
      <c r="AH38" s="714" t="s">
        <v>537</v>
      </c>
      <c r="AI38" s="714"/>
      <c r="AJ38" s="714"/>
      <c r="AK38" s="714" t="s">
        <v>538</v>
      </c>
      <c r="AL38" s="714"/>
      <c r="AM38" s="714"/>
      <c r="AN38" s="317" t="s">
        <v>438</v>
      </c>
      <c r="AO38" s="635"/>
      <c r="AP38" s="318"/>
      <c r="AQ38" s="566"/>
      <c r="AR38" s="567"/>
      <c r="AS38" s="157"/>
      <c r="AT38" s="57"/>
      <c r="AU38" s="57"/>
      <c r="AV38" s="57"/>
      <c r="AW38" s="57"/>
      <c r="AX38" s="57"/>
      <c r="AY38" s="50">
        <v>19</v>
      </c>
    </row>
    <row r="39" ht="19.949999999999999" customHeight="1">
      <c r="Q39" s="548"/>
      <c r="R39" s="548"/>
      <c r="S39" s="493"/>
      <c r="T39" s="358"/>
      <c r="U39" s="564"/>
      <c r="V39" s="157"/>
      <c r="W39" s="714" t="s">
        <v>539</v>
      </c>
      <c r="X39" s="714" t="s">
        <v>540</v>
      </c>
      <c r="Y39" s="714"/>
      <c r="Z39" s="714" t="s">
        <v>541</v>
      </c>
      <c r="AA39" s="714" t="s">
        <v>540</v>
      </c>
      <c r="AB39" s="714"/>
      <c r="AC39" s="323"/>
      <c r="AD39" s="636"/>
      <c r="AE39" s="324"/>
      <c r="AF39" s="566"/>
      <c r="AG39" s="157"/>
      <c r="AH39" s="714" t="s">
        <v>539</v>
      </c>
      <c r="AI39" s="714" t="s">
        <v>540</v>
      </c>
      <c r="AJ39" s="714"/>
      <c r="AK39" s="714" t="s">
        <v>541</v>
      </c>
      <c r="AL39" s="714" t="s">
        <v>540</v>
      </c>
      <c r="AM39" s="714"/>
      <c r="AN39" s="323"/>
      <c r="AO39" s="636"/>
      <c r="AP39" s="324"/>
      <c r="AQ39" s="566"/>
      <c r="AR39" s="567"/>
      <c r="AS39" s="157"/>
      <c r="AY39" s="50">
        <v>19</v>
      </c>
    </row>
    <row r="40" ht="61.950000000000003" customHeight="1">
      <c r="A40" s="151"/>
      <c r="B40" s="151" t="s">
        <v>135</v>
      </c>
      <c r="C40" s="151" t="s">
        <v>136</v>
      </c>
      <c r="D40" s="151" t="s">
        <v>137</v>
      </c>
      <c r="E40" s="490" t="s">
        <v>439</v>
      </c>
      <c r="F40" s="490" t="s">
        <v>440</v>
      </c>
      <c r="G40" s="490" t="s">
        <v>441</v>
      </c>
      <c r="H40" s="490"/>
      <c r="I40" s="490" t="s">
        <v>491</v>
      </c>
      <c r="J40" s="490" t="s">
        <v>444</v>
      </c>
      <c r="K40" s="490" t="s">
        <v>492</v>
      </c>
      <c r="L40" s="490" t="s">
        <v>420</v>
      </c>
      <c r="Q40" s="548"/>
      <c r="R40" s="548"/>
      <c r="S40" s="493"/>
      <c r="T40" s="358"/>
      <c r="U40" s="568"/>
      <c r="V40" s="157"/>
      <c r="W40" s="714"/>
      <c r="X40" s="714" t="s">
        <v>542</v>
      </c>
      <c r="Y40" s="714" t="s">
        <v>543</v>
      </c>
      <c r="Z40" s="714"/>
      <c r="AA40" s="714" t="s">
        <v>544</v>
      </c>
      <c r="AB40" s="714" t="s">
        <v>545</v>
      </c>
      <c r="AC40" s="246" t="s">
        <v>448</v>
      </c>
      <c r="AD40" s="424" t="s">
        <v>449</v>
      </c>
      <c r="AE40" s="426"/>
      <c r="AF40" s="570"/>
      <c r="AG40" s="157"/>
      <c r="AH40" s="714"/>
      <c r="AI40" s="714" t="s">
        <v>542</v>
      </c>
      <c r="AJ40" s="714" t="s">
        <v>543</v>
      </c>
      <c r="AK40" s="714"/>
      <c r="AL40" s="714" t="s">
        <v>544</v>
      </c>
      <c r="AM40" s="714" t="s">
        <v>545</v>
      </c>
      <c r="AN40" s="246" t="s">
        <v>448</v>
      </c>
      <c r="AO40" s="424" t="s">
        <v>449</v>
      </c>
      <c r="AP40" s="426"/>
      <c r="AQ40" s="570"/>
      <c r="AR40" s="571"/>
      <c r="AS40" s="157"/>
      <c r="AY40" s="50">
        <v>59</v>
      </c>
    </row>
    <row r="41" s="131" customFormat="1" ht="11.25" hidden="1" customHeight="1">
      <c r="A41" s="151"/>
      <c r="B41" s="151"/>
      <c r="C41" s="151"/>
      <c r="D41" s="151"/>
      <c r="E41" s="151"/>
      <c r="F41" s="151"/>
      <c r="G41" s="151"/>
      <c r="H41" s="151"/>
      <c r="I41" s="151"/>
      <c r="J41" s="151"/>
      <c r="K41" s="151"/>
      <c r="L41" s="490"/>
      <c r="M41" s="61"/>
      <c r="N41" s="61"/>
      <c r="O41" s="61"/>
      <c r="P41" s="572"/>
      <c r="Q41" s="573"/>
      <c r="R41" s="574">
        <v>1</v>
      </c>
      <c r="S41" s="575" t="s">
        <v>109</v>
      </c>
      <c r="T41" s="576" t="s">
        <v>110</v>
      </c>
      <c r="U41" s="577" t="str">
        <f ca="1">OFFSET(U41,0,-1)</f>
        <v>2</v>
      </c>
      <c r="V41" s="578">
        <f ca="1">OFFSET(V41,0,-1)+1</f>
        <v>3</v>
      </c>
      <c r="W41" s="578"/>
      <c r="X41" s="578"/>
      <c r="Y41" s="578"/>
      <c r="Z41" s="578"/>
      <c r="AA41" s="578"/>
      <c r="AB41" s="578">
        <f ca="1">OFFSET(AB41,0,-1)+1</f>
        <v>1</v>
      </c>
      <c r="AC41" s="578">
        <f ca="1">OFFSET(AC41,0,-1)+1</f>
        <v>2</v>
      </c>
      <c r="AD41" s="578">
        <f ca="1">OFFSET(AD41,0,-1)+1</f>
        <v>3</v>
      </c>
      <c r="AE41" s="578"/>
      <c r="AF41" s="578">
        <f ca="1">OFFSET(AF41,0,-2)+1</f>
        <v>4</v>
      </c>
      <c r="AG41" s="578">
        <f ca="1">OFFSET(AG41,0,-1)+1</f>
        <v>5</v>
      </c>
      <c r="AH41" s="578"/>
      <c r="AI41" s="578"/>
      <c r="AJ41" s="578"/>
      <c r="AK41" s="578"/>
      <c r="AL41" s="578"/>
      <c r="AM41" s="578">
        <f ca="1">OFFSET(AM41,0,-1)+1</f>
        <v>1</v>
      </c>
      <c r="AN41" s="578">
        <f ca="1">OFFSET(AN41,0,-1)+1</f>
        <v>2</v>
      </c>
      <c r="AO41" s="578">
        <f ca="1">OFFSET(AO41,0,-1)+1</f>
        <v>3</v>
      </c>
      <c r="AP41" s="578"/>
      <c r="AQ41" s="578">
        <f ca="1">OFFSET(AQ41,0,-2)+1</f>
        <v>4</v>
      </c>
      <c r="AR41" s="577">
        <f ca="1">OFFSET(AR41,0,-1)</f>
        <v>4</v>
      </c>
      <c r="AS41" s="578">
        <f ca="1">OFFSET(AS41,0,-1)+1</f>
        <v>5</v>
      </c>
      <c r="AT41" s="57"/>
      <c r="AU41" s="57"/>
      <c r="AV41" s="57"/>
      <c r="AW41" s="57"/>
      <c r="AX41" s="57"/>
      <c r="AY41" s="131">
        <v>0</v>
      </c>
    </row>
    <row r="42" ht="24" customHeight="1">
      <c r="A42" s="488" t="s">
        <v>261</v>
      </c>
      <c r="B42" s="488"/>
      <c r="C42" s="488"/>
      <c r="D42" s="488"/>
      <c r="E42" s="489">
        <v>1</v>
      </c>
      <c r="F42" s="488"/>
      <c r="G42" s="488"/>
      <c r="H42" s="488"/>
      <c r="I42" s="488"/>
      <c r="J42" s="488"/>
      <c r="K42" s="488"/>
      <c r="L42" s="490"/>
      <c r="M42" s="491"/>
      <c r="N42" s="491"/>
      <c r="O42" s="491"/>
      <c r="P42" s="60"/>
      <c r="Q42" s="143"/>
      <c r="R42" s="492"/>
      <c r="S42" s="493">
        <f>INDEX(PT_DIFFERENTIATION_NUM_NTAR,MATCH(A42,PT_DIFFERENTIATION_NTAR_ID,0))</f>
        <v>0</v>
      </c>
      <c r="T42" s="494" t="s">
        <v>123</v>
      </c>
      <c r="U42" s="495"/>
      <c r="V42" s="496"/>
      <c r="W42" s="497"/>
      <c r="X42" s="497"/>
      <c r="Y42" s="497"/>
      <c r="Z42" s="497"/>
      <c r="AA42" s="497"/>
      <c r="AB42" s="497"/>
      <c r="AC42" s="497"/>
      <c r="AD42" s="497"/>
      <c r="AE42" s="497"/>
      <c r="AF42" s="498"/>
      <c r="AG42" s="496" t="str">
        <f>INDEX(PT_DIFFERENTIATION_NTAR,MATCH(A42,PT_DIFFERENTIATION_NTAR_ID,0))</f>
        <v/>
      </c>
      <c r="AH42" s="497"/>
      <c r="AI42" s="497"/>
      <c r="AJ42" s="497"/>
      <c r="AK42" s="497"/>
      <c r="AL42" s="497"/>
      <c r="AM42" s="497"/>
      <c r="AN42" s="497"/>
      <c r="AO42" s="497"/>
      <c r="AP42" s="497"/>
      <c r="AQ42" s="497"/>
      <c r="AR42" s="498"/>
      <c r="AS42" s="4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129"/>
      <c r="AV42" s="129" t="str">
        <f t="shared" si="44"/>
        <v xml:space="preserve">Наименование тарифа</v>
      </c>
      <c r="AW42" s="129"/>
      <c r="AX42" s="129"/>
      <c r="AY42" s="50">
        <v>23</v>
      </c>
    </row>
    <row r="43" ht="24" customHeight="1">
      <c r="A43" s="488" t="s">
        <v>261</v>
      </c>
      <c r="B43" s="488" t="s">
        <v>262</v>
      </c>
      <c r="C43" s="488"/>
      <c r="D43" s="488"/>
      <c r="E43" s="500"/>
      <c r="F43" s="489">
        <v>1</v>
      </c>
      <c r="G43" s="488"/>
      <c r="H43" s="488"/>
      <c r="I43" s="488"/>
      <c r="J43" s="488"/>
      <c r="K43" s="488"/>
      <c r="L43" s="490"/>
      <c r="M43" s="491"/>
      <c r="N43" s="491"/>
      <c r="O43" s="491"/>
      <c r="P43" s="51"/>
      <c r="Q43" s="501"/>
      <c r="R43" s="502"/>
      <c r="S43" s="493" t="str">
        <f>INDEX(PT_DIFFERENTIATION_NUM_TER,MATCH(B43,PT_DIFFERENTIATION_TER_ID,0))</f>
        <v>.</v>
      </c>
      <c r="T43" s="503" t="s">
        <v>402</v>
      </c>
      <c r="U43" s="495"/>
      <c r="V43" s="496"/>
      <c r="W43" s="497"/>
      <c r="X43" s="497"/>
      <c r="Y43" s="497"/>
      <c r="Z43" s="497"/>
      <c r="AA43" s="497"/>
      <c r="AB43" s="497"/>
      <c r="AC43" s="497"/>
      <c r="AD43" s="497"/>
      <c r="AE43" s="497"/>
      <c r="AF43" s="498"/>
      <c r="AG43" s="496" t="str">
        <f>INDEX(PT_DIFFERENTIATION_TER,MATCH(B43,PT_DIFFERENTIATION_TER_ID,0))</f>
        <v/>
      </c>
      <c r="AH43" s="497"/>
      <c r="AI43" s="497"/>
      <c r="AJ43" s="497"/>
      <c r="AK43" s="497"/>
      <c r="AL43" s="497"/>
      <c r="AM43" s="497"/>
      <c r="AN43" s="497"/>
      <c r="AO43" s="497"/>
      <c r="AP43" s="497"/>
      <c r="AQ43" s="497"/>
      <c r="AR43" s="498"/>
      <c r="AS43" s="499" t="s">
        <v>403</v>
      </c>
      <c r="AU43" s="129"/>
      <c r="AV43" s="129" t="str">
        <f t="shared" si="44"/>
        <v xml:space="preserve">Территория действия тарифа</v>
      </c>
      <c r="AW43" s="129"/>
      <c r="AX43" s="129"/>
      <c r="AY43" s="50">
        <v>23</v>
      </c>
    </row>
    <row r="44" ht="24" customHeight="1">
      <c r="A44" s="488" t="s">
        <v>261</v>
      </c>
      <c r="B44" s="488" t="s">
        <v>262</v>
      </c>
      <c r="C44" s="488" t="s">
        <v>263</v>
      </c>
      <c r="D44" s="488"/>
      <c r="E44" s="500"/>
      <c r="F44" s="500"/>
      <c r="G44" s="489">
        <v>1</v>
      </c>
      <c r="H44" s="488"/>
      <c r="I44" s="488"/>
      <c r="J44" s="488"/>
      <c r="K44" s="488"/>
      <c r="L44" s="490"/>
      <c r="M44" s="491"/>
      <c r="N44" s="491"/>
      <c r="O44" s="491"/>
      <c r="P44" s="504"/>
      <c r="Q44" s="501"/>
      <c r="R44" s="502"/>
      <c r="S44" s="493" t="str">
        <f>INDEX(PT_DIFFERENTIATION_NUM_CS,MATCH(C44,PT_DIFFERENTIATION_CS_ID,0))</f>
        <v>..</v>
      </c>
      <c r="T44" s="505" t="s">
        <v>534</v>
      </c>
      <c r="U44" s="495"/>
      <c r="V44" s="496"/>
      <c r="W44" s="497"/>
      <c r="X44" s="497"/>
      <c r="Y44" s="497"/>
      <c r="Z44" s="497"/>
      <c r="AA44" s="497"/>
      <c r="AB44" s="497"/>
      <c r="AC44" s="497"/>
      <c r="AD44" s="497"/>
      <c r="AE44" s="497"/>
      <c r="AF44" s="498"/>
      <c r="AG44" s="496" t="str">
        <f>INDEX(PT_DIFFERENTIATION_CS,MATCH(C44,PT_DIFFERENTIATION_CS_ID,0))</f>
        <v/>
      </c>
      <c r="AH44" s="497"/>
      <c r="AI44" s="497"/>
      <c r="AJ44" s="497"/>
      <c r="AK44" s="497"/>
      <c r="AL44" s="497"/>
      <c r="AM44" s="497"/>
      <c r="AN44" s="497"/>
      <c r="AO44" s="497"/>
      <c r="AP44" s="497"/>
      <c r="AQ44" s="497"/>
      <c r="AR44" s="498"/>
      <c r="AS44" s="499" t="s">
        <v>535</v>
      </c>
      <c r="AU44" s="129"/>
      <c r="AV44" s="129" t="str">
        <f t="shared" si="44"/>
        <v xml:space="preserve">Наименование централизованной системы горячего водоснабжения</v>
      </c>
      <c r="AW44" s="129"/>
      <c r="AX44" s="129"/>
      <c r="AY44" s="50">
        <v>23</v>
      </c>
    </row>
    <row r="45" ht="24" customHeight="1">
      <c r="A45" s="488" t="s">
        <v>261</v>
      </c>
      <c r="B45" s="488" t="s">
        <v>262</v>
      </c>
      <c r="C45" s="488" t="s">
        <v>263</v>
      </c>
      <c r="D45" s="488" t="s">
        <v>547</v>
      </c>
      <c r="E45" s="500"/>
      <c r="F45" s="500"/>
      <c r="G45" s="500"/>
      <c r="H45" s="500"/>
      <c r="I45" s="507" t="str">
        <f>S44&amp;".1"</f>
        <v>...1</v>
      </c>
      <c r="J45" s="488"/>
      <c r="K45" s="488"/>
      <c r="L45" s="490"/>
      <c r="P45" s="132">
        <v>1</v>
      </c>
      <c r="Q45" s="132"/>
      <c r="R45" s="508"/>
      <c r="S45" s="493" t="str">
        <f>$I45</f>
        <v>...1</v>
      </c>
      <c r="T45" s="509" t="s">
        <v>484</v>
      </c>
      <c r="U45" s="495"/>
      <c r="V45" s="685"/>
      <c r="W45" s="686"/>
      <c r="X45" s="686"/>
      <c r="Y45" s="686"/>
      <c r="Z45" s="686"/>
      <c r="AA45" s="686"/>
      <c r="AB45" s="686"/>
      <c r="AC45" s="686"/>
      <c r="AD45" s="686"/>
      <c r="AE45" s="686"/>
      <c r="AF45" s="687"/>
      <c r="AG45" s="688"/>
      <c r="AH45" s="689"/>
      <c r="AI45" s="689"/>
      <c r="AJ45" s="689"/>
      <c r="AK45" s="689"/>
      <c r="AL45" s="689"/>
      <c r="AM45" s="689"/>
      <c r="AN45" s="689"/>
      <c r="AO45" s="689"/>
      <c r="AP45" s="689"/>
      <c r="AQ45" s="689"/>
      <c r="AR45" s="690"/>
      <c r="AS45" s="499" t="s">
        <v>485</v>
      </c>
      <c r="AU45" s="129"/>
      <c r="AV45" s="129" t="str">
        <f t="shared" si="44"/>
        <v xml:space="preserve">Наименование признака дифференциации</v>
      </c>
      <c r="AW45" s="129"/>
      <c r="AX45" s="129"/>
      <c r="AY45" s="50">
        <v>23</v>
      </c>
    </row>
    <row r="46" ht="24" customHeight="1">
      <c r="A46" s="488" t="s">
        <v>261</v>
      </c>
      <c r="B46" s="488" t="s">
        <v>262</v>
      </c>
      <c r="C46" s="488" t="s">
        <v>263</v>
      </c>
      <c r="D46" s="488" t="s">
        <v>547</v>
      </c>
      <c r="E46" s="500"/>
      <c r="F46" s="500"/>
      <c r="G46" s="500"/>
      <c r="H46" s="500"/>
      <c r="I46" s="512"/>
      <c r="J46" s="507" t="str">
        <f>I45&amp;".1"</f>
        <v>...1.1</v>
      </c>
      <c r="K46" s="488"/>
      <c r="L46" s="490" t="s">
        <v>411</v>
      </c>
      <c r="P46" s="132"/>
      <c r="Q46" s="132">
        <v>1</v>
      </c>
      <c r="R46" s="513"/>
      <c r="S46" s="493" t="str">
        <f>$J46</f>
        <v>...1.1</v>
      </c>
      <c r="T46" s="514" t="s">
        <v>412</v>
      </c>
      <c r="U46" s="495"/>
      <c r="V46" s="440"/>
      <c r="W46" s="510"/>
      <c r="X46" s="510"/>
      <c r="Y46" s="510"/>
      <c r="Z46" s="510"/>
      <c r="AA46" s="510"/>
      <c r="AB46" s="510"/>
      <c r="AC46" s="510"/>
      <c r="AD46" s="510"/>
      <c r="AE46" s="510"/>
      <c r="AF46" s="511"/>
      <c r="AG46" s="440"/>
      <c r="AH46" s="510"/>
      <c r="AI46" s="510"/>
      <c r="AJ46" s="510"/>
      <c r="AK46" s="510"/>
      <c r="AL46" s="510"/>
      <c r="AM46" s="510"/>
      <c r="AN46" s="510"/>
      <c r="AO46" s="510"/>
      <c r="AP46" s="510"/>
      <c r="AQ46" s="510"/>
      <c r="AR46" s="511"/>
      <c r="AS46" s="626" t="s">
        <v>486</v>
      </c>
      <c r="AU46" s="129"/>
      <c r="AV46" s="129" t="str">
        <f t="shared" si="44"/>
        <v xml:space="preserve">Группа потребителей</v>
      </c>
      <c r="AW46" s="129"/>
      <c r="AX46" s="129"/>
      <c r="AY46" s="50">
        <v>23</v>
      </c>
    </row>
    <row r="47" ht="24" customHeight="1">
      <c r="A47" s="488" t="s">
        <v>261</v>
      </c>
      <c r="B47" s="488" t="s">
        <v>262</v>
      </c>
      <c r="C47" s="488" t="s">
        <v>263</v>
      </c>
      <c r="D47" s="488" t="s">
        <v>547</v>
      </c>
      <c r="E47" s="500"/>
      <c r="F47" s="500"/>
      <c r="G47" s="500"/>
      <c r="H47" s="500"/>
      <c r="I47" s="512"/>
      <c r="J47" s="512"/>
      <c r="K47" s="507" t="str">
        <f>J46&amp;".1"</f>
        <v>...1.1.1</v>
      </c>
      <c r="L47" s="490"/>
      <c r="P47" s="132"/>
      <c r="Q47" s="132"/>
      <c r="R47" s="513">
        <v>1</v>
      </c>
      <c r="S47" s="493" t="str">
        <f>$K47</f>
        <v>...1.1.1</v>
      </c>
      <c r="T47" s="691"/>
      <c r="U47" s="495"/>
      <c r="V47" s="542"/>
      <c r="W47" s="542"/>
      <c r="X47" s="542"/>
      <c r="Y47" s="542"/>
      <c r="Z47" s="542"/>
      <c r="AA47" s="542"/>
      <c r="AB47" s="543"/>
      <c r="AC47" s="544"/>
      <c r="AD47" s="545" t="s">
        <v>67</v>
      </c>
      <c r="AE47" s="544"/>
      <c r="AF47" s="545" t="s">
        <v>67</v>
      </c>
      <c r="AG47" s="516"/>
      <c r="AH47" s="516"/>
      <c r="AI47" s="516"/>
      <c r="AJ47" s="516"/>
      <c r="AK47" s="516"/>
      <c r="AL47" s="516"/>
      <c r="AM47" s="518"/>
      <c r="AN47" s="519"/>
      <c r="AO47" s="224" t="s">
        <v>67</v>
      </c>
      <c r="AP47" s="579"/>
      <c r="AQ47" s="224" t="s">
        <v>19</v>
      </c>
      <c r="AR47" s="692"/>
      <c r="AS47" s="69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7" t="e">
        <f>STRCHECKDATE(V48:AR48)</f>
        <v>#NAME?</v>
      </c>
      <c r="AU47" s="129"/>
      <c r="AV47" s="129" t="str">
        <f t="shared" si="44"/>
        <v/>
      </c>
      <c r="AW47" s="129"/>
      <c r="AX47" s="129"/>
      <c r="AY47" s="50">
        <v>23</v>
      </c>
    </row>
    <row r="48" ht="0" customHeight="1">
      <c r="A48" s="488" t="s">
        <v>261</v>
      </c>
      <c r="B48" s="488" t="s">
        <v>262</v>
      </c>
      <c r="C48" s="488" t="s">
        <v>263</v>
      </c>
      <c r="D48" s="488" t="s">
        <v>547</v>
      </c>
      <c r="E48" s="500"/>
      <c r="F48" s="500"/>
      <c r="G48" s="500"/>
      <c r="H48" s="500"/>
      <c r="I48" s="512"/>
      <c r="J48" s="512"/>
      <c r="K48" s="507"/>
      <c r="L48" s="490"/>
      <c r="P48" s="132"/>
      <c r="Q48" s="132"/>
      <c r="R48" s="513"/>
      <c r="S48" s="467"/>
      <c r="T48" s="495"/>
      <c r="U48" s="495"/>
      <c r="V48" s="542"/>
      <c r="W48" s="542"/>
      <c r="X48" s="542"/>
      <c r="Y48" s="542"/>
      <c r="Z48" s="542"/>
      <c r="AA48" s="542"/>
      <c r="AB48" s="521" t="str">
        <f>AC47&amp;"-"&amp;AE47</f>
        <v>-</v>
      </c>
      <c r="AC48" s="545"/>
      <c r="AD48" s="545"/>
      <c r="AE48" s="545"/>
      <c r="AF48" s="545"/>
      <c r="AG48" s="517"/>
      <c r="AH48" s="517"/>
      <c r="AI48" s="517"/>
      <c r="AJ48" s="517"/>
      <c r="AK48" s="517"/>
      <c r="AL48" s="517"/>
      <c r="AM48" s="521" t="str">
        <f>AN47&amp;"-"&amp;AP47</f>
        <v>-</v>
      </c>
      <c r="AN48" s="522"/>
      <c r="AO48" s="224"/>
      <c r="AP48" s="581"/>
      <c r="AQ48" s="224"/>
      <c r="AR48" s="694"/>
      <c r="AS48" s="693"/>
      <c r="AU48" s="129"/>
      <c r="AV48" s="129" t="str">
        <f t="shared" si="44"/>
        <v/>
      </c>
      <c r="AW48" s="129"/>
      <c r="AX48" s="129"/>
      <c r="AY48" s="50">
        <v>0</v>
      </c>
    </row>
    <row r="49" ht="21" customHeight="1">
      <c r="A49" s="488" t="s">
        <v>261</v>
      </c>
      <c r="B49" s="488" t="s">
        <v>262</v>
      </c>
      <c r="C49" s="488" t="s">
        <v>263</v>
      </c>
      <c r="D49" s="488" t="s">
        <v>547</v>
      </c>
      <c r="E49" s="500"/>
      <c r="F49" s="500"/>
      <c r="G49" s="500"/>
      <c r="H49" s="500"/>
      <c r="I49" s="512"/>
      <c r="J49" s="507"/>
      <c r="K49" s="488"/>
      <c r="L49" s="490"/>
      <c r="P49" s="132"/>
      <c r="Q49" s="132"/>
      <c r="R49" s="508"/>
      <c r="S49" s="524"/>
      <c r="T49" s="528" t="s">
        <v>487</v>
      </c>
      <c r="U49" s="214"/>
      <c r="V49" s="214"/>
      <c r="W49" s="214"/>
      <c r="X49" s="214"/>
      <c r="Y49" s="214"/>
      <c r="Z49" s="214"/>
      <c r="AA49" s="214"/>
      <c r="AB49" s="214"/>
      <c r="AC49" s="214"/>
      <c r="AD49" s="214"/>
      <c r="AE49" s="214"/>
      <c r="AF49" s="214"/>
      <c r="AG49" s="214"/>
      <c r="AH49" s="214"/>
      <c r="AI49" s="214"/>
      <c r="AJ49" s="214"/>
      <c r="AK49" s="214"/>
      <c r="AL49" s="214"/>
      <c r="AM49" s="214"/>
      <c r="AN49" s="214"/>
      <c r="AO49" s="214"/>
      <c r="AP49" s="214"/>
      <c r="AQ49" s="214"/>
      <c r="AR49" s="214"/>
      <c r="AS49" s="499" t="s">
        <v>488</v>
      </c>
      <c r="AU49" s="129"/>
      <c r="AV49" s="129" t="str">
        <f t="shared" si="44"/>
        <v xml:space="preserve">Добавить значение признака дифференциации</v>
      </c>
      <c r="AW49" s="129"/>
      <c r="AX49" s="129"/>
      <c r="AY49" s="50">
        <v>20</v>
      </c>
    </row>
    <row r="50" ht="22" customHeight="1">
      <c r="A50" s="488" t="s">
        <v>261</v>
      </c>
      <c r="B50" s="488" t="s">
        <v>262</v>
      </c>
      <c r="C50" s="488" t="s">
        <v>263</v>
      </c>
      <c r="D50" s="488" t="s">
        <v>547</v>
      </c>
      <c r="E50" s="500"/>
      <c r="F50" s="500"/>
      <c r="G50" s="500"/>
      <c r="H50" s="500"/>
      <c r="I50" s="507"/>
      <c r="J50" s="488"/>
      <c r="K50" s="488"/>
      <c r="L50" s="490"/>
      <c r="P50" s="132"/>
      <c r="Q50" s="132"/>
      <c r="R50" s="508"/>
      <c r="S50" s="524"/>
      <c r="T50" s="532" t="s">
        <v>417</v>
      </c>
      <c r="U50" s="214"/>
      <c r="V50" s="214"/>
      <c r="W50" s="214"/>
      <c r="X50" s="214"/>
      <c r="Y50" s="214"/>
      <c r="Z50" s="214"/>
      <c r="AA50" s="214"/>
      <c r="AB50" s="214"/>
      <c r="AC50" s="214"/>
      <c r="AD50" s="214"/>
      <c r="AE50" s="214"/>
      <c r="AF50" s="529"/>
      <c r="AG50" s="214"/>
      <c r="AH50" s="214"/>
      <c r="AI50" s="214"/>
      <c r="AJ50" s="214"/>
      <c r="AK50" s="214"/>
      <c r="AL50" s="214"/>
      <c r="AM50" s="214"/>
      <c r="AN50" s="214"/>
      <c r="AO50" s="214"/>
      <c r="AP50" s="214"/>
      <c r="AQ50" s="529"/>
      <c r="AR50" s="214"/>
      <c r="AS50" s="695"/>
      <c r="AU50" s="129"/>
      <c r="AV50" s="129" t="str">
        <f t="shared" si="44"/>
        <v xml:space="preserve">Добавить группу потребителей</v>
      </c>
      <c r="AW50" s="129"/>
      <c r="AX50" s="129"/>
      <c r="AY50" s="50">
        <v>21</v>
      </c>
    </row>
    <row r="51" ht="22" customHeight="1">
      <c r="A51" s="488" t="s">
        <v>261</v>
      </c>
      <c r="B51" s="488" t="s">
        <v>262</v>
      </c>
      <c r="C51" s="488" t="s">
        <v>263</v>
      </c>
      <c r="D51" s="488" t="s">
        <v>547</v>
      </c>
      <c r="E51" s="500"/>
      <c r="F51" s="500"/>
      <c r="G51" s="500"/>
      <c r="H51" s="489"/>
      <c r="I51" s="488"/>
      <c r="J51" s="488"/>
      <c r="K51" s="488"/>
      <c r="L51" s="490"/>
      <c r="M51" s="491"/>
      <c r="N51" s="491"/>
      <c r="O51" s="53"/>
      <c r="P51" s="143"/>
      <c r="Q51" s="531"/>
      <c r="R51" s="492"/>
      <c r="S51" s="524"/>
      <c r="T51" s="696" t="s">
        <v>489</v>
      </c>
      <c r="U51" s="214"/>
      <c r="V51" s="214"/>
      <c r="W51" s="214"/>
      <c r="X51" s="214"/>
      <c r="Y51" s="214"/>
      <c r="Z51" s="214"/>
      <c r="AA51" s="214"/>
      <c r="AB51" s="214"/>
      <c r="AC51" s="214"/>
      <c r="AD51" s="214"/>
      <c r="AE51" s="214"/>
      <c r="AF51" s="529"/>
      <c r="AG51" s="214"/>
      <c r="AH51" s="214"/>
      <c r="AI51" s="214"/>
      <c r="AJ51" s="214"/>
      <c r="AK51" s="214"/>
      <c r="AL51" s="214"/>
      <c r="AM51" s="214"/>
      <c r="AN51" s="214"/>
      <c r="AO51" s="214"/>
      <c r="AP51" s="214"/>
      <c r="AQ51" s="529"/>
      <c r="AR51" s="214"/>
      <c r="AS51" s="530"/>
      <c r="AU51" s="129"/>
      <c r="AV51" s="129" t="str">
        <f t="shared" si="44"/>
        <v xml:space="preserve">Добавить наименование признака дифференциации</v>
      </c>
      <c r="AW51" s="129"/>
      <c r="AX51" s="129"/>
      <c r="AY51" s="50">
        <v>21</v>
      </c>
    </row>
    <row r="52" s="57" customFormat="1" ht="0" customHeight="1">
      <c r="A52" s="133" t="s">
        <v>261</v>
      </c>
      <c r="B52" s="133" t="s">
        <v>262</v>
      </c>
      <c r="C52" s="133"/>
      <c r="D52" s="133"/>
      <c r="E52" s="500"/>
      <c r="F52" s="489"/>
      <c r="G52" s="133"/>
      <c r="H52" s="133"/>
      <c r="I52" s="133"/>
      <c r="J52" s="133"/>
      <c r="K52" s="133"/>
      <c r="L52" s="212"/>
      <c r="M52" s="537"/>
      <c r="N52" s="537"/>
      <c r="P52" s="167"/>
      <c r="Q52" s="533"/>
      <c r="R52" s="167"/>
      <c r="S52" s="538"/>
      <c r="T52" s="541" t="s">
        <v>212</v>
      </c>
      <c r="U52" s="540"/>
      <c r="V52" s="540"/>
      <c r="W52" s="540"/>
      <c r="X52" s="540"/>
      <c r="Y52" s="540"/>
      <c r="Z52" s="540"/>
      <c r="AA52" s="540"/>
      <c r="AB52" s="540"/>
      <c r="AC52" s="540"/>
      <c r="AD52" s="540"/>
      <c r="AE52" s="540"/>
      <c r="AF52" s="540"/>
      <c r="AG52" s="540"/>
      <c r="AH52" s="540"/>
      <c r="AI52" s="540"/>
      <c r="AJ52" s="540"/>
      <c r="AK52" s="540"/>
      <c r="AL52" s="540"/>
      <c r="AM52" s="540"/>
      <c r="AN52" s="540"/>
      <c r="AO52" s="540"/>
      <c r="AP52" s="540"/>
      <c r="AQ52" s="540"/>
      <c r="AR52" s="540"/>
      <c r="AS52" s="540"/>
      <c r="AU52" s="129"/>
      <c r="AV52" s="129" t="str">
        <f t="shared" si="44"/>
        <v xml:space="preserve">Добавить централизованную систему для дифференциации</v>
      </c>
      <c r="AW52" s="129"/>
      <c r="AX52" s="129"/>
      <c r="AY52" s="57">
        <v>0</v>
      </c>
    </row>
    <row r="53" s="57" customFormat="1" ht="0" customHeight="1">
      <c r="A53" s="133" t="s">
        <v>261</v>
      </c>
      <c r="B53" s="133"/>
      <c r="C53" s="133"/>
      <c r="D53" s="133"/>
      <c r="E53" s="489"/>
      <c r="F53" s="133"/>
      <c r="G53" s="133"/>
      <c r="H53" s="133"/>
      <c r="I53" s="133"/>
      <c r="J53" s="133"/>
      <c r="K53" s="133"/>
      <c r="L53" s="212"/>
      <c r="M53" s="537"/>
      <c r="N53" s="537"/>
      <c r="O53" s="57"/>
      <c r="P53" s="167"/>
      <c r="Q53" s="533"/>
      <c r="R53" s="167"/>
      <c r="S53" s="538"/>
      <c r="T53" s="541" t="s">
        <v>213</v>
      </c>
      <c r="U53" s="540"/>
      <c r="V53" s="540"/>
      <c r="W53" s="540"/>
      <c r="X53" s="540"/>
      <c r="Y53" s="540"/>
      <c r="Z53" s="540"/>
      <c r="AA53" s="540"/>
      <c r="AB53" s="540"/>
      <c r="AC53" s="540"/>
      <c r="AD53" s="540"/>
      <c r="AE53" s="540"/>
      <c r="AF53" s="540"/>
      <c r="AG53" s="540"/>
      <c r="AH53" s="540"/>
      <c r="AI53" s="540"/>
      <c r="AJ53" s="540"/>
      <c r="AK53" s="540"/>
      <c r="AL53" s="540"/>
      <c r="AM53" s="540"/>
      <c r="AN53" s="540"/>
      <c r="AO53" s="540"/>
      <c r="AP53" s="540"/>
      <c r="AQ53" s="540"/>
      <c r="AR53" s="540"/>
      <c r="AS53" s="540"/>
      <c r="AU53" s="129"/>
      <c r="AV53" s="129" t="str">
        <f t="shared" si="44"/>
        <v xml:space="preserve">Добавить территорию для дифференциации</v>
      </c>
      <c r="AW53" s="129"/>
      <c r="AX53" s="129"/>
      <c r="AY53" s="57">
        <v>0</v>
      </c>
    </row>
    <row r="54" s="57" customFormat="1" ht="0" customHeight="1">
      <c r="A54" s="133"/>
      <c r="B54" s="133"/>
      <c r="C54" s="133"/>
      <c r="D54" s="133"/>
      <c r="E54" s="133"/>
      <c r="F54" s="133"/>
      <c r="G54" s="133"/>
      <c r="H54" s="133"/>
      <c r="I54" s="133"/>
      <c r="J54" s="133"/>
      <c r="K54" s="133"/>
      <c r="L54" s="212"/>
      <c r="M54" s="537"/>
      <c r="N54" s="537"/>
      <c r="P54" s="167"/>
      <c r="Q54" s="533"/>
      <c r="R54" s="167"/>
      <c r="S54" s="538"/>
      <c r="T54" s="541" t="s">
        <v>214</v>
      </c>
      <c r="U54" s="540"/>
      <c r="V54" s="540"/>
      <c r="W54" s="540"/>
      <c r="X54" s="540"/>
      <c r="Y54" s="540"/>
      <c r="Z54" s="540"/>
      <c r="AA54" s="540"/>
      <c r="AB54" s="540"/>
      <c r="AC54" s="540"/>
      <c r="AD54" s="540"/>
      <c r="AE54" s="540"/>
      <c r="AF54" s="540"/>
      <c r="AG54" s="540"/>
      <c r="AH54" s="540"/>
      <c r="AI54" s="540"/>
      <c r="AJ54" s="540"/>
      <c r="AK54" s="540"/>
      <c r="AL54" s="540"/>
      <c r="AM54" s="540"/>
      <c r="AN54" s="540"/>
      <c r="AO54" s="540"/>
      <c r="AP54" s="540"/>
      <c r="AQ54" s="540"/>
      <c r="AR54" s="540"/>
      <c r="AS54" s="540"/>
      <c r="AU54" s="129"/>
      <c r="AV54" s="129" t="str">
        <f t="shared" si="44"/>
        <v xml:space="preserve">Добавить наименование тарифа</v>
      </c>
      <c r="AW54" s="129"/>
      <c r="AX54" s="129"/>
      <c r="AY54" s="57">
        <v>0</v>
      </c>
    </row>
    <row r="55" ht="11.5" customHeight="1">
      <c r="M55" s="53"/>
      <c r="N55" s="53"/>
      <c r="O55" s="53"/>
      <c r="P55" s="50"/>
      <c r="Q55" s="50"/>
      <c r="R55" s="50"/>
      <c r="S55" s="50"/>
      <c r="AT55" s="50"/>
      <c r="AU55" s="50"/>
      <c r="AV55" s="50"/>
      <c r="AW55" s="50"/>
      <c r="AX55" s="50"/>
      <c r="AY55" s="50">
        <v>11</v>
      </c>
    </row>
    <row r="56" ht="14.65" customHeight="1">
      <c r="O56" s="53"/>
      <c r="S56" s="485"/>
      <c r="T56" s="583"/>
      <c r="U56" s="583"/>
      <c r="V56" s="583"/>
      <c r="W56" s="583"/>
      <c r="X56" s="583"/>
      <c r="Y56" s="583"/>
      <c r="Z56" s="583"/>
      <c r="AA56" s="583"/>
      <c r="AB56" s="583"/>
      <c r="AC56" s="583"/>
      <c r="AD56" s="583"/>
      <c r="AE56" s="583"/>
      <c r="AF56" s="583"/>
      <c r="AG56" s="583"/>
      <c r="AH56" s="583"/>
      <c r="AI56" s="583"/>
      <c r="AJ56" s="583"/>
      <c r="AK56" s="583"/>
      <c r="AL56" s="583"/>
      <c r="AM56" s="583"/>
      <c r="AN56" s="583"/>
      <c r="AO56" s="583"/>
      <c r="AP56" s="583"/>
      <c r="AQ56" s="583"/>
      <c r="AR56" s="583"/>
      <c r="AS56" s="583"/>
      <c r="AY56" s="50">
        <v>14</v>
      </c>
    </row>
    <row r="57" ht="14.65" customHeight="1">
      <c r="O57" s="53"/>
      <c r="AY57" s="50">
        <v>14</v>
      </c>
    </row>
    <row r="58" ht="14.65" customHeight="1">
      <c r="O58" s="53"/>
      <c r="S58" s="485"/>
      <c r="T58" s="583"/>
      <c r="U58" s="583"/>
      <c r="V58" s="583"/>
      <c r="W58" s="583"/>
      <c r="X58" s="583"/>
      <c r="Y58" s="583"/>
      <c r="Z58" s="583"/>
      <c r="AA58" s="583"/>
      <c r="AB58" s="583"/>
      <c r="AC58" s="583"/>
      <c r="AD58" s="583"/>
      <c r="AE58" s="583"/>
      <c r="AF58" s="583"/>
      <c r="AG58" s="583"/>
      <c r="AH58" s="583"/>
      <c r="AI58" s="583"/>
      <c r="AJ58" s="583"/>
      <c r="AK58" s="583"/>
      <c r="AL58" s="583"/>
      <c r="AM58" s="583"/>
      <c r="AN58" s="583"/>
      <c r="AO58" s="583"/>
      <c r="AP58" s="583"/>
      <c r="AQ58" s="583"/>
      <c r="AR58" s="583"/>
      <c r="AS58" s="583"/>
      <c r="AY58" s="50">
        <v>14</v>
      </c>
    </row>
    <row r="59" ht="22.5" hidden="1" customHeight="1">
      <c r="A59" s="53" t="s">
        <v>83</v>
      </c>
      <c r="B59" s="53">
        <v>0</v>
      </c>
      <c r="C59" s="53">
        <v>0</v>
      </c>
      <c r="D59" s="53">
        <v>0</v>
      </c>
      <c r="E59" s="53">
        <v>0</v>
      </c>
      <c r="F59" s="53">
        <v>0</v>
      </c>
      <c r="G59" s="53">
        <v>0</v>
      </c>
      <c r="H59" s="53">
        <v>0</v>
      </c>
      <c r="I59" s="53">
        <v>0</v>
      </c>
      <c r="J59" s="53">
        <v>0</v>
      </c>
      <c r="K59" s="53">
        <v>0</v>
      </c>
      <c r="L59" s="113">
        <v>0</v>
      </c>
      <c r="M59" s="61">
        <v>0</v>
      </c>
      <c r="N59" s="61">
        <v>0</v>
      </c>
      <c r="O59" s="61">
        <v>0</v>
      </c>
      <c r="P59" s="60">
        <v>3</v>
      </c>
      <c r="Q59" s="487">
        <v>3</v>
      </c>
      <c r="R59" s="487">
        <v>3</v>
      </c>
      <c r="S59" s="86">
        <v>12</v>
      </c>
      <c r="T59" s="50">
        <v>35</v>
      </c>
      <c r="U59" s="50">
        <v>0</v>
      </c>
      <c r="V59" s="50">
        <v>0</v>
      </c>
      <c r="W59" s="50">
        <v>0</v>
      </c>
      <c r="X59" s="50">
        <v>0</v>
      </c>
      <c r="Y59" s="50">
        <v>0</v>
      </c>
      <c r="Z59" s="50">
        <v>0</v>
      </c>
      <c r="AA59" s="50">
        <v>0</v>
      </c>
      <c r="AB59" s="50">
        <v>0</v>
      </c>
      <c r="AC59" s="50">
        <v>0</v>
      </c>
      <c r="AD59" s="50">
        <v>0</v>
      </c>
      <c r="AE59" s="50">
        <v>0</v>
      </c>
      <c r="AF59" s="50">
        <v>0</v>
      </c>
      <c r="AG59" s="50">
        <v>19</v>
      </c>
      <c r="AH59" s="50">
        <v>19</v>
      </c>
      <c r="AI59" s="50">
        <v>19</v>
      </c>
      <c r="AJ59" s="50">
        <v>19</v>
      </c>
      <c r="AK59" s="50">
        <v>19</v>
      </c>
      <c r="AL59" s="50">
        <v>19</v>
      </c>
      <c r="AM59" s="50">
        <v>19</v>
      </c>
      <c r="AN59" s="50">
        <v>11</v>
      </c>
      <c r="AO59" s="50">
        <v>3</v>
      </c>
      <c r="AP59" s="50">
        <v>11</v>
      </c>
      <c r="AQ59" s="50">
        <v>0</v>
      </c>
      <c r="AR59" s="50">
        <v>4</v>
      </c>
      <c r="AS59" s="50">
        <v>115</v>
      </c>
      <c r="AT59" s="57">
        <v>10</v>
      </c>
      <c r="AU59" s="57">
        <v>10</v>
      </c>
      <c r="AV59" s="57">
        <v>10</v>
      </c>
      <c r="AW59" s="57">
        <v>10</v>
      </c>
      <c r="AX59" s="57">
        <v>10</v>
      </c>
      <c r="AY59" s="50">
        <v>23</v>
      </c>
    </row>
  </sheetData>
  <sheetProtection autoFilter="0" deleteColumns="1" deleteRows="1" formatCells="1" formatColumns="0" formatRows="0" insertColumns="1" insertHyperlinks="1" insertRows="1" objects="0" pivotTables="1" scenarios="0" selectLockedCells="0" selectUnlockedCells="0" sheet="1" sort="1"/>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D7:AD8"/>
    <mergeCell ref="AE7:AE8"/>
    <mergeCell ref="AF7:AF8"/>
    <mergeCell ref="AN7:AN8"/>
    <mergeCell ref="AO7:AO8"/>
    <mergeCell ref="AP7:AP8"/>
    <mergeCell ref="AQ7:AQ8"/>
    <mergeCell ref="AS7:AS8"/>
    <mergeCell ref="AN15:AN16"/>
    <mergeCell ref="AO15:AO16"/>
    <mergeCell ref="AP15:AP16"/>
    <mergeCell ref="AQ15:AQ16"/>
    <mergeCell ref="S24:AP24"/>
    <mergeCell ref="S25:AP25"/>
    <mergeCell ref="S27:T27"/>
    <mergeCell ref="V27:AE27"/>
    <mergeCell ref="AG27:AP27"/>
    <mergeCell ref="S28:T28"/>
    <mergeCell ref="V28:AE28"/>
    <mergeCell ref="AG28:AP28"/>
    <mergeCell ref="S29:T29"/>
    <mergeCell ref="V29:AE29"/>
    <mergeCell ref="AG29:AP29"/>
    <mergeCell ref="S30:T30"/>
    <mergeCell ref="V30:AE30"/>
    <mergeCell ref="AG30:AP30"/>
    <mergeCell ref="S32:T32"/>
    <mergeCell ref="V32:AE32"/>
    <mergeCell ref="AG32:AP32"/>
    <mergeCell ref="S33:T33"/>
    <mergeCell ref="V33:AE33"/>
    <mergeCell ref="AG33:AP33"/>
    <mergeCell ref="V35:AF35"/>
    <mergeCell ref="AG35:AQ35"/>
    <mergeCell ref="S36:AR36"/>
    <mergeCell ref="AS36:AS40"/>
    <mergeCell ref="S37:S40"/>
    <mergeCell ref="T37:T40"/>
    <mergeCell ref="V37:AE37"/>
    <mergeCell ref="AF37:AF40"/>
    <mergeCell ref="AG37:AP37"/>
    <mergeCell ref="AQ37:AQ40"/>
    <mergeCell ref="AR37:AR40"/>
    <mergeCell ref="V38:V40"/>
    <mergeCell ref="W38:Y38"/>
    <mergeCell ref="Z38:AB38"/>
    <mergeCell ref="AC38:AE39"/>
    <mergeCell ref="AG38:AG40"/>
    <mergeCell ref="AH38:AJ38"/>
    <mergeCell ref="AK38:AM38"/>
    <mergeCell ref="AN38:AP39"/>
    <mergeCell ref="W39:W40"/>
    <mergeCell ref="X39:Y39"/>
    <mergeCell ref="Z39:Z40"/>
    <mergeCell ref="AA39:AB39"/>
    <mergeCell ref="AH39:AH40"/>
    <mergeCell ref="AI39:AJ39"/>
    <mergeCell ref="AK39:AK40"/>
    <mergeCell ref="AL39:AM39"/>
    <mergeCell ref="AD40:AE40"/>
    <mergeCell ref="AO40:AP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K47:K48"/>
    <mergeCell ref="AC47:AC48"/>
    <mergeCell ref="AD47:AD48"/>
    <mergeCell ref="AE47:AE48"/>
    <mergeCell ref="AF47:AF48"/>
    <mergeCell ref="AN47:AN48"/>
    <mergeCell ref="AO47:AO48"/>
    <mergeCell ref="AP47:AP48"/>
    <mergeCell ref="AQ47:AQ48"/>
    <mergeCell ref="AS47:AS48"/>
    <mergeCell ref="T56:AS56"/>
    <mergeCell ref="T58:AS58"/>
  </mergeCells>
  <dataValidations count="4" disablePrompts="0">
    <dataValidation sqref="S131117:AS131123 S196653:AS196659 S262189:AS262195 S327725:AS327731 S393261:AS393267 S458797:AS458803 S524333:AS524339 S589869:AS589875 S655405:AS655411 S720941:AS720947 S786477:AS786483 S852013:AS852019 S917549:AS917555 S983085:AS983091 S65581:AS65587" type="none" allowBlank="1" errorStyle="stop" imeMode="noControl" operator="between" showDropDown="0" showErrorMessage="0" showInputMessage="0"/>
    <dataValidation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type="none" allowBlank="1" errorStyle="stop" imeMode="noControl" operator="between" promptTitle="checkPeriodRange"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E100FE-00AF-4045-852A-00BF004000AE}"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V983082:AR983082 V65578:AR65578 V131114:AR131114 V196650:AR196650 V262186:AR262186 V327722:AR327722 V393258:AR393258 V458794:AR458794 V524330:AR524330 V589866:AR589866 V655402:AR655402 V720938:AR720938 V786474:AR786474 V852010:AR852010 V917546:AR917546</xm:sqref>
        </x14:dataValidation>
        <x14:dataValidation xr:uid="{00E30048-003D-48EC-B93A-002200780042}" type="list" allowBlank="1" error="Выберите значение из списка" errorStyle="stop" errorTitle="Ошибка" imeMode="noControl" operator="between" showDropDown="0" showErrorMessage="1" showInputMessage="1">
          <x14:formula1>
            <xm:f>kind_of_heat_transfer</xm:f>
          </x14:formula1>
          <xm:sqref>T65579 T131115 T196651 T262187 T327723 T393259 T458795 T524331 T589867 T655403 T720939 T786475 T852011 T917547 T983083</xm:sqref>
        </x14:dataValidation>
        <x14:dataValidation xr:uid="{000F00B5-006E-4742-944E-00F20068009A}" type="textLength" allowBlank="1" error="Допускается ввод не более 900 символов!" errorStyle="stop" errorTitle="Ошибка" imeMode="noControl" operator="lessThanOrEqual" showDropDown="0" showErrorMessage="1" showInputMessage="1">
          <x14:formula1>
            <xm:f>900</xm:f>
          </x14:formula1>
          <xm: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xm:sqref>
        </x14:dataValidation>
        <x14:dataValidation xr:uid="{00220026-0074-4C74-85C8-00BA008800D4}" type="list" allowBlank="1" error="Выберите значение из списка" errorStyle="stop" errorTitle="Ошибка" imeMode="noControl" operator="between" showDropDown="0" showErrorMessage="1" showInputMessage="1">
          <x14:formula1>
            <xm:f>kind_of_scheme_in</xm:f>
          </x14:formula1>
          <xm: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xm:sqref>
        </x14:dataValidation>
      </x14:dataValidations>
    </ext>
  </extLst>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zoomScale="90" workbookViewId="0">
      <pane xSplit="29" ySplit="45" topLeftCell="AD46" activePane="bottomRight" state="frozen"/>
      <selection activeCell="A1" activeCellId="0" sqref="A1"/>
    </sheetView>
  </sheetViews>
  <sheetFormatPr defaultColWidth="10.57421875" defaultRowHeight="14.25" customHeight="1"/>
  <cols>
    <col customWidth="1" hidden="1" min="1" max="1" style="53" width="11.57421875"/>
    <col customWidth="1" hidden="1" min="2" max="2" style="53" width="11.00390625"/>
    <col hidden="1" min="3" max="3" style="53" width="10.57421875"/>
    <col customWidth="1" hidden="1" min="4" max="4" style="53" width="12.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2.00390625"/>
    <col customWidth="1" hidden="1" min="10" max="10" style="53" width="9.8515625"/>
    <col customWidth="1" hidden="1" min="11" max="11" style="53" width="11.421875"/>
    <col customWidth="1" hidden="1" min="12" max="12" style="113" width="19.140625"/>
    <col customWidth="1" hidden="1" min="13" max="14" style="61" width="12.28125"/>
    <col customWidth="1" hidden="1" min="15" max="15" style="61" width="23.421875"/>
    <col customWidth="1" hidden="1" min="16" max="16" style="61" width="3.7109375"/>
    <col customWidth="1" hidden="1" min="17" max="17" style="547" width="3.7109375"/>
    <col customWidth="1" min="18" max="18" style="487" width="3.00390625"/>
    <col customWidth="1" min="19" max="19" style="86" width="12.00390625"/>
    <col customWidth="1" min="20" max="20" style="50" width="31.00390625"/>
    <col customWidth="1" min="21" max="21" style="50" width="0.140625"/>
    <col customWidth="1" hidden="1" min="22" max="25" style="50" width="21.7109375"/>
    <col customWidth="1" hidden="1" min="26" max="26" style="50" width="11.7109375"/>
    <col customWidth="1" hidden="1" min="27" max="27" style="50" width="3.7109375"/>
    <col customWidth="1" hidden="1" min="28" max="28" style="50" width="11.7109375"/>
    <col customWidth="1" hidden="1" min="29" max="29" style="50" width="8.57421875"/>
    <col customWidth="1" min="30" max="30" style="50" width="3.7109375"/>
    <col customWidth="1" min="31" max="32" style="50" width="3.00390625"/>
    <col customWidth="1" min="33" max="33" style="50" width="24.00390625"/>
    <col customWidth="1" min="34" max="34" style="50" width="3.7109375"/>
    <col customWidth="1" min="35" max="36" style="50" width="3.00390625"/>
    <col customWidth="1" min="37" max="37" style="50" width="24.00390625"/>
    <col customWidth="1" min="38" max="38" style="50" width="3.7109375"/>
    <col customWidth="1" min="39" max="40" style="50" width="3.00390625"/>
    <col customWidth="1" min="41" max="41" style="50" width="18.00390625"/>
    <col customWidth="1" min="42" max="42" style="50" width="3.7109375"/>
    <col customWidth="1" min="43" max="44" style="50" width="3.00390625"/>
    <col customWidth="1" min="45" max="45" style="50" width="18.00390625"/>
    <col customWidth="1" min="46" max="49" style="50" width="21.00390625"/>
    <col customWidth="1" min="50" max="50" style="50" width="11.00390625"/>
    <col customWidth="1" min="51" max="51" style="50" width="3.7109375"/>
    <col customWidth="1" min="52" max="52" style="50" width="11.00390625"/>
    <col customWidth="1" hidden="1" min="53" max="53" style="50" width="8.57421875"/>
    <col customWidth="1" min="54" max="54" style="50" width="4.00390625"/>
    <col customWidth="1" min="55" max="55" style="50" width="115.00390625"/>
    <col customWidth="1" min="56" max="60" style="57" width="10.00390625"/>
    <col hidden="1" min="61" max="61" style="50" width="10.57421875"/>
  </cols>
  <sheetData>
    <row r="1" ht="22.5" hidden="1" customHeight="1">
      <c r="W1" s="50"/>
      <c r="Y1" s="50"/>
      <c r="Z1" s="50"/>
      <c r="AW1" s="50"/>
      <c r="AX1" s="50"/>
      <c r="BI1" s="50" t="s">
        <v>14</v>
      </c>
    </row>
    <row r="2" ht="21" hidden="1" customHeight="1">
      <c r="A2" s="488"/>
      <c r="B2" s="488"/>
      <c r="C2" s="488"/>
      <c r="D2" s="488"/>
      <c r="E2" s="489">
        <v>1</v>
      </c>
      <c r="F2" s="488"/>
      <c r="G2" s="488"/>
      <c r="H2" s="488"/>
      <c r="I2" s="488"/>
      <c r="J2" s="488"/>
      <c r="K2" s="488"/>
      <c r="L2" s="490"/>
      <c r="M2" s="491"/>
      <c r="N2" s="491"/>
      <c r="O2" s="491"/>
      <c r="P2" s="61"/>
      <c r="Q2" s="64"/>
      <c r="R2" s="492"/>
      <c r="S2" s="493" t="e">
        <f>INDEX(PT_DIFFERENTIATION_NUM_NTAR,MATCH(A2,PT_DIFFERENTIATION_NTAR_ID,0))</f>
        <v>#VALUE!</v>
      </c>
      <c r="T2" s="494" t="s">
        <v>123</v>
      </c>
      <c r="U2" s="495"/>
      <c r="V2" s="497"/>
      <c r="W2" s="497"/>
      <c r="X2" s="497"/>
      <c r="Y2" s="497"/>
      <c r="Z2" s="497"/>
      <c r="AA2" s="497"/>
      <c r="AB2" s="497"/>
      <c r="AC2" s="498"/>
      <c r="AD2" s="496" t="e">
        <f>INDEX(PT_DIFFERENTIATION_NTAR,MATCH(A2,PT_DIFFERENTIATION_NTAR_ID,0))</f>
        <v>#VALUE!</v>
      </c>
      <c r="AE2" s="497"/>
      <c r="AF2" s="497"/>
      <c r="AG2" s="497"/>
      <c r="AH2" s="497"/>
      <c r="AI2" s="497"/>
      <c r="AJ2" s="497"/>
      <c r="AK2" s="497"/>
      <c r="AL2" s="497"/>
      <c r="AM2" s="497"/>
      <c r="AN2" s="497"/>
      <c r="AO2" s="497"/>
      <c r="AP2" s="497"/>
      <c r="AQ2" s="497"/>
      <c r="AR2" s="497"/>
      <c r="AS2" s="497"/>
      <c r="AT2" s="497"/>
      <c r="AU2" s="497"/>
      <c r="AV2" s="497"/>
      <c r="AW2" s="497"/>
      <c r="AX2" s="497"/>
      <c r="AY2" s="497"/>
      <c r="AZ2" s="497"/>
      <c r="BA2" s="497"/>
      <c r="BB2" s="498"/>
      <c r="BC2" s="4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129"/>
      <c r="BF2" s="129" t="str">
        <f t="shared" ref="BF2:BF8" si="45">IF(T2="","",T2)</f>
        <v xml:space="preserve">Наименование тарифа</v>
      </c>
      <c r="BG2" s="129"/>
      <c r="BH2" s="129"/>
      <c r="BI2" s="50">
        <v>0</v>
      </c>
    </row>
    <row r="3" ht="21" hidden="1" customHeight="1">
      <c r="A3" s="488"/>
      <c r="B3" s="488"/>
      <c r="C3" s="488"/>
      <c r="D3" s="488"/>
      <c r="E3" s="500"/>
      <c r="F3" s="489">
        <v>1</v>
      </c>
      <c r="G3" s="488"/>
      <c r="H3" s="488"/>
      <c r="I3" s="488"/>
      <c r="J3" s="488"/>
      <c r="K3" s="488"/>
      <c r="L3" s="490"/>
      <c r="M3" s="491"/>
      <c r="N3" s="491"/>
      <c r="O3" s="491"/>
      <c r="P3" s="113"/>
      <c r="Q3" s="638"/>
      <c r="R3" s="502"/>
      <c r="S3" s="493" t="e">
        <f>INDEX(PT_DIFFERENTIATION_NUM_TER,MATCH(B3,PT_DIFFERENTIATION_TER_ID,0))</f>
        <v>#VALUE!</v>
      </c>
      <c r="T3" s="503" t="s">
        <v>402</v>
      </c>
      <c r="U3" s="495"/>
      <c r="V3" s="497"/>
      <c r="W3" s="497"/>
      <c r="X3" s="497"/>
      <c r="Y3" s="497"/>
      <c r="Z3" s="497"/>
      <c r="AA3" s="497"/>
      <c r="AB3" s="497"/>
      <c r="AC3" s="498"/>
      <c r="AD3" s="496" t="e">
        <f>INDEX(PT_DIFFERENTIATION_TER,MATCH(B3,PT_DIFFERENTIATION_TER_ID,0))</f>
        <v>#VALUE!</v>
      </c>
      <c r="AE3" s="497"/>
      <c r="AF3" s="497"/>
      <c r="AG3" s="497"/>
      <c r="AH3" s="497"/>
      <c r="AI3" s="497"/>
      <c r="AJ3" s="497"/>
      <c r="AK3" s="497"/>
      <c r="AL3" s="497"/>
      <c r="AM3" s="497"/>
      <c r="AN3" s="497"/>
      <c r="AO3" s="497"/>
      <c r="AP3" s="497"/>
      <c r="AQ3" s="497"/>
      <c r="AR3" s="497"/>
      <c r="AS3" s="497"/>
      <c r="AT3" s="497"/>
      <c r="AU3" s="497"/>
      <c r="AV3" s="497"/>
      <c r="AW3" s="497"/>
      <c r="AX3" s="497"/>
      <c r="AY3" s="497"/>
      <c r="AZ3" s="497"/>
      <c r="BA3" s="497"/>
      <c r="BB3" s="498"/>
      <c r="BC3" s="499" t="s">
        <v>403</v>
      </c>
      <c r="BE3" s="129"/>
      <c r="BF3" s="129" t="str">
        <f t="shared" si="45"/>
        <v xml:space="preserve">Территория действия тарифа</v>
      </c>
      <c r="BG3" s="129"/>
      <c r="BH3" s="129"/>
      <c r="BI3" s="50">
        <v>0</v>
      </c>
    </row>
    <row r="4" ht="33.75" hidden="1" customHeight="1">
      <c r="A4" s="488"/>
      <c r="B4" s="488"/>
      <c r="C4" s="488"/>
      <c r="D4" s="488"/>
      <c r="E4" s="500"/>
      <c r="F4" s="500"/>
      <c r="G4" s="489">
        <v>1</v>
      </c>
      <c r="H4" s="488"/>
      <c r="I4" s="488"/>
      <c r="J4" s="488"/>
      <c r="K4" s="488"/>
      <c r="L4" s="490"/>
      <c r="M4" s="491"/>
      <c r="N4" s="491"/>
      <c r="O4" s="491"/>
      <c r="P4" s="135"/>
      <c r="Q4" s="638"/>
      <c r="R4" s="502"/>
      <c r="S4" s="493" t="e">
        <f>INDEX(PT_DIFFERENTIATION_NUM_CS,MATCH(C4,PT_DIFFERENTIATION_CS_ID,0))</f>
        <v>#VALUE!</v>
      </c>
      <c r="T4" s="505" t="s">
        <v>534</v>
      </c>
      <c r="U4" s="495"/>
      <c r="V4" s="497"/>
      <c r="W4" s="497"/>
      <c r="X4" s="497"/>
      <c r="Y4" s="497"/>
      <c r="Z4" s="497"/>
      <c r="AA4" s="497"/>
      <c r="AB4" s="497"/>
      <c r="AC4" s="498"/>
      <c r="AD4" s="496" t="e">
        <f>INDEX(PT_DIFFERENTIATION_CS,MATCH(C4,PT_DIFFERENTIATION_CS_ID,0))</f>
        <v>#VALUE!</v>
      </c>
      <c r="AE4" s="497"/>
      <c r="AF4" s="497"/>
      <c r="AG4" s="497"/>
      <c r="AH4" s="497"/>
      <c r="AI4" s="497"/>
      <c r="AJ4" s="497"/>
      <c r="AK4" s="497"/>
      <c r="AL4" s="497"/>
      <c r="AM4" s="497"/>
      <c r="AN4" s="497"/>
      <c r="AO4" s="497"/>
      <c r="AP4" s="497"/>
      <c r="AQ4" s="497"/>
      <c r="AR4" s="497"/>
      <c r="AS4" s="497"/>
      <c r="AT4" s="497"/>
      <c r="AU4" s="497"/>
      <c r="AV4" s="497"/>
      <c r="AW4" s="497"/>
      <c r="AX4" s="497"/>
      <c r="AY4" s="497"/>
      <c r="AZ4" s="497"/>
      <c r="BA4" s="497"/>
      <c r="BB4" s="498"/>
      <c r="BC4" s="499" t="s">
        <v>535</v>
      </c>
      <c r="BE4" s="129"/>
      <c r="BF4" s="129" t="str">
        <f t="shared" si="45"/>
        <v xml:space="preserve">Наименование централизованной системы горячего водоснабжения</v>
      </c>
      <c r="BG4" s="129"/>
      <c r="BH4" s="129"/>
      <c r="BI4" s="50">
        <v>0</v>
      </c>
    </row>
    <row r="5" s="57" customFormat="1" ht="14.25" hidden="1" customHeight="1">
      <c r="A5" s="133"/>
      <c r="B5" s="133"/>
      <c r="C5" s="133"/>
      <c r="D5" s="133"/>
      <c r="E5" s="500"/>
      <c r="F5" s="500"/>
      <c r="G5" s="500"/>
      <c r="H5" s="489">
        <v>1</v>
      </c>
      <c r="I5" s="133"/>
      <c r="J5" s="133"/>
      <c r="K5" s="133"/>
      <c r="L5" s="212"/>
      <c r="M5" s="473"/>
      <c r="N5" s="473"/>
      <c r="O5" s="473"/>
      <c r="P5" s="704"/>
      <c r="Q5" s="705"/>
      <c r="R5" s="513"/>
      <c r="S5" s="362"/>
      <c r="T5" s="706"/>
      <c r="U5" s="596"/>
      <c r="V5" s="598"/>
      <c r="W5" s="598"/>
      <c r="X5" s="598"/>
      <c r="Y5" s="598"/>
      <c r="Z5" s="598"/>
      <c r="AA5" s="598"/>
      <c r="AB5" s="598"/>
      <c r="AC5" s="599"/>
      <c r="AD5" s="597"/>
      <c r="AE5" s="598"/>
      <c r="AF5" s="598"/>
      <c r="AG5" s="598"/>
      <c r="AH5" s="598"/>
      <c r="AI5" s="598"/>
      <c r="AJ5" s="598"/>
      <c r="AK5" s="598"/>
      <c r="AL5" s="598"/>
      <c r="AM5" s="598"/>
      <c r="AN5" s="598"/>
      <c r="AO5" s="598"/>
      <c r="AP5" s="598"/>
      <c r="AQ5" s="598"/>
      <c r="AR5" s="598"/>
      <c r="AS5" s="598"/>
      <c r="AT5" s="598"/>
      <c r="AU5" s="598"/>
      <c r="AV5" s="598"/>
      <c r="AW5" s="598"/>
      <c r="AX5" s="598"/>
      <c r="AY5" s="598"/>
      <c r="AZ5" s="598"/>
      <c r="BA5" s="598"/>
      <c r="BB5" s="599"/>
      <c r="BC5" s="600" t="s">
        <v>407</v>
      </c>
      <c r="BE5" s="129"/>
      <c r="BF5" s="129" t="str">
        <f t="shared" si="45"/>
        <v/>
      </c>
      <c r="BG5" s="129"/>
      <c r="BH5" s="129"/>
      <c r="BI5" s="57">
        <v>0</v>
      </c>
    </row>
    <row r="6" s="57" customFormat="1" ht="14.25" hidden="1" customHeight="1">
      <c r="A6" s="133"/>
      <c r="B6" s="133"/>
      <c r="C6" s="133"/>
      <c r="D6" s="133"/>
      <c r="E6" s="500"/>
      <c r="F6" s="500"/>
      <c r="G6" s="500"/>
      <c r="H6" s="500"/>
      <c r="I6" s="507" t="str">
        <f>S5&amp;".1"</f>
        <v>.1</v>
      </c>
      <c r="J6" s="133"/>
      <c r="K6" s="133"/>
      <c r="L6" s="212" t="s">
        <v>408</v>
      </c>
      <c r="M6" s="605"/>
      <c r="N6" s="605"/>
      <c r="O6" s="605"/>
      <c r="P6" s="132">
        <v>1</v>
      </c>
      <c r="Q6" s="132"/>
      <c r="R6" s="508"/>
      <c r="S6" s="362"/>
      <c r="T6" s="595"/>
      <c r="U6" s="596"/>
      <c r="V6" s="598"/>
      <c r="W6" s="598"/>
      <c r="X6" s="598"/>
      <c r="Y6" s="598"/>
      <c r="Z6" s="598"/>
      <c r="AA6" s="598"/>
      <c r="AB6" s="598"/>
      <c r="AC6" s="599"/>
      <c r="AD6" s="597"/>
      <c r="AE6" s="598"/>
      <c r="AF6" s="598"/>
      <c r="AG6" s="598"/>
      <c r="AH6" s="598"/>
      <c r="AI6" s="598"/>
      <c r="AJ6" s="598"/>
      <c r="AK6" s="598"/>
      <c r="AL6" s="598"/>
      <c r="AM6" s="598"/>
      <c r="AN6" s="598"/>
      <c r="AO6" s="598"/>
      <c r="AP6" s="598"/>
      <c r="AQ6" s="598"/>
      <c r="AR6" s="598"/>
      <c r="AS6" s="598"/>
      <c r="AT6" s="598"/>
      <c r="AU6" s="598"/>
      <c r="AV6" s="598"/>
      <c r="AW6" s="598"/>
      <c r="AX6" s="598"/>
      <c r="AY6" s="598"/>
      <c r="AZ6" s="598"/>
      <c r="BA6" s="598"/>
      <c r="BB6" s="599"/>
      <c r="BC6" s="600"/>
      <c r="BE6" s="129"/>
      <c r="BF6" s="129" t="str">
        <f t="shared" si="45"/>
        <v/>
      </c>
      <c r="BG6" s="129"/>
      <c r="BH6" s="129"/>
      <c r="BI6" s="57">
        <v>0</v>
      </c>
    </row>
    <row r="7" s="57" customFormat="1" ht="14.25" hidden="1" customHeight="1">
      <c r="A7" s="133"/>
      <c r="B7" s="133"/>
      <c r="C7" s="133"/>
      <c r="D7" s="133"/>
      <c r="E7" s="500"/>
      <c r="F7" s="500"/>
      <c r="G7" s="500"/>
      <c r="H7" s="500"/>
      <c r="I7" s="512"/>
      <c r="J7" s="507" t="str">
        <f>S5&amp;".1"</f>
        <v>.1</v>
      </c>
      <c r="K7" s="133"/>
      <c r="L7" s="212"/>
      <c r="M7" s="605"/>
      <c r="N7" s="605"/>
      <c r="O7" s="605"/>
      <c r="P7" s="132"/>
      <c r="Q7" s="132">
        <v>1</v>
      </c>
      <c r="R7" s="513"/>
      <c r="S7" s="362"/>
      <c r="T7" s="639"/>
      <c r="U7" s="596"/>
      <c r="V7" s="598"/>
      <c r="W7" s="598"/>
      <c r="X7" s="598"/>
      <c r="Y7" s="598"/>
      <c r="Z7" s="598"/>
      <c r="AA7" s="598"/>
      <c r="AB7" s="598"/>
      <c r="AC7" s="599"/>
      <c r="AD7" s="597"/>
      <c r="AE7" s="598"/>
      <c r="AF7" s="598"/>
      <c r="AG7" s="598"/>
      <c r="AH7" s="598"/>
      <c r="AI7" s="598"/>
      <c r="AJ7" s="598"/>
      <c r="AK7" s="598"/>
      <c r="AL7" s="598"/>
      <c r="AM7" s="598"/>
      <c r="AN7" s="598"/>
      <c r="AO7" s="598"/>
      <c r="AP7" s="598"/>
      <c r="AQ7" s="598"/>
      <c r="AR7" s="598"/>
      <c r="AS7" s="598"/>
      <c r="AT7" s="598"/>
      <c r="AU7" s="598"/>
      <c r="AV7" s="598"/>
      <c r="AW7" s="598"/>
      <c r="AX7" s="598"/>
      <c r="AY7" s="598"/>
      <c r="AZ7" s="598"/>
      <c r="BA7" s="598"/>
      <c r="BB7" s="599"/>
      <c r="BC7" s="600"/>
      <c r="BE7" s="129"/>
      <c r="BF7" s="129" t="str">
        <f t="shared" si="45"/>
        <v/>
      </c>
      <c r="BG7" s="129"/>
      <c r="BH7" s="129"/>
      <c r="BI7" s="57">
        <v>0</v>
      </c>
    </row>
    <row r="8" ht="11.25" hidden="1" customHeight="1">
      <c r="A8" s="488"/>
      <c r="B8" s="488"/>
      <c r="C8" s="488"/>
      <c r="D8" s="488"/>
      <c r="E8" s="500"/>
      <c r="F8" s="500"/>
      <c r="G8" s="500"/>
      <c r="H8" s="500"/>
      <c r="I8" s="512"/>
      <c r="J8" s="512"/>
      <c r="K8" s="507" t="e">
        <f>S4&amp;".1"</f>
        <v>#VALUE!</v>
      </c>
      <c r="L8" s="490"/>
      <c r="P8" s="132"/>
      <c r="Q8" s="132"/>
      <c r="R8" s="640">
        <v>1</v>
      </c>
      <c r="S8" s="607" t="e">
        <f>$K8</f>
        <v>#VALUE!</v>
      </c>
      <c r="T8" s="698"/>
      <c r="U8" s="495"/>
      <c r="V8" s="516"/>
      <c r="W8" s="518"/>
      <c r="X8" s="516"/>
      <c r="Y8" s="518"/>
      <c r="Z8" s="519"/>
      <c r="AA8" s="224" t="s">
        <v>67</v>
      </c>
      <c r="AB8" s="519"/>
      <c r="AC8" s="224" t="s">
        <v>67</v>
      </c>
      <c r="AD8" s="292" t="s">
        <v>67</v>
      </c>
      <c r="AE8" s="642"/>
      <c r="AF8" s="356">
        <v>1</v>
      </c>
      <c r="AG8" s="699"/>
      <c r="AH8" s="224" t="s">
        <v>67</v>
      </c>
      <c r="AI8" s="642"/>
      <c r="AJ8" s="356">
        <v>1</v>
      </c>
      <c r="AK8" s="87" t="s">
        <v>28</v>
      </c>
      <c r="AL8" s="224" t="s">
        <v>67</v>
      </c>
      <c r="AM8" s="317"/>
      <c r="AN8" s="356">
        <v>1</v>
      </c>
      <c r="AO8" s="707"/>
      <c r="AP8" s="708" t="s">
        <v>67</v>
      </c>
      <c r="AQ8" s="643"/>
      <c r="AR8" s="356">
        <v>1</v>
      </c>
      <c r="AS8" s="95" t="s">
        <v>28</v>
      </c>
      <c r="AT8" s="516"/>
      <c r="AU8" s="518"/>
      <c r="AV8" s="516"/>
      <c r="AW8" s="518"/>
      <c r="AX8" s="519"/>
      <c r="AY8" s="224" t="s">
        <v>67</v>
      </c>
      <c r="AZ8" s="519"/>
      <c r="BA8" s="224" t="s">
        <v>67</v>
      </c>
      <c r="BB8" s="580"/>
      <c r="BC8" s="520" t="s">
        <v>505</v>
      </c>
      <c r="BE8" s="129"/>
      <c r="BF8" s="129" t="str">
        <f t="shared" si="45"/>
        <v/>
      </c>
      <c r="BG8" s="129"/>
      <c r="BH8" s="129"/>
      <c r="BI8" s="50">
        <v>0</v>
      </c>
    </row>
    <row r="9" ht="11.25" hidden="1" customHeight="1">
      <c r="A9" s="488"/>
      <c r="B9" s="488"/>
      <c r="C9" s="488"/>
      <c r="D9" s="488"/>
      <c r="E9" s="500"/>
      <c r="F9" s="500"/>
      <c r="G9" s="500"/>
      <c r="H9" s="500"/>
      <c r="I9" s="512"/>
      <c r="J9" s="512"/>
      <c r="K9" s="507"/>
      <c r="L9" s="490"/>
      <c r="P9" s="132"/>
      <c r="Q9" s="132"/>
      <c r="R9" s="640"/>
      <c r="S9" s="644"/>
      <c r="T9" s="709"/>
      <c r="U9" s="495"/>
      <c r="V9" s="631"/>
      <c r="W9" s="648"/>
      <c r="X9" s="631"/>
      <c r="Y9" s="648"/>
      <c r="Z9" s="631"/>
      <c r="AA9" s="631"/>
      <c r="AB9" s="631"/>
      <c r="AC9" s="631"/>
      <c r="AD9" s="296"/>
      <c r="AE9" s="642"/>
      <c r="AF9" s="356"/>
      <c r="AG9" s="699"/>
      <c r="AH9" s="224"/>
      <c r="AI9" s="642"/>
      <c r="AJ9" s="356"/>
      <c r="AK9" s="87"/>
      <c r="AL9" s="224"/>
      <c r="AM9" s="323"/>
      <c r="AN9" s="356"/>
      <c r="AO9" s="707"/>
      <c r="AP9" s="710"/>
      <c r="AQ9" s="647"/>
      <c r="AR9" s="177"/>
      <c r="AS9" s="177" t="s">
        <v>506</v>
      </c>
      <c r="AT9" s="631"/>
      <c r="AU9" s="648"/>
      <c r="AV9" s="631"/>
      <c r="AW9" s="648"/>
      <c r="AX9" s="631"/>
      <c r="AY9" s="631"/>
      <c r="AZ9" s="631"/>
      <c r="BA9" s="631"/>
      <c r="BB9" s="646"/>
      <c r="BC9" s="523"/>
      <c r="BE9" s="129"/>
      <c r="BF9" s="129"/>
      <c r="BG9" s="129"/>
      <c r="BH9" s="129"/>
      <c r="BI9" s="50">
        <v>0</v>
      </c>
    </row>
    <row r="10" ht="11.25" hidden="1" customHeight="1">
      <c r="A10" s="488"/>
      <c r="B10" s="488"/>
      <c r="C10" s="488"/>
      <c r="D10" s="488"/>
      <c r="E10" s="500"/>
      <c r="F10" s="500"/>
      <c r="G10" s="500"/>
      <c r="H10" s="500"/>
      <c r="I10" s="512"/>
      <c r="J10" s="512"/>
      <c r="K10" s="507"/>
      <c r="L10" s="490"/>
      <c r="P10" s="132"/>
      <c r="Q10" s="132"/>
      <c r="R10" s="640"/>
      <c r="S10" s="644"/>
      <c r="T10" s="709"/>
      <c r="U10" s="495"/>
      <c r="V10" s="631"/>
      <c r="W10" s="648"/>
      <c r="X10" s="631"/>
      <c r="Y10" s="648"/>
      <c r="Z10" s="631"/>
      <c r="AA10" s="631"/>
      <c r="AB10" s="631"/>
      <c r="AC10" s="631"/>
      <c r="AD10" s="296"/>
      <c r="AE10" s="642"/>
      <c r="AF10" s="356"/>
      <c r="AG10" s="699"/>
      <c r="AH10" s="224"/>
      <c r="AI10" s="642"/>
      <c r="AJ10" s="356"/>
      <c r="AK10" s="87"/>
      <c r="AL10" s="224"/>
      <c r="AM10" s="647"/>
      <c r="AN10" s="711"/>
      <c r="AO10" s="711" t="s">
        <v>507</v>
      </c>
      <c r="AP10" s="177"/>
      <c r="AQ10" s="177"/>
      <c r="AR10" s="177"/>
      <c r="AS10" s="631"/>
      <c r="AT10" s="631"/>
      <c r="AU10" s="648"/>
      <c r="AV10" s="631"/>
      <c r="AW10" s="648"/>
      <c r="AX10" s="631"/>
      <c r="AY10" s="631"/>
      <c r="AZ10" s="631"/>
      <c r="BA10" s="631"/>
      <c r="BB10" s="646"/>
      <c r="BC10" s="523"/>
      <c r="BE10" s="129"/>
      <c r="BF10" s="129"/>
      <c r="BG10" s="129"/>
      <c r="BH10" s="129"/>
      <c r="BI10" s="50">
        <v>0</v>
      </c>
    </row>
    <row r="11" ht="11.25" hidden="1" customHeight="1">
      <c r="A11" s="488"/>
      <c r="B11" s="488"/>
      <c r="C11" s="488"/>
      <c r="D11" s="488"/>
      <c r="E11" s="500"/>
      <c r="F11" s="500"/>
      <c r="G11" s="500"/>
      <c r="H11" s="500"/>
      <c r="I11" s="512"/>
      <c r="J11" s="512"/>
      <c r="K11" s="507"/>
      <c r="L11" s="490"/>
      <c r="P11" s="132"/>
      <c r="Q11" s="132"/>
      <c r="R11" s="640"/>
      <c r="S11" s="644"/>
      <c r="T11" s="709"/>
      <c r="U11" s="495"/>
      <c r="V11" s="631"/>
      <c r="W11" s="648"/>
      <c r="X11" s="631"/>
      <c r="Y11" s="648"/>
      <c r="Z11" s="631"/>
      <c r="AA11" s="631"/>
      <c r="AB11" s="631"/>
      <c r="AC11" s="631"/>
      <c r="AD11" s="296"/>
      <c r="AE11" s="642"/>
      <c r="AF11" s="356"/>
      <c r="AG11" s="699"/>
      <c r="AH11" s="224"/>
      <c r="AI11" s="650"/>
      <c r="AJ11" s="172"/>
      <c r="AK11" s="450" t="s">
        <v>508</v>
      </c>
      <c r="AL11" s="631"/>
      <c r="AM11" s="631"/>
      <c r="AN11" s="631"/>
      <c r="AO11" s="631"/>
      <c r="AP11" s="631"/>
      <c r="AQ11" s="631"/>
      <c r="AR11" s="631"/>
      <c r="AS11" s="631"/>
      <c r="AT11" s="631"/>
      <c r="AU11" s="648"/>
      <c r="AV11" s="631"/>
      <c r="AW11" s="648"/>
      <c r="AX11" s="631"/>
      <c r="AY11" s="631"/>
      <c r="AZ11" s="631"/>
      <c r="BA11" s="631"/>
      <c r="BB11" s="646"/>
      <c r="BC11" s="523"/>
      <c r="BE11" s="129"/>
      <c r="BF11" s="129"/>
      <c r="BG11" s="129"/>
      <c r="BH11" s="129"/>
      <c r="BI11" s="50">
        <v>0</v>
      </c>
    </row>
    <row r="12" ht="11.25" hidden="1" customHeight="1">
      <c r="A12" s="488"/>
      <c r="B12" s="488"/>
      <c r="C12" s="488"/>
      <c r="D12" s="488"/>
      <c r="E12" s="500"/>
      <c r="F12" s="500"/>
      <c r="G12" s="500"/>
      <c r="H12" s="500"/>
      <c r="I12" s="512"/>
      <c r="J12" s="512"/>
      <c r="K12" s="507"/>
      <c r="L12" s="490"/>
      <c r="P12" s="132"/>
      <c r="Q12" s="132"/>
      <c r="R12" s="640"/>
      <c r="S12" s="617"/>
      <c r="T12" s="712"/>
      <c r="U12" s="495"/>
      <c r="V12" s="631"/>
      <c r="W12" s="632" t="str">
        <f>Z8&amp;"-"&amp;AB8</f>
        <v>-</v>
      </c>
      <c r="X12" s="631"/>
      <c r="Y12" s="632" t="str">
        <f>AB8&amp;"-"&amp;AD8</f>
        <v>-да</v>
      </c>
      <c r="Z12" s="631"/>
      <c r="AA12" s="631"/>
      <c r="AB12" s="631"/>
      <c r="AC12" s="631"/>
      <c r="AD12" s="220"/>
      <c r="AE12" s="653"/>
      <c r="AF12" s="654"/>
      <c r="AG12" s="177" t="s">
        <v>509</v>
      </c>
      <c r="AH12" s="631"/>
      <c r="AI12" s="631"/>
      <c r="AJ12" s="631"/>
      <c r="AK12" s="631"/>
      <c r="AL12" s="631"/>
      <c r="AM12" s="631"/>
      <c r="AN12" s="631"/>
      <c r="AO12" s="631"/>
      <c r="AP12" s="631"/>
      <c r="AQ12" s="631"/>
      <c r="AR12" s="631"/>
      <c r="AS12" s="631"/>
      <c r="AT12" s="631"/>
      <c r="AU12" s="632" t="str">
        <f>AX8&amp;"-"&amp;AZ8</f>
        <v>-</v>
      </c>
      <c r="AV12" s="631"/>
      <c r="AW12" s="632" t="str">
        <f>AZ8&amp;"-"&amp;BB8</f>
        <v>-</v>
      </c>
      <c r="AX12" s="631"/>
      <c r="AY12" s="631"/>
      <c r="AZ12" s="631"/>
      <c r="BA12" s="631"/>
      <c r="BB12" s="652" t="str">
        <f>BE8&amp;"-"&amp;BG8</f>
        <v>-</v>
      </c>
      <c r="BC12" s="523"/>
      <c r="BE12" s="129"/>
      <c r="BF12" s="129" t="str">
        <f t="shared" ref="BF12:BF63" si="46">IF(T12="","",T12)</f>
        <v/>
      </c>
      <c r="BG12" s="129"/>
      <c r="BH12" s="129"/>
      <c r="BI12" s="50">
        <v>0</v>
      </c>
    </row>
    <row r="13" ht="11.25" hidden="1" customHeight="1">
      <c r="A13" s="488"/>
      <c r="B13" s="488"/>
      <c r="C13" s="488"/>
      <c r="D13" s="488"/>
      <c r="E13" s="500"/>
      <c r="F13" s="500"/>
      <c r="G13" s="500"/>
      <c r="H13" s="500"/>
      <c r="I13" s="512"/>
      <c r="J13" s="507"/>
      <c r="K13" s="488"/>
      <c r="L13" s="490"/>
      <c r="P13" s="132"/>
      <c r="Q13" s="132"/>
      <c r="R13" s="508"/>
      <c r="S13" s="524"/>
      <c r="T13" s="528" t="s">
        <v>469</v>
      </c>
      <c r="U13" s="214"/>
      <c r="V13" s="214"/>
      <c r="W13" s="214"/>
      <c r="X13" s="214"/>
      <c r="Y13" s="214"/>
      <c r="Z13" s="214"/>
      <c r="AA13" s="214"/>
      <c r="AB13" s="214"/>
      <c r="AC13" s="214"/>
      <c r="AD13" s="683"/>
      <c r="AE13" s="214"/>
      <c r="AF13" s="214"/>
      <c r="AG13" s="214"/>
      <c r="AH13" s="214"/>
      <c r="AI13" s="214"/>
      <c r="AJ13" s="214"/>
      <c r="AK13" s="214"/>
      <c r="AL13" s="214"/>
      <c r="AM13" s="214"/>
      <c r="AN13" s="214"/>
      <c r="AO13" s="214"/>
      <c r="AP13" s="214"/>
      <c r="AQ13" s="214"/>
      <c r="AR13" s="214"/>
      <c r="AS13" s="214"/>
      <c r="AT13" s="214"/>
      <c r="AU13" s="214"/>
      <c r="AV13" s="214"/>
      <c r="AW13" s="214"/>
      <c r="AX13" s="214"/>
      <c r="AY13" s="214"/>
      <c r="AZ13" s="214"/>
      <c r="BA13" s="214"/>
      <c r="BB13" s="526"/>
      <c r="BC13" s="527"/>
      <c r="BE13" s="129"/>
      <c r="BF13" s="129" t="str">
        <f t="shared" si="46"/>
        <v xml:space="preserve">Добавить строку</v>
      </c>
      <c r="BG13" s="129"/>
      <c r="BH13" s="129"/>
      <c r="BI13" s="50">
        <v>0</v>
      </c>
    </row>
    <row r="14" s="57" customFormat="1" ht="14.25" hidden="1" customHeight="1">
      <c r="A14" s="133"/>
      <c r="B14" s="133"/>
      <c r="C14" s="133"/>
      <c r="D14" s="133"/>
      <c r="E14" s="500"/>
      <c r="F14" s="500"/>
      <c r="G14" s="500"/>
      <c r="H14" s="500"/>
      <c r="I14" s="507"/>
      <c r="J14" s="133"/>
      <c r="K14" s="133"/>
      <c r="L14" s="212"/>
      <c r="M14" s="605"/>
      <c r="N14" s="605"/>
      <c r="O14" s="605"/>
      <c r="P14" s="132"/>
      <c r="Q14" s="132"/>
      <c r="R14" s="508"/>
      <c r="S14" s="601"/>
      <c r="T14" s="602"/>
      <c r="U14" s="603"/>
      <c r="V14" s="603"/>
      <c r="W14" s="603"/>
      <c r="X14" s="603"/>
      <c r="Y14" s="603"/>
      <c r="Z14" s="603"/>
      <c r="AA14" s="603"/>
      <c r="AB14" s="603"/>
      <c r="AC14" s="603"/>
      <c r="AD14" s="603"/>
      <c r="AE14" s="603"/>
      <c r="AF14" s="603"/>
      <c r="AG14" s="603"/>
      <c r="AH14" s="603"/>
      <c r="AI14" s="603"/>
      <c r="AJ14" s="603"/>
      <c r="AK14" s="603"/>
      <c r="AL14" s="603"/>
      <c r="AM14" s="603"/>
      <c r="AN14" s="603"/>
      <c r="AO14" s="603"/>
      <c r="AP14" s="603"/>
      <c r="AQ14" s="603"/>
      <c r="AR14" s="603"/>
      <c r="AS14" s="603"/>
      <c r="AT14" s="603"/>
      <c r="AU14" s="603"/>
      <c r="AV14" s="603"/>
      <c r="AW14" s="603"/>
      <c r="AX14" s="603"/>
      <c r="AY14" s="603"/>
      <c r="AZ14" s="603"/>
      <c r="BA14" s="603"/>
      <c r="BB14" s="603"/>
      <c r="BC14" s="604"/>
      <c r="BE14" s="129"/>
      <c r="BF14" s="129" t="str">
        <f t="shared" si="46"/>
        <v/>
      </c>
      <c r="BG14" s="129"/>
      <c r="BH14" s="129"/>
      <c r="BI14" s="57">
        <v>0</v>
      </c>
    </row>
    <row r="15" s="57" customFormat="1" ht="14.25" hidden="1" customHeight="1">
      <c r="A15" s="133"/>
      <c r="B15" s="133"/>
      <c r="C15" s="133"/>
      <c r="D15" s="133"/>
      <c r="E15" s="500"/>
      <c r="F15" s="500"/>
      <c r="G15" s="500"/>
      <c r="H15" s="489"/>
      <c r="I15" s="133"/>
      <c r="J15" s="133"/>
      <c r="K15" s="133"/>
      <c r="L15" s="212"/>
      <c r="M15" s="473"/>
      <c r="N15" s="473"/>
      <c r="O15" s="57"/>
      <c r="P15" s="167"/>
      <c r="Q15" s="533"/>
      <c r="R15" s="655"/>
      <c r="S15" s="601"/>
      <c r="T15" s="602"/>
      <c r="U15" s="603"/>
      <c r="V15" s="603"/>
      <c r="W15" s="603"/>
      <c r="X15" s="603"/>
      <c r="Y15" s="603"/>
      <c r="Z15" s="603"/>
      <c r="AA15" s="603"/>
      <c r="AB15" s="603"/>
      <c r="AC15" s="603"/>
      <c r="AD15" s="603"/>
      <c r="AE15" s="603"/>
      <c r="AF15" s="603"/>
      <c r="AG15" s="603"/>
      <c r="AH15" s="603"/>
      <c r="AI15" s="603"/>
      <c r="AJ15" s="603"/>
      <c r="AK15" s="603"/>
      <c r="AL15" s="603"/>
      <c r="AM15" s="603"/>
      <c r="AN15" s="603"/>
      <c r="AO15" s="603"/>
      <c r="AP15" s="603"/>
      <c r="AQ15" s="603"/>
      <c r="AR15" s="603"/>
      <c r="AS15" s="603"/>
      <c r="AT15" s="603"/>
      <c r="AU15" s="603"/>
      <c r="AV15" s="603"/>
      <c r="AW15" s="603"/>
      <c r="AX15" s="603"/>
      <c r="AY15" s="603"/>
      <c r="AZ15" s="603"/>
      <c r="BA15" s="603"/>
      <c r="BB15" s="603"/>
      <c r="BC15" s="604"/>
      <c r="BE15" s="129"/>
      <c r="BF15" s="129" t="str">
        <f t="shared" si="46"/>
        <v/>
      </c>
      <c r="BG15" s="129"/>
      <c r="BH15" s="129"/>
      <c r="BI15" s="57">
        <v>0</v>
      </c>
    </row>
    <row r="16" s="57" customFormat="1" ht="14.25" hidden="1" customHeight="1">
      <c r="A16" s="133"/>
      <c r="B16" s="133"/>
      <c r="C16" s="133"/>
      <c r="D16" s="133"/>
      <c r="E16" s="500"/>
      <c r="F16" s="500"/>
      <c r="G16" s="489"/>
      <c r="H16" s="133"/>
      <c r="I16" s="133"/>
      <c r="J16" s="133"/>
      <c r="K16" s="133"/>
      <c r="L16" s="212"/>
      <c r="M16" s="473"/>
      <c r="N16" s="473"/>
      <c r="P16" s="167"/>
      <c r="Q16" s="533"/>
      <c r="R16" s="167"/>
      <c r="S16" s="538"/>
      <c r="T16" s="541"/>
      <c r="U16" s="540"/>
      <c r="V16" s="540"/>
      <c r="W16" s="540"/>
      <c r="X16" s="540"/>
      <c r="Y16" s="540"/>
      <c r="Z16" s="540"/>
      <c r="AA16" s="540"/>
      <c r="AB16" s="540"/>
      <c r="AC16" s="540"/>
      <c r="AD16" s="540"/>
      <c r="AE16" s="540"/>
      <c r="AF16" s="540"/>
      <c r="AG16" s="540"/>
      <c r="AH16" s="540"/>
      <c r="AI16" s="540"/>
      <c r="AJ16" s="540"/>
      <c r="AK16" s="540"/>
      <c r="AL16" s="540"/>
      <c r="AM16" s="540"/>
      <c r="AN16" s="540"/>
      <c r="AO16" s="540"/>
      <c r="AP16" s="540"/>
      <c r="AQ16" s="540"/>
      <c r="AR16" s="540"/>
      <c r="AS16" s="540"/>
      <c r="AT16" s="540"/>
      <c r="AU16" s="540"/>
      <c r="AV16" s="540"/>
      <c r="AW16" s="540"/>
      <c r="AX16" s="540"/>
      <c r="AY16" s="540"/>
      <c r="AZ16" s="540"/>
      <c r="BA16" s="540"/>
      <c r="BB16" s="540"/>
      <c r="BC16" s="540"/>
      <c r="BE16" s="129"/>
      <c r="BF16" s="129" t="str">
        <f t="shared" si="46"/>
        <v/>
      </c>
      <c r="BG16" s="129"/>
      <c r="BH16" s="129"/>
      <c r="BI16" s="57">
        <v>0</v>
      </c>
    </row>
    <row r="17" s="57" customFormat="1" ht="14.25" hidden="1" customHeight="1">
      <c r="A17" s="133"/>
      <c r="B17" s="133"/>
      <c r="C17" s="133"/>
      <c r="D17" s="133"/>
      <c r="E17" s="500"/>
      <c r="F17" s="489"/>
      <c r="G17" s="133"/>
      <c r="H17" s="133"/>
      <c r="I17" s="133"/>
      <c r="J17" s="133"/>
      <c r="K17" s="133"/>
      <c r="L17" s="212"/>
      <c r="M17" s="537"/>
      <c r="N17" s="537"/>
      <c r="P17" s="167"/>
      <c r="Q17" s="533"/>
      <c r="R17" s="167"/>
      <c r="S17" s="538"/>
      <c r="T17" s="541" t="s">
        <v>212</v>
      </c>
      <c r="U17" s="540"/>
      <c r="V17" s="540"/>
      <c r="W17" s="540"/>
      <c r="X17" s="540"/>
      <c r="Y17" s="540"/>
      <c r="Z17" s="540"/>
      <c r="AA17" s="540"/>
      <c r="AB17" s="540"/>
      <c r="AC17" s="540"/>
      <c r="AD17" s="540"/>
      <c r="AE17" s="540"/>
      <c r="AF17" s="540"/>
      <c r="AG17" s="540"/>
      <c r="AH17" s="540"/>
      <c r="AI17" s="540"/>
      <c r="AJ17" s="540"/>
      <c r="AK17" s="540"/>
      <c r="AL17" s="540"/>
      <c r="AM17" s="540"/>
      <c r="AN17" s="540"/>
      <c r="AO17" s="540"/>
      <c r="AP17" s="540"/>
      <c r="AQ17" s="540"/>
      <c r="AR17" s="540"/>
      <c r="AS17" s="540"/>
      <c r="AT17" s="540"/>
      <c r="AU17" s="540"/>
      <c r="AV17" s="540"/>
      <c r="AW17" s="540"/>
      <c r="AX17" s="540"/>
      <c r="AY17" s="540"/>
      <c r="AZ17" s="540"/>
      <c r="BA17" s="540"/>
      <c r="BB17" s="540"/>
      <c r="BC17" s="540"/>
      <c r="BE17" s="129"/>
      <c r="BF17" s="129" t="str">
        <f t="shared" si="46"/>
        <v xml:space="preserve">Добавить централизованную систему для дифференциации</v>
      </c>
      <c r="BG17" s="129"/>
      <c r="BH17" s="129"/>
      <c r="BI17" s="57">
        <v>0</v>
      </c>
    </row>
    <row r="18" s="57" customFormat="1" ht="14.25" hidden="1" customHeight="1">
      <c r="A18" s="133"/>
      <c r="B18" s="133"/>
      <c r="C18" s="133"/>
      <c r="D18" s="133"/>
      <c r="E18" s="489"/>
      <c r="F18" s="133"/>
      <c r="G18" s="133"/>
      <c r="H18" s="133"/>
      <c r="I18" s="133"/>
      <c r="J18" s="133"/>
      <c r="K18" s="133"/>
      <c r="L18" s="212"/>
      <c r="M18" s="537"/>
      <c r="N18" s="537"/>
      <c r="O18" s="57"/>
      <c r="P18" s="167"/>
      <c r="Q18" s="533"/>
      <c r="R18" s="167"/>
      <c r="S18" s="538"/>
      <c r="T18" s="541" t="s">
        <v>213</v>
      </c>
      <c r="U18" s="540"/>
      <c r="V18" s="540"/>
      <c r="W18" s="540"/>
      <c r="X18" s="540"/>
      <c r="Y18" s="540"/>
      <c r="Z18" s="540"/>
      <c r="AA18" s="540"/>
      <c r="AB18" s="540"/>
      <c r="AC18" s="540"/>
      <c r="AD18" s="540"/>
      <c r="AE18" s="540"/>
      <c r="AF18" s="540"/>
      <c r="AG18" s="540"/>
      <c r="AH18" s="540"/>
      <c r="AI18" s="540"/>
      <c r="AJ18" s="540"/>
      <c r="AK18" s="540"/>
      <c r="AL18" s="540"/>
      <c r="AM18" s="540"/>
      <c r="AN18" s="540"/>
      <c r="AO18" s="540"/>
      <c r="AP18" s="540"/>
      <c r="AQ18" s="540"/>
      <c r="AR18" s="540"/>
      <c r="AS18" s="540"/>
      <c r="AT18" s="540"/>
      <c r="AU18" s="540"/>
      <c r="AV18" s="540"/>
      <c r="AW18" s="540"/>
      <c r="AX18" s="540"/>
      <c r="AY18" s="540"/>
      <c r="AZ18" s="540"/>
      <c r="BA18" s="540"/>
      <c r="BB18" s="540"/>
      <c r="BC18" s="540"/>
      <c r="BE18" s="129"/>
      <c r="BF18" s="129" t="str">
        <f t="shared" si="46"/>
        <v xml:space="preserve">Добавить территорию для дифференциации</v>
      </c>
      <c r="BG18" s="129"/>
      <c r="BH18" s="129"/>
      <c r="BI18" s="57">
        <v>0</v>
      </c>
    </row>
    <row r="19" ht="14.25" hidden="1" customHeight="1">
      <c r="AC19" s="50"/>
      <c r="BA19" s="50"/>
      <c r="BI19" s="50">
        <v>0</v>
      </c>
    </row>
    <row r="20" ht="14.25" hidden="1" customHeight="1">
      <c r="AD20" s="540" t="s">
        <v>19</v>
      </c>
      <c r="AE20" s="656"/>
      <c r="AF20" s="540">
        <v>1</v>
      </c>
      <c r="AG20" s="657"/>
      <c r="AH20" s="540" t="s">
        <v>19</v>
      </c>
      <c r="AI20" s="656"/>
      <c r="AJ20" s="540">
        <v>1</v>
      </c>
      <c r="AK20" s="657"/>
      <c r="AL20" s="540" t="s">
        <v>19</v>
      </c>
      <c r="AM20" s="658"/>
      <c r="AN20" s="540">
        <v>1</v>
      </c>
      <c r="AO20" s="134"/>
      <c r="AP20" s="540" t="s">
        <v>19</v>
      </c>
      <c r="AQ20" s="658"/>
      <c r="AR20" s="540">
        <v>1</v>
      </c>
      <c r="AS20" s="134"/>
      <c r="AT20" s="517"/>
      <c r="AU20" s="592"/>
      <c r="AV20" s="517"/>
      <c r="AW20" s="592"/>
      <c r="AX20" s="662"/>
      <c r="AY20" s="663" t="s">
        <v>67</v>
      </c>
      <c r="AZ20" s="662"/>
      <c r="BA20" s="663" t="s">
        <v>67</v>
      </c>
      <c r="BI20" s="50">
        <v>0</v>
      </c>
    </row>
    <row r="21" ht="14.25" hidden="1" customHeight="1">
      <c r="BD21" s="131"/>
      <c r="BE21" s="131"/>
      <c r="BF21" s="131"/>
      <c r="BG21" s="131"/>
      <c r="BH21" s="131"/>
      <c r="BI21" s="50">
        <v>0</v>
      </c>
    </row>
    <row r="22" ht="14.25" hidden="1" customHeight="1">
      <c r="O22" s="546" t="s">
        <v>419</v>
      </c>
      <c r="Z22" s="590"/>
      <c r="AB22" s="590"/>
      <c r="AC22" s="50"/>
      <c r="AX22" s="590"/>
      <c r="AZ22" s="590"/>
      <c r="BA22" s="50"/>
      <c r="BD22" s="131"/>
      <c r="BE22" s="131"/>
      <c r="BF22" s="131"/>
      <c r="BG22" s="131"/>
      <c r="BH22" s="131"/>
      <c r="BI22" s="50">
        <v>0</v>
      </c>
    </row>
    <row r="23" ht="14.25" hidden="1" customHeight="1">
      <c r="AC23" s="50"/>
      <c r="BA23" s="50"/>
      <c r="BD23" s="131"/>
      <c r="BE23" s="131"/>
      <c r="BF23" s="131"/>
      <c r="BG23" s="131"/>
      <c r="BH23" s="131"/>
      <c r="BI23" s="50">
        <v>0</v>
      </c>
    </row>
    <row r="24" s="664" customFormat="1" ht="14.25" hidden="1" customHeight="1">
      <c r="M24" s="665"/>
      <c r="N24" s="665"/>
      <c r="O24" s="664" t="s">
        <v>420</v>
      </c>
      <c r="P24" s="665"/>
      <c r="Q24" s="666"/>
      <c r="R24" s="666"/>
      <c r="AA24" s="664" t="s">
        <v>422</v>
      </c>
      <c r="AC24" s="664" t="s">
        <v>423</v>
      </c>
      <c r="AD24" s="664" t="s">
        <v>470</v>
      </c>
      <c r="AH24" s="664" t="s">
        <v>470</v>
      </c>
      <c r="AK24" s="664" t="s">
        <v>510</v>
      </c>
      <c r="AL24" s="664" t="s">
        <v>470</v>
      </c>
      <c r="AP24" s="664" t="s">
        <v>470</v>
      </c>
      <c r="AY24" s="664" t="s">
        <v>422</v>
      </c>
      <c r="BA24" s="664" t="s">
        <v>423</v>
      </c>
      <c r="BD24" s="667"/>
      <c r="BE24" s="667"/>
      <c r="BF24" s="667"/>
      <c r="BG24" s="667"/>
      <c r="BH24" s="667"/>
      <c r="BI24" s="664">
        <v>0</v>
      </c>
    </row>
    <row r="25" ht="14.25" hidden="1" customHeight="1">
      <c r="O25" s="490"/>
      <c r="BD25" s="131"/>
      <c r="BE25" s="131"/>
      <c r="BF25" s="131"/>
      <c r="BG25" s="131"/>
      <c r="BH25" s="131"/>
      <c r="BI25" s="50">
        <v>0</v>
      </c>
    </row>
    <row r="26" ht="14.25" hidden="1" customHeight="1">
      <c r="O26" s="490"/>
      <c r="BD26" s="131"/>
      <c r="BE26" s="131"/>
      <c r="BF26" s="131"/>
      <c r="BG26" s="131"/>
      <c r="BH26" s="131"/>
      <c r="BI26" s="50">
        <v>0</v>
      </c>
    </row>
    <row r="27" ht="14.65" customHeight="1">
      <c r="Q27" s="668"/>
      <c r="R27" s="548"/>
      <c r="S27" s="549"/>
      <c r="T27" s="91"/>
      <c r="U27" s="91"/>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0"/>
      <c r="AV27" s="50"/>
      <c r="AW27" s="50"/>
      <c r="AX27" s="50"/>
      <c r="AY27" s="50"/>
      <c r="AZ27" s="50"/>
      <c r="BA27" s="50"/>
      <c r="BI27" s="50">
        <v>14</v>
      </c>
    </row>
    <row r="28" ht="14.65" customHeight="1">
      <c r="Q28" s="668"/>
      <c r="R28" s="548"/>
      <c r="S28" s="461" t="str">
        <f>IF(TEMPLATE_GROUP="P",PT_P_FORM_HOTVSNA_5_NAME_FORM,PT_R_FORM_HOTVSNA_17_NAME_FORM)</f>
        <v xml:space="preserve">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461"/>
      <c r="U28" s="461"/>
      <c r="V28" s="461"/>
      <c r="W28" s="461"/>
      <c r="X28" s="461"/>
      <c r="Y28" s="461"/>
      <c r="Z28" s="461"/>
      <c r="AA28" s="461"/>
      <c r="AB28" s="461"/>
      <c r="AC28" s="461"/>
      <c r="AD28" s="461"/>
      <c r="AE28" s="461"/>
      <c r="AF28" s="461"/>
      <c r="AG28" s="461"/>
      <c r="AH28" s="461"/>
      <c r="AI28" s="461"/>
      <c r="AJ28" s="461"/>
      <c r="AK28" s="461"/>
      <c r="AL28" s="461"/>
      <c r="AM28" s="461"/>
      <c r="AN28" s="461"/>
      <c r="AO28" s="461"/>
      <c r="AP28" s="461"/>
      <c r="AQ28" s="461"/>
      <c r="AR28" s="461"/>
      <c r="AS28" s="461"/>
      <c r="AT28" s="461"/>
      <c r="AU28" s="461"/>
      <c r="AV28" s="461"/>
      <c r="AW28" s="461"/>
      <c r="AX28" s="461"/>
      <c r="AY28" s="461"/>
      <c r="AZ28" s="461"/>
      <c r="BA28" s="240"/>
      <c r="BI28" s="50">
        <v>14</v>
      </c>
    </row>
    <row r="29" ht="14.65" customHeight="1">
      <c r="Q29" s="668"/>
      <c r="R29" s="548"/>
      <c r="S29" s="316" t="str">
        <f>IF(org=0,"Не определено",org)</f>
        <v xml:space="preserve">АО "ДГК"</v>
      </c>
      <c r="T29" s="316"/>
      <c r="U29" s="316"/>
      <c r="V29" s="316"/>
      <c r="W29" s="316"/>
      <c r="X29" s="316"/>
      <c r="Y29" s="316"/>
      <c r="Z29" s="316"/>
      <c r="AA29" s="316"/>
      <c r="AB29" s="316"/>
      <c r="AC29" s="316"/>
      <c r="AD29" s="316"/>
      <c r="AE29" s="316"/>
      <c r="AF29" s="316"/>
      <c r="AG29" s="316"/>
      <c r="AH29" s="316"/>
      <c r="AI29" s="316"/>
      <c r="AJ29" s="316"/>
      <c r="AK29" s="316"/>
      <c r="AL29" s="316"/>
      <c r="AM29" s="316"/>
      <c r="AN29" s="316"/>
      <c r="AO29" s="316"/>
      <c r="AP29" s="316"/>
      <c r="AQ29" s="316"/>
      <c r="AR29" s="316"/>
      <c r="AS29" s="316"/>
      <c r="AT29" s="316"/>
      <c r="AU29" s="316"/>
      <c r="AV29" s="316"/>
      <c r="AW29" s="316"/>
      <c r="AX29" s="316"/>
      <c r="AY29" s="316"/>
      <c r="AZ29" s="316"/>
      <c r="BA29" s="240"/>
      <c r="BI29" s="50">
        <v>14</v>
      </c>
    </row>
    <row r="30" ht="14.25" hidden="1" customHeight="1">
      <c r="Q30" s="668"/>
      <c r="R30" s="548"/>
      <c r="S30" s="549"/>
      <c r="T30" s="91"/>
      <c r="U30" s="91"/>
      <c r="V30" s="550"/>
      <c r="W30" s="550"/>
      <c r="X30" s="550"/>
      <c r="Y30" s="550"/>
      <c r="Z30" s="550"/>
      <c r="AA30" s="550"/>
      <c r="AB30" s="550"/>
      <c r="AC30" s="550"/>
      <c r="AD30" s="550"/>
      <c r="AE30" s="550"/>
      <c r="AF30" s="550"/>
      <c r="AG30" s="550"/>
      <c r="AH30" s="550"/>
      <c r="AI30" s="550"/>
      <c r="AJ30" s="550"/>
      <c r="AK30" s="550"/>
      <c r="AL30" s="550"/>
      <c r="AM30" s="550"/>
      <c r="AN30" s="550"/>
      <c r="AO30" s="550"/>
      <c r="AP30" s="550"/>
      <c r="AQ30" s="550"/>
      <c r="AR30" s="550"/>
      <c r="AS30" s="550"/>
      <c r="AT30" s="550"/>
      <c r="AU30" s="550"/>
      <c r="AV30" s="550"/>
      <c r="AW30" s="550"/>
      <c r="AX30" s="550"/>
      <c r="AY30" s="550"/>
      <c r="AZ30" s="550"/>
      <c r="BA30" s="550"/>
      <c r="BB30" s="50"/>
      <c r="BI30" s="50">
        <v>0</v>
      </c>
    </row>
    <row r="31" s="184" customFormat="1" ht="25.5" hidden="1" customHeight="1">
      <c r="A31" s="151"/>
      <c r="B31" s="151"/>
      <c r="C31" s="151"/>
      <c r="D31" s="151"/>
      <c r="E31" s="151"/>
      <c r="F31" s="151"/>
      <c r="G31" s="151"/>
      <c r="H31" s="151"/>
      <c r="I31" s="151"/>
      <c r="J31" s="151"/>
      <c r="K31" s="151"/>
      <c r="L31" s="490"/>
      <c r="M31" s="151"/>
      <c r="N31" s="151"/>
      <c r="O31" s="151"/>
      <c r="P31" s="151"/>
      <c r="Q31" s="151"/>
      <c r="S31" s="551" t="s">
        <v>42</v>
      </c>
      <c r="T31" s="551"/>
      <c r="U31" s="552"/>
      <c r="V31" s="553" t="str">
        <f>IF(TITLE_NAME_OR_PR_CHANGE="",IF(TITLE_NAME_OR_PR="","",TITLE_NAME_OR_PR),TITLE_NAME_OR_PR_CHANGE)</f>
        <v/>
      </c>
      <c r="W31" s="553"/>
      <c r="X31" s="553"/>
      <c r="Y31" s="553"/>
      <c r="Z31" s="553"/>
      <c r="AA31" s="553"/>
      <c r="AB31" s="553"/>
      <c r="AC31" s="50"/>
      <c r="AD31" s="553" t="str">
        <f>IF(TITLE_NAME_OR_PR_CHANGE="",IF(TITLE_NAME_OR_PR="","",TITLE_NAME_OR_PR),TITLE_NAME_OR_PR_CHANGE)</f>
        <v/>
      </c>
      <c r="AE31" s="553"/>
      <c r="AF31" s="553"/>
      <c r="AG31" s="553"/>
      <c r="AH31" s="553"/>
      <c r="AI31" s="553"/>
      <c r="AJ31" s="553"/>
      <c r="AK31" s="553"/>
      <c r="AL31" s="553"/>
      <c r="AM31" s="553"/>
      <c r="AN31" s="553"/>
      <c r="AO31" s="553"/>
      <c r="AP31" s="553"/>
      <c r="AQ31" s="553"/>
      <c r="AR31" s="553"/>
      <c r="AS31" s="553"/>
      <c r="AT31" s="553"/>
      <c r="AU31" s="553"/>
      <c r="AV31" s="553"/>
      <c r="AW31" s="553"/>
      <c r="AX31" s="553"/>
      <c r="AY31" s="553"/>
      <c r="AZ31" s="553"/>
      <c r="BA31" s="50"/>
      <c r="BB31" s="50"/>
      <c r="BC31" s="554"/>
      <c r="BD31" s="129"/>
      <c r="BE31" s="129"/>
      <c r="BF31" s="129"/>
      <c r="BG31" s="129"/>
      <c r="BH31" s="129"/>
      <c r="BI31" s="184">
        <v>0</v>
      </c>
    </row>
    <row r="32" s="184" customFormat="1" ht="18.75" hidden="1" customHeight="1">
      <c r="A32" s="151"/>
      <c r="B32" s="151"/>
      <c r="C32" s="151"/>
      <c r="D32" s="151"/>
      <c r="E32" s="151"/>
      <c r="F32" s="151"/>
      <c r="G32" s="151"/>
      <c r="H32" s="151"/>
      <c r="I32" s="151"/>
      <c r="J32" s="151"/>
      <c r="K32" s="151"/>
      <c r="L32" s="490"/>
      <c r="M32" s="151"/>
      <c r="N32" s="151"/>
      <c r="O32" s="151"/>
      <c r="P32" s="151"/>
      <c r="Q32" s="151"/>
      <c r="S32" s="551" t="s">
        <v>425</v>
      </c>
      <c r="T32" s="551"/>
      <c r="U32" s="552"/>
      <c r="V32" s="555">
        <f>IF(TITLE_DATE_PR_CHANGE="",IF(TITLE_DATE_PR="","",TITLE_DATE_PR),TITLE_DATE_PR_CHANGE)</f>
        <v>46212.428518518522</v>
      </c>
      <c r="W32" s="555"/>
      <c r="X32" s="555"/>
      <c r="Y32" s="555"/>
      <c r="Z32" s="555"/>
      <c r="AA32" s="555"/>
      <c r="AB32" s="555"/>
      <c r="AC32" s="50"/>
      <c r="AD32" s="555">
        <f>IF(TITLE_DATE_PR_CHANGE="",IF(TITLE_DATE_PR="","",TITLE_DATE_PR),TITLE_DATE_PR_CHANGE)</f>
        <v>46212.428518518522</v>
      </c>
      <c r="AE32" s="555"/>
      <c r="AF32" s="555"/>
      <c r="AG32" s="555"/>
      <c r="AH32" s="555"/>
      <c r="AI32" s="555"/>
      <c r="AJ32" s="555"/>
      <c r="AK32" s="555"/>
      <c r="AL32" s="555"/>
      <c r="AM32" s="555"/>
      <c r="AN32" s="555"/>
      <c r="AO32" s="555"/>
      <c r="AP32" s="555"/>
      <c r="AQ32" s="555"/>
      <c r="AR32" s="555"/>
      <c r="AS32" s="555"/>
      <c r="AT32" s="555"/>
      <c r="AU32" s="555"/>
      <c r="AV32" s="555"/>
      <c r="AW32" s="555"/>
      <c r="AX32" s="555"/>
      <c r="AY32" s="555"/>
      <c r="AZ32" s="555"/>
      <c r="BA32" s="50"/>
      <c r="BB32" s="50"/>
      <c r="BC32" s="554"/>
      <c r="BD32" s="129"/>
      <c r="BE32" s="129"/>
      <c r="BF32" s="129"/>
      <c r="BG32" s="129"/>
      <c r="BH32" s="129"/>
      <c r="BI32" s="184">
        <v>0</v>
      </c>
    </row>
    <row r="33" s="184" customFormat="1" ht="18.75" hidden="1" customHeight="1">
      <c r="A33" s="151"/>
      <c r="B33" s="151"/>
      <c r="C33" s="151"/>
      <c r="D33" s="151"/>
      <c r="E33" s="151"/>
      <c r="F33" s="151"/>
      <c r="G33" s="151"/>
      <c r="H33" s="151"/>
      <c r="I33" s="151"/>
      <c r="J33" s="151"/>
      <c r="K33" s="151"/>
      <c r="L33" s="490"/>
      <c r="M33" s="151"/>
      <c r="N33" s="151"/>
      <c r="O33" s="151"/>
      <c r="P33" s="151"/>
      <c r="Q33" s="151"/>
      <c r="S33" s="551" t="s">
        <v>426</v>
      </c>
      <c r="T33" s="551"/>
      <c r="U33" s="552"/>
      <c r="V33" s="553" t="str">
        <f>IF(TITLE_NUMBER_PR_CHANGE="",IF(TITLE_NUMBER_PR="","",TITLE_NUMBER_PR),TITLE_NUMBER_PR_CHANGE)</f>
        <v>Исх-260/1397</v>
      </c>
      <c r="W33" s="553"/>
      <c r="X33" s="553"/>
      <c r="Y33" s="553"/>
      <c r="Z33" s="553"/>
      <c r="AA33" s="553"/>
      <c r="AB33" s="553"/>
      <c r="AC33" s="50"/>
      <c r="AD33" s="553" t="str">
        <f>IF(TITLE_NUMBER_PR_CHANGE="",IF(TITLE_NUMBER_PR="","",TITLE_NUMBER_PR),TITLE_NUMBER_PR_CHANGE)</f>
        <v>Исх-260/1397</v>
      </c>
      <c r="AE33" s="553"/>
      <c r="AF33" s="553"/>
      <c r="AG33" s="553"/>
      <c r="AH33" s="553"/>
      <c r="AI33" s="553"/>
      <c r="AJ33" s="553"/>
      <c r="AK33" s="553"/>
      <c r="AL33" s="553"/>
      <c r="AM33" s="553"/>
      <c r="AN33" s="553"/>
      <c r="AO33" s="553"/>
      <c r="AP33" s="553"/>
      <c r="AQ33" s="553"/>
      <c r="AR33" s="553"/>
      <c r="AS33" s="553"/>
      <c r="AT33" s="553"/>
      <c r="AU33" s="553"/>
      <c r="AV33" s="553"/>
      <c r="AW33" s="553"/>
      <c r="AX33" s="553"/>
      <c r="AY33" s="553"/>
      <c r="AZ33" s="553"/>
      <c r="BA33" s="50"/>
      <c r="BB33" s="50"/>
      <c r="BC33" s="554"/>
      <c r="BD33" s="129"/>
      <c r="BE33" s="129"/>
      <c r="BF33" s="129"/>
      <c r="BG33" s="129"/>
      <c r="BH33" s="129"/>
      <c r="BI33" s="184">
        <v>0</v>
      </c>
    </row>
    <row r="34" s="184" customFormat="1" ht="18.75" hidden="1" customHeight="1">
      <c r="A34" s="151"/>
      <c r="B34" s="151"/>
      <c r="C34" s="151"/>
      <c r="D34" s="151"/>
      <c r="E34" s="151"/>
      <c r="F34" s="151"/>
      <c r="G34" s="151"/>
      <c r="H34" s="151"/>
      <c r="I34" s="151"/>
      <c r="J34" s="151"/>
      <c r="K34" s="151"/>
      <c r="L34" s="490"/>
      <c r="M34" s="151"/>
      <c r="N34" s="151"/>
      <c r="O34" s="151"/>
      <c r="P34" s="151"/>
      <c r="Q34" s="151"/>
      <c r="S34" s="551" t="s">
        <v>43</v>
      </c>
      <c r="T34" s="551"/>
      <c r="U34" s="552"/>
      <c r="V34" s="553" t="str">
        <f>IF(TITLE_IST_PUB_CHANGE="",IF(TITLE_IST_PUB="","",TITLE_IST_PUB),TITLE_IST_PUB_CHANGE)</f>
        <v/>
      </c>
      <c r="W34" s="553"/>
      <c r="X34" s="553"/>
      <c r="Y34" s="553"/>
      <c r="Z34" s="553"/>
      <c r="AA34" s="553"/>
      <c r="AB34" s="553"/>
      <c r="AC34" s="50"/>
      <c r="AD34" s="553" t="str">
        <f>IF(TITLE_IST_PUB_CHANGE="",IF(TITLE_IST_PUB="","",TITLE_IST_PUB),TITLE_IST_PUB_CHANGE)</f>
        <v/>
      </c>
      <c r="AE34" s="553"/>
      <c r="AF34" s="553"/>
      <c r="AG34" s="553"/>
      <c r="AH34" s="553"/>
      <c r="AI34" s="553"/>
      <c r="AJ34" s="553"/>
      <c r="AK34" s="553"/>
      <c r="AL34" s="553"/>
      <c r="AM34" s="553"/>
      <c r="AN34" s="553"/>
      <c r="AO34" s="553"/>
      <c r="AP34" s="553"/>
      <c r="AQ34" s="553"/>
      <c r="AR34" s="553"/>
      <c r="AS34" s="553"/>
      <c r="AT34" s="553"/>
      <c r="AU34" s="553"/>
      <c r="AV34" s="553"/>
      <c r="AW34" s="553"/>
      <c r="AX34" s="553"/>
      <c r="AY34" s="553"/>
      <c r="AZ34" s="553"/>
      <c r="BA34" s="50"/>
      <c r="BB34" s="50"/>
      <c r="BC34" s="554"/>
      <c r="BD34" s="129"/>
      <c r="BE34" s="129"/>
      <c r="BF34" s="129"/>
      <c r="BG34" s="129"/>
      <c r="BH34" s="129"/>
      <c r="BI34" s="184">
        <v>0</v>
      </c>
    </row>
    <row r="35" ht="14.25" customHeight="1">
      <c r="Q35" s="668"/>
      <c r="R35" s="548"/>
      <c r="S35" s="549"/>
      <c r="T35" s="91"/>
      <c r="U35" s="91"/>
      <c r="V35" s="550"/>
      <c r="W35" s="550"/>
      <c r="X35" s="550"/>
      <c r="Y35" s="550"/>
      <c r="Z35" s="550"/>
      <c r="AA35" s="550"/>
      <c r="AB35" s="550"/>
      <c r="AC35" s="550"/>
      <c r="AD35" s="550"/>
      <c r="AE35" s="550"/>
      <c r="AF35" s="550"/>
      <c r="AG35" s="550"/>
      <c r="AH35" s="550"/>
      <c r="AI35" s="550"/>
      <c r="AJ35" s="550"/>
      <c r="AK35" s="550"/>
      <c r="AL35" s="550"/>
      <c r="AM35" s="550"/>
      <c r="AN35" s="550"/>
      <c r="AO35" s="550"/>
      <c r="AP35" s="550"/>
      <c r="AQ35" s="550"/>
      <c r="AR35" s="550"/>
      <c r="AS35" s="550"/>
      <c r="AT35" s="550"/>
      <c r="AU35" s="550"/>
      <c r="AV35" s="550"/>
      <c r="AW35" s="550"/>
      <c r="AX35" s="550"/>
      <c r="AY35" s="550"/>
      <c r="AZ35" s="550"/>
      <c r="BA35" s="550"/>
      <c r="BB35" s="50"/>
      <c r="BI35" s="50">
        <v>0</v>
      </c>
    </row>
    <row r="36" s="184" customFormat="1" ht="18.75" customHeight="1">
      <c r="A36" s="151"/>
      <c r="B36" s="151"/>
      <c r="C36" s="151"/>
      <c r="D36" s="151"/>
      <c r="E36" s="151"/>
      <c r="F36" s="151"/>
      <c r="G36" s="151"/>
      <c r="H36" s="151"/>
      <c r="I36" s="151"/>
      <c r="J36" s="151"/>
      <c r="K36" s="151"/>
      <c r="L36" s="490"/>
      <c r="M36" s="151"/>
      <c r="N36" s="151"/>
      <c r="O36" s="151"/>
      <c r="P36" s="151"/>
      <c r="Q36" s="151"/>
      <c r="S36" s="551" t="s">
        <v>425</v>
      </c>
      <c r="T36" s="551"/>
      <c r="U36" s="552"/>
      <c r="V36" s="555">
        <f>IF(TITLE_DATE_PR_CHANGE="",IF(TITLE_DATE_PR="","",TITLE_DATE_PR),TITLE_DATE_PR_CHANGE)</f>
        <v>46212.428518518522</v>
      </c>
      <c r="W36" s="555"/>
      <c r="X36" s="555"/>
      <c r="Y36" s="555"/>
      <c r="Z36" s="555"/>
      <c r="AA36" s="555"/>
      <c r="AB36" s="555"/>
      <c r="AC36" s="50"/>
      <c r="AD36" s="555">
        <f>IF(TITLE_DATE_PR_CHANGE="",IF(TITLE_DATE_PR="","",TITLE_DATE_PR),TITLE_DATE_PR_CHANGE)</f>
        <v>46212.428518518522</v>
      </c>
      <c r="AE36" s="555"/>
      <c r="AF36" s="555"/>
      <c r="AG36" s="555"/>
      <c r="AH36" s="555"/>
      <c r="AI36" s="555"/>
      <c r="AJ36" s="555"/>
      <c r="AK36" s="555"/>
      <c r="AL36" s="555"/>
      <c r="AM36" s="555"/>
      <c r="AN36" s="555"/>
      <c r="AO36" s="555"/>
      <c r="AP36" s="555"/>
      <c r="AQ36" s="555"/>
      <c r="AR36" s="555"/>
      <c r="AS36" s="555"/>
      <c r="AT36" s="555"/>
      <c r="AU36" s="555"/>
      <c r="AV36" s="555"/>
      <c r="AW36" s="555"/>
      <c r="AX36" s="555"/>
      <c r="AY36" s="555"/>
      <c r="AZ36" s="555"/>
      <c r="BA36" s="50"/>
      <c r="BB36" s="50"/>
      <c r="BC36" s="554"/>
      <c r="BD36" s="129"/>
      <c r="BE36" s="129"/>
      <c r="BF36" s="129"/>
      <c r="BG36" s="129"/>
      <c r="BH36" s="129"/>
      <c r="BI36" s="184">
        <v>0</v>
      </c>
    </row>
    <row r="37" s="184" customFormat="1" ht="18.75" customHeight="1">
      <c r="A37" s="151"/>
      <c r="B37" s="151"/>
      <c r="C37" s="151"/>
      <c r="D37" s="151"/>
      <c r="E37" s="151"/>
      <c r="F37" s="151"/>
      <c r="G37" s="151"/>
      <c r="H37" s="151"/>
      <c r="I37" s="151"/>
      <c r="J37" s="151"/>
      <c r="K37" s="151"/>
      <c r="L37" s="490"/>
      <c r="M37" s="151"/>
      <c r="N37" s="151"/>
      <c r="O37" s="151"/>
      <c r="P37" s="151"/>
      <c r="Q37" s="151"/>
      <c r="S37" s="551" t="s">
        <v>426</v>
      </c>
      <c r="T37" s="551"/>
      <c r="U37" s="552"/>
      <c r="V37" s="553" t="str">
        <f>IF(TITLE_NUMBER_PR_CHANGE="",IF(TITLE_NUMBER_PR="","",TITLE_NUMBER_PR),TITLE_NUMBER_PR_CHANGE)</f>
        <v>Исх-260/1397</v>
      </c>
      <c r="W37" s="553"/>
      <c r="X37" s="553"/>
      <c r="Y37" s="553"/>
      <c r="Z37" s="553"/>
      <c r="AA37" s="553"/>
      <c r="AB37" s="553"/>
      <c r="AC37" s="50"/>
      <c r="AD37" s="553" t="str">
        <f>IF(TITLE_NUMBER_PR_CHANGE="",IF(TITLE_NUMBER_PR="","",TITLE_NUMBER_PR),TITLE_NUMBER_PR_CHANGE)</f>
        <v>Исх-260/1397</v>
      </c>
      <c r="AE37" s="553"/>
      <c r="AF37" s="553"/>
      <c r="AG37" s="553"/>
      <c r="AH37" s="553"/>
      <c r="AI37" s="553"/>
      <c r="AJ37" s="553"/>
      <c r="AK37" s="553"/>
      <c r="AL37" s="553"/>
      <c r="AM37" s="553"/>
      <c r="AN37" s="553"/>
      <c r="AO37" s="553"/>
      <c r="AP37" s="553"/>
      <c r="AQ37" s="553"/>
      <c r="AR37" s="553"/>
      <c r="AS37" s="553"/>
      <c r="AT37" s="553"/>
      <c r="AU37" s="553"/>
      <c r="AV37" s="553"/>
      <c r="AW37" s="553"/>
      <c r="AX37" s="553"/>
      <c r="AY37" s="553"/>
      <c r="AZ37" s="553"/>
      <c r="BA37" s="50"/>
      <c r="BB37" s="50"/>
      <c r="BC37" s="554"/>
      <c r="BD37" s="129"/>
      <c r="BE37" s="129"/>
      <c r="BF37" s="129"/>
      <c r="BG37" s="129"/>
      <c r="BH37" s="129"/>
      <c r="BI37" s="184">
        <v>0</v>
      </c>
    </row>
    <row r="38" s="184" customFormat="1" ht="0" customHeight="1">
      <c r="A38" s="151"/>
      <c r="B38" s="151"/>
      <c r="C38" s="151"/>
      <c r="D38" s="151"/>
      <c r="E38" s="151"/>
      <c r="F38" s="151"/>
      <c r="G38" s="151"/>
      <c r="H38" s="151"/>
      <c r="I38" s="151"/>
      <c r="J38" s="151"/>
      <c r="K38" s="151"/>
      <c r="L38" s="490"/>
      <c r="M38" s="151"/>
      <c r="N38" s="151"/>
      <c r="O38" s="151"/>
      <c r="P38" s="151"/>
      <c r="Q38" s="151"/>
      <c r="S38" s="50"/>
      <c r="T38" s="50"/>
      <c r="U38" s="140"/>
      <c r="V38" s="50"/>
      <c r="W38" s="50"/>
      <c r="X38" s="50"/>
      <c r="Y38" s="50"/>
      <c r="Z38" s="50"/>
      <c r="AA38" s="50"/>
      <c r="AB38" s="50"/>
      <c r="AC38" s="57" t="s">
        <v>429</v>
      </c>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7" t="s">
        <v>429</v>
      </c>
      <c r="BD38" s="129"/>
      <c r="BE38" s="129"/>
      <c r="BF38" s="129"/>
      <c r="BG38" s="129"/>
      <c r="BH38" s="129"/>
      <c r="BI38" s="184">
        <v>0</v>
      </c>
    </row>
    <row r="39" ht="14.65" customHeight="1">
      <c r="Q39" s="668"/>
      <c r="R39" s="548"/>
      <c r="S39" s="549"/>
      <c r="T39" s="91"/>
      <c r="U39" s="556"/>
      <c r="V39" s="557"/>
      <c r="W39" s="557"/>
      <c r="X39" s="557"/>
      <c r="Y39" s="557"/>
      <c r="Z39" s="557"/>
      <c r="AA39" s="557"/>
      <c r="AB39" s="557"/>
      <c r="AC39" s="557"/>
      <c r="AD39" s="557"/>
      <c r="AE39" s="557"/>
      <c r="AF39" s="557"/>
      <c r="AG39" s="557"/>
      <c r="AH39" s="557"/>
      <c r="AI39" s="557"/>
      <c r="AJ39" s="557"/>
      <c r="AK39" s="557"/>
      <c r="AL39" s="557"/>
      <c r="AM39" s="557"/>
      <c r="AN39" s="557"/>
      <c r="AO39" s="557"/>
      <c r="AP39" s="557"/>
      <c r="AQ39" s="557"/>
      <c r="AR39" s="557"/>
      <c r="AS39" s="557"/>
      <c r="AT39" s="557"/>
      <c r="AU39" s="557"/>
      <c r="AV39" s="557"/>
      <c r="AW39" s="557"/>
      <c r="AX39" s="557"/>
      <c r="AY39" s="557"/>
      <c r="AZ39" s="557"/>
      <c r="BA39" s="557"/>
      <c r="BI39" s="50">
        <v>14</v>
      </c>
    </row>
    <row r="40" ht="14.65" customHeight="1">
      <c r="Q40" s="668"/>
      <c r="R40" s="548"/>
      <c r="S40" s="157" t="s">
        <v>305</v>
      </c>
      <c r="T40" s="157"/>
      <c r="U40" s="157"/>
      <c r="V40" s="157"/>
      <c r="W40" s="157"/>
      <c r="X40" s="157"/>
      <c r="Y40" s="157"/>
      <c r="Z40" s="157"/>
      <c r="AA40" s="157"/>
      <c r="AB40" s="157"/>
      <c r="AC40" s="157"/>
      <c r="AD40" s="157"/>
      <c r="AE40" s="157"/>
      <c r="AF40" s="157"/>
      <c r="AG40" s="157"/>
      <c r="AH40" s="157"/>
      <c r="AI40" s="157"/>
      <c r="AJ40" s="157"/>
      <c r="AK40" s="157"/>
      <c r="AL40" s="157"/>
      <c r="AM40" s="157"/>
      <c r="AN40" s="157"/>
      <c r="AO40" s="157"/>
      <c r="AP40" s="157"/>
      <c r="AQ40" s="157"/>
      <c r="AR40" s="157"/>
      <c r="AS40" s="157"/>
      <c r="AT40" s="157"/>
      <c r="AU40" s="157"/>
      <c r="AV40" s="157"/>
      <c r="AW40" s="157"/>
      <c r="AX40" s="157"/>
      <c r="AY40" s="157"/>
      <c r="AZ40" s="157"/>
      <c r="BA40" s="157"/>
      <c r="BB40" s="157"/>
      <c r="BC40" s="157" t="s">
        <v>306</v>
      </c>
      <c r="BI40" s="50">
        <v>14</v>
      </c>
    </row>
    <row r="41" ht="14.65" customHeight="1">
      <c r="Q41" s="668"/>
      <c r="R41" s="548"/>
      <c r="S41" s="493" t="s">
        <v>89</v>
      </c>
      <c r="T41" s="358" t="s">
        <v>511</v>
      </c>
      <c r="U41" s="558"/>
      <c r="V41" s="559" t="s">
        <v>431</v>
      </c>
      <c r="W41" s="560"/>
      <c r="X41" s="560"/>
      <c r="Y41" s="560"/>
      <c r="Z41" s="560"/>
      <c r="AA41" s="560"/>
      <c r="AB41" s="561"/>
      <c r="AC41" s="562" t="s">
        <v>432</v>
      </c>
      <c r="AD41" s="670" t="s">
        <v>512</v>
      </c>
      <c r="AE41" s="593"/>
      <c r="AF41" s="593"/>
      <c r="AG41" s="671"/>
      <c r="AH41" s="670" t="s">
        <v>513</v>
      </c>
      <c r="AI41" s="593"/>
      <c r="AJ41" s="593"/>
      <c r="AK41" s="671"/>
      <c r="AL41" s="670" t="s">
        <v>514</v>
      </c>
      <c r="AM41" s="593"/>
      <c r="AN41" s="593"/>
      <c r="AO41" s="671"/>
      <c r="AP41" s="670" t="s">
        <v>515</v>
      </c>
      <c r="AQ41" s="593"/>
      <c r="AR41" s="593"/>
      <c r="AS41" s="671"/>
      <c r="AT41" s="559" t="s">
        <v>431</v>
      </c>
      <c r="AU41" s="560"/>
      <c r="AV41" s="560"/>
      <c r="AW41" s="560"/>
      <c r="AX41" s="560"/>
      <c r="AY41" s="560"/>
      <c r="AZ41" s="561"/>
      <c r="BA41" s="562" t="s">
        <v>432</v>
      </c>
      <c r="BB41" s="563" t="s">
        <v>434</v>
      </c>
      <c r="BC41" s="157"/>
      <c r="BI41" s="50">
        <v>14</v>
      </c>
    </row>
    <row r="42" ht="35.649999999999999" customHeight="1">
      <c r="Q42" s="668"/>
      <c r="R42" s="548"/>
      <c r="S42" s="493"/>
      <c r="T42" s="358"/>
      <c r="U42" s="564"/>
      <c r="V42" s="317" t="s">
        <v>516</v>
      </c>
      <c r="W42" s="318"/>
      <c r="X42" s="317" t="s">
        <v>517</v>
      </c>
      <c r="Y42" s="318"/>
      <c r="Z42" s="317" t="s">
        <v>518</v>
      </c>
      <c r="AA42" s="635"/>
      <c r="AB42" s="318"/>
      <c r="AC42" s="566"/>
      <c r="AD42" s="673"/>
      <c r="AE42" s="674"/>
      <c r="AF42" s="674"/>
      <c r="AG42" s="675"/>
      <c r="AH42" s="673"/>
      <c r="AI42" s="674"/>
      <c r="AJ42" s="674"/>
      <c r="AK42" s="675"/>
      <c r="AL42" s="673"/>
      <c r="AM42" s="674"/>
      <c r="AN42" s="674"/>
      <c r="AO42" s="675"/>
      <c r="AP42" s="673"/>
      <c r="AQ42" s="674"/>
      <c r="AR42" s="674"/>
      <c r="AS42" s="675"/>
      <c r="AT42" s="317" t="s">
        <v>516</v>
      </c>
      <c r="AU42" s="318"/>
      <c r="AV42" s="317" t="s">
        <v>517</v>
      </c>
      <c r="AW42" s="318"/>
      <c r="AX42" s="317" t="s">
        <v>518</v>
      </c>
      <c r="AY42" s="635"/>
      <c r="AZ42" s="318"/>
      <c r="BA42" s="566"/>
      <c r="BB42" s="567"/>
      <c r="BC42" s="157"/>
      <c r="BI42" s="50">
        <v>34</v>
      </c>
    </row>
    <row r="43" ht="14.65" customHeight="1">
      <c r="Q43" s="668"/>
      <c r="R43" s="548"/>
      <c r="S43" s="493"/>
      <c r="T43" s="358"/>
      <c r="U43" s="564"/>
      <c r="V43" s="323"/>
      <c r="W43" s="324"/>
      <c r="X43" s="323"/>
      <c r="Y43" s="324"/>
      <c r="Z43" s="323"/>
      <c r="AA43" s="636"/>
      <c r="AB43" s="324"/>
      <c r="AC43" s="566"/>
      <c r="AD43" s="673"/>
      <c r="AE43" s="674"/>
      <c r="AF43" s="674"/>
      <c r="AG43" s="675"/>
      <c r="AH43" s="673"/>
      <c r="AI43" s="674"/>
      <c r="AJ43" s="674"/>
      <c r="AK43" s="675"/>
      <c r="AL43" s="673"/>
      <c r="AM43" s="674"/>
      <c r="AN43" s="674"/>
      <c r="AO43" s="675"/>
      <c r="AP43" s="673"/>
      <c r="AQ43" s="674"/>
      <c r="AR43" s="674"/>
      <c r="AS43" s="675"/>
      <c r="AT43" s="323"/>
      <c r="AU43" s="324"/>
      <c r="AV43" s="323"/>
      <c r="AW43" s="324"/>
      <c r="AX43" s="323"/>
      <c r="AY43" s="636"/>
      <c r="AZ43" s="324"/>
      <c r="BA43" s="566"/>
      <c r="BB43" s="567"/>
      <c r="BC43" s="157"/>
      <c r="BI43" s="50">
        <v>14</v>
      </c>
    </row>
    <row r="44" ht="14.65" customHeight="1">
      <c r="A44" s="151"/>
      <c r="B44" s="151" t="s">
        <v>135</v>
      </c>
      <c r="C44" s="151" t="s">
        <v>136</v>
      </c>
      <c r="D44" s="151" t="s">
        <v>137</v>
      </c>
      <c r="E44" s="490" t="s">
        <v>439</v>
      </c>
      <c r="F44" s="490" t="s">
        <v>440</v>
      </c>
      <c r="G44" s="490" t="s">
        <v>441</v>
      </c>
      <c r="H44" s="490" t="s">
        <v>442</v>
      </c>
      <c r="I44" s="490" t="s">
        <v>443</v>
      </c>
      <c r="J44" s="490" t="s">
        <v>444</v>
      </c>
      <c r="K44" s="490" t="s">
        <v>445</v>
      </c>
      <c r="L44" s="490" t="s">
        <v>420</v>
      </c>
      <c r="Q44" s="668"/>
      <c r="R44" s="548"/>
      <c r="S44" s="493"/>
      <c r="T44" s="358"/>
      <c r="U44" s="568"/>
      <c r="V44" s="358" t="s">
        <v>479</v>
      </c>
      <c r="W44" s="358" t="s">
        <v>480</v>
      </c>
      <c r="X44" s="358" t="s">
        <v>479</v>
      </c>
      <c r="Y44" s="358" t="s">
        <v>480</v>
      </c>
      <c r="Z44" s="246" t="s">
        <v>448</v>
      </c>
      <c r="AA44" s="424" t="s">
        <v>449</v>
      </c>
      <c r="AB44" s="426"/>
      <c r="AC44" s="570"/>
      <c r="AD44" s="679"/>
      <c r="AE44" s="680"/>
      <c r="AF44" s="680"/>
      <c r="AG44" s="681"/>
      <c r="AH44" s="679"/>
      <c r="AI44" s="680"/>
      <c r="AJ44" s="680"/>
      <c r="AK44" s="681"/>
      <c r="AL44" s="679"/>
      <c r="AM44" s="680"/>
      <c r="AN44" s="680"/>
      <c r="AO44" s="681"/>
      <c r="AP44" s="679"/>
      <c r="AQ44" s="680"/>
      <c r="AR44" s="680"/>
      <c r="AS44" s="681"/>
      <c r="AT44" s="358" t="s">
        <v>479</v>
      </c>
      <c r="AU44" s="358" t="s">
        <v>480</v>
      </c>
      <c r="AV44" s="358" t="s">
        <v>479</v>
      </c>
      <c r="AW44" s="358" t="s">
        <v>480</v>
      </c>
      <c r="AX44" s="246" t="s">
        <v>448</v>
      </c>
      <c r="AY44" s="424" t="s">
        <v>449</v>
      </c>
      <c r="AZ44" s="426"/>
      <c r="BA44" s="570"/>
      <c r="BB44" s="571"/>
      <c r="BC44" s="157"/>
      <c r="BI44" s="50">
        <v>14</v>
      </c>
    </row>
    <row r="45" s="131" customFormat="1" ht="0" customHeight="1">
      <c r="A45" s="151"/>
      <c r="B45" s="151"/>
      <c r="C45" s="151"/>
      <c r="D45" s="151"/>
      <c r="E45" s="151"/>
      <c r="F45" s="151"/>
      <c r="G45" s="151"/>
      <c r="H45" s="151"/>
      <c r="I45" s="151"/>
      <c r="J45" s="151"/>
      <c r="K45" s="151"/>
      <c r="L45" s="490"/>
      <c r="M45" s="61"/>
      <c r="N45" s="61"/>
      <c r="O45" s="61"/>
      <c r="P45" s="605"/>
      <c r="Q45" s="574"/>
      <c r="R45" s="574">
        <v>1</v>
      </c>
      <c r="S45" s="575" t="s">
        <v>109</v>
      </c>
      <c r="T45" s="576" t="s">
        <v>110</v>
      </c>
      <c r="U45" s="577" t="str">
        <f ca="1">OFFSET(U45,0,-1)</f>
        <v>2</v>
      </c>
      <c r="V45" s="578">
        <f ca="1">OFFSET(V45,0,-1)+1</f>
        <v>3</v>
      </c>
      <c r="W45" s="578">
        <f ca="1">OFFSET(W45,0,-1)+1</f>
        <v>4</v>
      </c>
      <c r="X45" s="578">
        <f ca="1">OFFSET(X45,0,-1)+1</f>
        <v>5</v>
      </c>
      <c r="Y45" s="578">
        <f ca="1">OFFSET(Y45,0,-1)+1</f>
        <v>6</v>
      </c>
      <c r="Z45" s="578">
        <f ca="1">OFFSET(Z45,0,-1)+1</f>
        <v>7</v>
      </c>
      <c r="AA45" s="578">
        <f ca="1">OFFSET(AA45,0,-1)+1</f>
        <v>8</v>
      </c>
      <c r="AB45" s="578"/>
      <c r="AC45" s="578">
        <f ca="1">OFFSET(AC45,0,-2)+1</f>
        <v>9</v>
      </c>
      <c r="AD45" s="578">
        <f ca="1">OFFSET(AD45,0,-1)+1</f>
        <v>10</v>
      </c>
      <c r="AE45" s="578"/>
      <c r="AF45" s="578"/>
      <c r="AG45" s="578"/>
      <c r="AH45" s="578"/>
      <c r="AI45" s="578"/>
      <c r="AJ45" s="578"/>
      <c r="AK45" s="578"/>
      <c r="AL45" s="578"/>
      <c r="AM45" s="578"/>
      <c r="AN45" s="578"/>
      <c r="AO45" s="578"/>
      <c r="AP45" s="578"/>
      <c r="AQ45" s="578"/>
      <c r="AR45" s="578"/>
      <c r="AS45" s="578"/>
      <c r="AT45" s="578"/>
      <c r="AU45" s="578"/>
      <c r="AV45" s="578"/>
      <c r="AW45" s="578">
        <f ca="1">OFFSET(AW45,0,-1)+1</f>
        <v>1</v>
      </c>
      <c r="AX45" s="578">
        <f ca="1">OFFSET(AX45,0,-1)+1</f>
        <v>2</v>
      </c>
      <c r="AY45" s="578">
        <f ca="1">OFFSET(AY45,0,-1)+1</f>
        <v>3</v>
      </c>
      <c r="AZ45" s="578"/>
      <c r="BA45" s="578">
        <f ca="1">OFFSET(BA45,0,-2)+1</f>
        <v>4</v>
      </c>
      <c r="BB45" s="577">
        <f ca="1">OFFSET(BB45,0,-1)</f>
        <v>4</v>
      </c>
      <c r="BC45" s="578">
        <f ca="1">OFFSET(BC45,0,-1)+1</f>
        <v>5</v>
      </c>
      <c r="BD45" s="57"/>
      <c r="BE45" s="57"/>
      <c r="BF45" s="57"/>
      <c r="BG45" s="57"/>
      <c r="BH45" s="57"/>
      <c r="BI45" s="131">
        <v>0</v>
      </c>
    </row>
    <row r="46" ht="22" customHeight="1">
      <c r="A46" s="488" t="s">
        <v>266</v>
      </c>
      <c r="B46" s="488"/>
      <c r="C46" s="488"/>
      <c r="D46" s="488"/>
      <c r="E46" s="489">
        <v>1</v>
      </c>
      <c r="F46" s="488"/>
      <c r="G46" s="488"/>
      <c r="H46" s="488"/>
      <c r="I46" s="488"/>
      <c r="J46" s="488"/>
      <c r="K46" s="488"/>
      <c r="L46" s="490"/>
      <c r="M46" s="491"/>
      <c r="N46" s="491"/>
      <c r="O46" s="491"/>
      <c r="P46" s="61"/>
      <c r="Q46" s="64"/>
      <c r="R46" s="492"/>
      <c r="S46" s="493">
        <f>INDEX(PT_DIFFERENTIATION_NUM_NTAR,MATCH(A46,PT_DIFFERENTIATION_NTAR_ID,0))</f>
        <v>0</v>
      </c>
      <c r="T46" s="494" t="s">
        <v>123</v>
      </c>
      <c r="U46" s="495"/>
      <c r="V46" s="497"/>
      <c r="W46" s="497"/>
      <c r="X46" s="497"/>
      <c r="Y46" s="497"/>
      <c r="Z46" s="497"/>
      <c r="AA46" s="497"/>
      <c r="AB46" s="497"/>
      <c r="AC46" s="498"/>
      <c r="AD46" s="496" t="str">
        <f>INDEX(PT_DIFFERENTIATION_NTAR,MATCH(A46,PT_DIFFERENTIATION_NTAR_ID,0))</f>
        <v/>
      </c>
      <c r="AE46" s="497"/>
      <c r="AF46" s="497"/>
      <c r="AG46" s="497"/>
      <c r="AH46" s="497"/>
      <c r="AI46" s="497"/>
      <c r="AJ46" s="497"/>
      <c r="AK46" s="497"/>
      <c r="AL46" s="497"/>
      <c r="AM46" s="497"/>
      <c r="AN46" s="497"/>
      <c r="AO46" s="497"/>
      <c r="AP46" s="497"/>
      <c r="AQ46" s="497"/>
      <c r="AR46" s="497"/>
      <c r="AS46" s="497"/>
      <c r="AT46" s="497"/>
      <c r="AU46" s="497"/>
      <c r="AV46" s="497"/>
      <c r="AW46" s="497"/>
      <c r="AX46" s="497"/>
      <c r="AY46" s="497"/>
      <c r="AZ46" s="497"/>
      <c r="BA46" s="497"/>
      <c r="BB46" s="498"/>
      <c r="BC46" s="49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129"/>
      <c r="BF46" s="129" t="str">
        <f t="shared" si="46"/>
        <v xml:space="preserve">Наименование тарифа</v>
      </c>
      <c r="BG46" s="129"/>
      <c r="BH46" s="129"/>
      <c r="BI46" s="50">
        <v>21</v>
      </c>
    </row>
    <row r="47" ht="22" customHeight="1">
      <c r="A47" s="488" t="s">
        <v>266</v>
      </c>
      <c r="B47" s="488" t="s">
        <v>267</v>
      </c>
      <c r="C47" s="488"/>
      <c r="D47" s="488"/>
      <c r="E47" s="500"/>
      <c r="F47" s="489">
        <v>1</v>
      </c>
      <c r="G47" s="488"/>
      <c r="H47" s="488"/>
      <c r="I47" s="488"/>
      <c r="J47" s="488"/>
      <c r="K47" s="488"/>
      <c r="L47" s="490"/>
      <c r="M47" s="491"/>
      <c r="N47" s="491"/>
      <c r="O47" s="491"/>
      <c r="P47" s="113"/>
      <c r="Q47" s="638"/>
      <c r="R47" s="502"/>
      <c r="S47" s="493" t="str">
        <f>INDEX(PT_DIFFERENTIATION_NUM_TER,MATCH(B47,PT_DIFFERENTIATION_TER_ID,0))</f>
        <v>.</v>
      </c>
      <c r="T47" s="503" t="s">
        <v>402</v>
      </c>
      <c r="U47" s="495"/>
      <c r="V47" s="497"/>
      <c r="W47" s="497"/>
      <c r="X47" s="497"/>
      <c r="Y47" s="497"/>
      <c r="Z47" s="497"/>
      <c r="AA47" s="497"/>
      <c r="AB47" s="497"/>
      <c r="AC47" s="498"/>
      <c r="AD47" s="496" t="str">
        <f>INDEX(PT_DIFFERENTIATION_TER,MATCH(B47,PT_DIFFERENTIATION_TER_ID,0))</f>
        <v/>
      </c>
      <c r="AE47" s="497"/>
      <c r="AF47" s="497"/>
      <c r="AG47" s="497"/>
      <c r="AH47" s="497"/>
      <c r="AI47" s="497"/>
      <c r="AJ47" s="497"/>
      <c r="AK47" s="497"/>
      <c r="AL47" s="497"/>
      <c r="AM47" s="497"/>
      <c r="AN47" s="497"/>
      <c r="AO47" s="497"/>
      <c r="AP47" s="497"/>
      <c r="AQ47" s="497"/>
      <c r="AR47" s="497"/>
      <c r="AS47" s="497"/>
      <c r="AT47" s="497"/>
      <c r="AU47" s="497"/>
      <c r="AV47" s="497"/>
      <c r="AW47" s="497"/>
      <c r="AX47" s="497"/>
      <c r="AY47" s="497"/>
      <c r="AZ47" s="497"/>
      <c r="BA47" s="497"/>
      <c r="BB47" s="498"/>
      <c r="BC47" s="499" t="s">
        <v>403</v>
      </c>
      <c r="BE47" s="129"/>
      <c r="BF47" s="129" t="str">
        <f t="shared" si="46"/>
        <v xml:space="preserve">Территория действия тарифа</v>
      </c>
      <c r="BG47" s="129"/>
      <c r="BH47" s="129"/>
      <c r="BI47" s="50">
        <v>21</v>
      </c>
    </row>
    <row r="48" ht="35.649999999999999" customHeight="1">
      <c r="A48" s="488" t="s">
        <v>266</v>
      </c>
      <c r="B48" s="488" t="s">
        <v>267</v>
      </c>
      <c r="C48" s="488" t="s">
        <v>268</v>
      </c>
      <c r="D48" s="488"/>
      <c r="E48" s="500"/>
      <c r="F48" s="500"/>
      <c r="G48" s="489">
        <v>1</v>
      </c>
      <c r="H48" s="488"/>
      <c r="I48" s="488"/>
      <c r="J48" s="488"/>
      <c r="K48" s="488"/>
      <c r="L48" s="490"/>
      <c r="M48" s="491"/>
      <c r="N48" s="491"/>
      <c r="O48" s="491"/>
      <c r="P48" s="135"/>
      <c r="Q48" s="638"/>
      <c r="R48" s="502"/>
      <c r="S48" s="493" t="str">
        <f>INDEX(PT_DIFFERENTIATION_NUM_CS,MATCH(C48,PT_DIFFERENTIATION_CS_ID,0))</f>
        <v>..</v>
      </c>
      <c r="T48" s="505" t="s">
        <v>534</v>
      </c>
      <c r="U48" s="495"/>
      <c r="V48" s="497"/>
      <c r="W48" s="497"/>
      <c r="X48" s="497"/>
      <c r="Y48" s="497"/>
      <c r="Z48" s="497"/>
      <c r="AA48" s="497"/>
      <c r="AB48" s="497"/>
      <c r="AC48" s="498"/>
      <c r="AD48" s="496" t="str">
        <f>INDEX(PT_DIFFERENTIATION_CS,MATCH(C48,PT_DIFFERENTIATION_CS_ID,0))</f>
        <v/>
      </c>
      <c r="AE48" s="497"/>
      <c r="AF48" s="497"/>
      <c r="AG48" s="497"/>
      <c r="AH48" s="497"/>
      <c r="AI48" s="497"/>
      <c r="AJ48" s="497"/>
      <c r="AK48" s="497"/>
      <c r="AL48" s="497"/>
      <c r="AM48" s="497"/>
      <c r="AN48" s="497"/>
      <c r="AO48" s="497"/>
      <c r="AP48" s="497"/>
      <c r="AQ48" s="497"/>
      <c r="AR48" s="497"/>
      <c r="AS48" s="497"/>
      <c r="AT48" s="497"/>
      <c r="AU48" s="497"/>
      <c r="AV48" s="497"/>
      <c r="AW48" s="497"/>
      <c r="AX48" s="497"/>
      <c r="AY48" s="497"/>
      <c r="AZ48" s="497"/>
      <c r="BA48" s="497"/>
      <c r="BB48" s="498"/>
      <c r="BC48" s="499" t="s">
        <v>535</v>
      </c>
      <c r="BE48" s="129"/>
      <c r="BF48" s="129" t="str">
        <f t="shared" si="46"/>
        <v xml:space="preserve">Наименование централизованной системы горячего водоснабжения</v>
      </c>
      <c r="BG48" s="129"/>
      <c r="BH48" s="129"/>
      <c r="BI48" s="50">
        <v>34</v>
      </c>
    </row>
    <row r="49" s="57" customFormat="1" ht="0" customHeight="1">
      <c r="A49" s="133" t="s">
        <v>266</v>
      </c>
      <c r="B49" s="133" t="s">
        <v>267</v>
      </c>
      <c r="C49" s="133" t="s">
        <v>268</v>
      </c>
      <c r="D49" s="133" t="s">
        <v>548</v>
      </c>
      <c r="E49" s="500"/>
      <c r="F49" s="500"/>
      <c r="G49" s="500"/>
      <c r="H49" s="489">
        <v>1</v>
      </c>
      <c r="I49" s="133"/>
      <c r="J49" s="133"/>
      <c r="K49" s="133"/>
      <c r="L49" s="212"/>
      <c r="M49" s="473"/>
      <c r="N49" s="473"/>
      <c r="O49" s="473"/>
      <c r="P49" s="704"/>
      <c r="Q49" s="705"/>
      <c r="R49" s="513"/>
      <c r="S49" s="362"/>
      <c r="T49" s="706"/>
      <c r="U49" s="596"/>
      <c r="V49" s="598"/>
      <c r="W49" s="598"/>
      <c r="X49" s="598"/>
      <c r="Y49" s="598"/>
      <c r="Z49" s="598"/>
      <c r="AA49" s="598"/>
      <c r="AB49" s="598"/>
      <c r="AC49" s="599"/>
      <c r="AD49" s="597"/>
      <c r="AE49" s="598"/>
      <c r="AF49" s="598"/>
      <c r="AG49" s="598"/>
      <c r="AH49" s="598"/>
      <c r="AI49" s="598"/>
      <c r="AJ49" s="598"/>
      <c r="AK49" s="598"/>
      <c r="AL49" s="598"/>
      <c r="AM49" s="598"/>
      <c r="AN49" s="598"/>
      <c r="AO49" s="598"/>
      <c r="AP49" s="598"/>
      <c r="AQ49" s="598"/>
      <c r="AR49" s="598"/>
      <c r="AS49" s="598"/>
      <c r="AT49" s="598"/>
      <c r="AU49" s="598"/>
      <c r="AV49" s="598"/>
      <c r="AW49" s="598"/>
      <c r="AX49" s="598"/>
      <c r="AY49" s="598"/>
      <c r="AZ49" s="598"/>
      <c r="BA49" s="598"/>
      <c r="BB49" s="599"/>
      <c r="BC49" s="600" t="s">
        <v>407</v>
      </c>
      <c r="BE49" s="129"/>
      <c r="BF49" s="129" t="str">
        <f t="shared" si="46"/>
        <v/>
      </c>
      <c r="BG49" s="129"/>
      <c r="BH49" s="129"/>
      <c r="BI49" s="57">
        <v>0</v>
      </c>
    </row>
    <row r="50" s="57" customFormat="1" ht="0" customHeight="1">
      <c r="A50" s="133" t="s">
        <v>266</v>
      </c>
      <c r="B50" s="133" t="s">
        <v>267</v>
      </c>
      <c r="C50" s="133" t="s">
        <v>268</v>
      </c>
      <c r="D50" s="133" t="s">
        <v>548</v>
      </c>
      <c r="E50" s="500"/>
      <c r="F50" s="500"/>
      <c r="G50" s="500"/>
      <c r="H50" s="500"/>
      <c r="I50" s="507" t="str">
        <f>S49&amp;".1"</f>
        <v>.1</v>
      </c>
      <c r="J50" s="133"/>
      <c r="K50" s="133"/>
      <c r="L50" s="212" t="s">
        <v>408</v>
      </c>
      <c r="M50" s="605"/>
      <c r="N50" s="605"/>
      <c r="O50" s="605"/>
      <c r="P50" s="132">
        <v>1</v>
      </c>
      <c r="Q50" s="132"/>
      <c r="R50" s="508"/>
      <c r="S50" s="362"/>
      <c r="T50" s="595"/>
      <c r="U50" s="596"/>
      <c r="V50" s="598"/>
      <c r="W50" s="598"/>
      <c r="X50" s="598"/>
      <c r="Y50" s="598"/>
      <c r="Z50" s="598"/>
      <c r="AA50" s="598"/>
      <c r="AB50" s="598"/>
      <c r="AC50" s="599"/>
      <c r="AD50" s="597"/>
      <c r="AE50" s="598"/>
      <c r="AF50" s="598"/>
      <c r="AG50" s="598"/>
      <c r="AH50" s="598"/>
      <c r="AI50" s="598"/>
      <c r="AJ50" s="598"/>
      <c r="AK50" s="598"/>
      <c r="AL50" s="598"/>
      <c r="AM50" s="598"/>
      <c r="AN50" s="598"/>
      <c r="AO50" s="598"/>
      <c r="AP50" s="598"/>
      <c r="AQ50" s="598"/>
      <c r="AR50" s="598"/>
      <c r="AS50" s="598"/>
      <c r="AT50" s="598"/>
      <c r="AU50" s="598"/>
      <c r="AV50" s="598"/>
      <c r="AW50" s="598"/>
      <c r="AX50" s="598"/>
      <c r="AY50" s="598"/>
      <c r="AZ50" s="598"/>
      <c r="BA50" s="598"/>
      <c r="BB50" s="599"/>
      <c r="BC50" s="600"/>
      <c r="BE50" s="129"/>
      <c r="BF50" s="129" t="str">
        <f t="shared" si="46"/>
        <v/>
      </c>
      <c r="BG50" s="129"/>
      <c r="BH50" s="129"/>
      <c r="BI50" s="57">
        <v>0</v>
      </c>
    </row>
    <row r="51" s="57" customFormat="1" ht="0" customHeight="1">
      <c r="A51" s="133" t="s">
        <v>266</v>
      </c>
      <c r="B51" s="133" t="s">
        <v>267</v>
      </c>
      <c r="C51" s="133" t="s">
        <v>268</v>
      </c>
      <c r="D51" s="133" t="s">
        <v>548</v>
      </c>
      <c r="E51" s="500"/>
      <c r="F51" s="500"/>
      <c r="G51" s="500"/>
      <c r="H51" s="500"/>
      <c r="I51" s="512"/>
      <c r="J51" s="507" t="str">
        <f>S49&amp;".1"</f>
        <v>.1</v>
      </c>
      <c r="K51" s="133"/>
      <c r="L51" s="212"/>
      <c r="M51" s="605"/>
      <c r="N51" s="605"/>
      <c r="O51" s="605"/>
      <c r="P51" s="132"/>
      <c r="Q51" s="132">
        <v>1</v>
      </c>
      <c r="R51" s="513"/>
      <c r="S51" s="362"/>
      <c r="T51" s="639"/>
      <c r="U51" s="596"/>
      <c r="V51" s="598"/>
      <c r="W51" s="598"/>
      <c r="X51" s="598"/>
      <c r="Y51" s="598"/>
      <c r="Z51" s="598"/>
      <c r="AA51" s="598"/>
      <c r="AB51" s="598"/>
      <c r="AC51" s="599"/>
      <c r="AD51" s="597"/>
      <c r="AE51" s="598"/>
      <c r="AF51" s="598"/>
      <c r="AG51" s="598"/>
      <c r="AH51" s="598"/>
      <c r="AI51" s="598"/>
      <c r="AJ51" s="598"/>
      <c r="AK51" s="598"/>
      <c r="AL51" s="598"/>
      <c r="AM51" s="598"/>
      <c r="AN51" s="713"/>
      <c r="AO51" s="713"/>
      <c r="AP51" s="598"/>
      <c r="AQ51" s="598"/>
      <c r="AR51" s="598"/>
      <c r="AS51" s="598"/>
      <c r="AT51" s="598"/>
      <c r="AU51" s="598"/>
      <c r="AV51" s="598"/>
      <c r="AW51" s="598"/>
      <c r="AX51" s="598"/>
      <c r="AY51" s="598"/>
      <c r="AZ51" s="598"/>
      <c r="BA51" s="598"/>
      <c r="BB51" s="599"/>
      <c r="BC51" s="600"/>
      <c r="BE51" s="129"/>
      <c r="BF51" s="129" t="str">
        <f t="shared" si="46"/>
        <v/>
      </c>
      <c r="BG51" s="129"/>
      <c r="BH51" s="129"/>
      <c r="BI51" s="57">
        <v>0</v>
      </c>
    </row>
    <row r="52" ht="11.5" customHeight="1">
      <c r="A52" s="488" t="s">
        <v>266</v>
      </c>
      <c r="B52" s="488" t="s">
        <v>267</v>
      </c>
      <c r="C52" s="488" t="s">
        <v>268</v>
      </c>
      <c r="D52" s="488" t="s">
        <v>548</v>
      </c>
      <c r="E52" s="500"/>
      <c r="F52" s="500"/>
      <c r="G52" s="500"/>
      <c r="H52" s="500"/>
      <c r="I52" s="512"/>
      <c r="J52" s="512"/>
      <c r="K52" s="507" t="str">
        <f>S48&amp;".1"</f>
        <v>...1</v>
      </c>
      <c r="L52" s="490"/>
      <c r="P52" s="132"/>
      <c r="Q52" s="132"/>
      <c r="R52" s="513">
        <v>1</v>
      </c>
      <c r="S52" s="607" t="str">
        <f>$K52</f>
        <v>...1</v>
      </c>
      <c r="T52" s="698"/>
      <c r="U52" s="495"/>
      <c r="V52" s="516"/>
      <c r="W52" s="518"/>
      <c r="X52" s="516"/>
      <c r="Y52" s="518"/>
      <c r="Z52" s="519"/>
      <c r="AA52" s="224" t="s">
        <v>67</v>
      </c>
      <c r="AB52" s="519"/>
      <c r="AC52" s="224" t="s">
        <v>67</v>
      </c>
      <c r="AD52" s="292" t="s">
        <v>67</v>
      </c>
      <c r="AE52" s="642"/>
      <c r="AF52" s="356">
        <v>1</v>
      </c>
      <c r="AG52" s="699"/>
      <c r="AH52" s="224" t="s">
        <v>67</v>
      </c>
      <c r="AI52" s="642"/>
      <c r="AJ52" s="356">
        <v>1</v>
      </c>
      <c r="AK52" s="87" t="s">
        <v>28</v>
      </c>
      <c r="AL52" s="224" t="s">
        <v>67</v>
      </c>
      <c r="AM52" s="317"/>
      <c r="AN52" s="356">
        <v>1</v>
      </c>
      <c r="AO52" s="707"/>
      <c r="AP52" s="708" t="s">
        <v>67</v>
      </c>
      <c r="AQ52" s="643"/>
      <c r="AR52" s="356">
        <v>1</v>
      </c>
      <c r="AS52" s="95" t="s">
        <v>28</v>
      </c>
      <c r="AT52" s="516"/>
      <c r="AU52" s="518"/>
      <c r="AV52" s="516"/>
      <c r="AW52" s="518"/>
      <c r="AX52" s="519"/>
      <c r="AY52" s="224" t="s">
        <v>67</v>
      </c>
      <c r="AZ52" s="519"/>
      <c r="BA52" s="224" t="s">
        <v>67</v>
      </c>
      <c r="BB52" s="580"/>
      <c r="BC52" s="520" t="s">
        <v>505</v>
      </c>
      <c r="BE52" s="129"/>
      <c r="BF52" s="129" t="str">
        <f t="shared" si="46"/>
        <v/>
      </c>
      <c r="BG52" s="129"/>
      <c r="BH52" s="129"/>
      <c r="BI52" s="50">
        <v>11</v>
      </c>
    </row>
    <row r="53" ht="11.5" customHeight="1">
      <c r="A53" s="488"/>
      <c r="B53" s="488"/>
      <c r="C53" s="488"/>
      <c r="D53" s="488"/>
      <c r="E53" s="500"/>
      <c r="F53" s="500"/>
      <c r="G53" s="500"/>
      <c r="H53" s="500"/>
      <c r="I53" s="512"/>
      <c r="J53" s="512"/>
      <c r="K53" s="507"/>
      <c r="L53" s="490"/>
      <c r="P53" s="132"/>
      <c r="Q53" s="132"/>
      <c r="R53" s="513"/>
      <c r="S53" s="644"/>
      <c r="T53" s="709"/>
      <c r="U53" s="495"/>
      <c r="V53" s="631"/>
      <c r="W53" s="648"/>
      <c r="X53" s="631"/>
      <c r="Y53" s="648"/>
      <c r="Z53" s="631"/>
      <c r="AA53" s="631"/>
      <c r="AB53" s="631"/>
      <c r="AC53" s="631"/>
      <c r="AD53" s="296"/>
      <c r="AE53" s="642"/>
      <c r="AF53" s="356"/>
      <c r="AG53" s="699"/>
      <c r="AH53" s="224"/>
      <c r="AI53" s="642"/>
      <c r="AJ53" s="356"/>
      <c r="AK53" s="87"/>
      <c r="AL53" s="224"/>
      <c r="AM53" s="323"/>
      <c r="AN53" s="356"/>
      <c r="AO53" s="707"/>
      <c r="AP53" s="710"/>
      <c r="AQ53" s="647"/>
      <c r="AR53" s="177"/>
      <c r="AS53" s="177" t="s">
        <v>506</v>
      </c>
      <c r="AT53" s="631"/>
      <c r="AU53" s="648"/>
      <c r="AV53" s="631"/>
      <c r="AW53" s="648"/>
      <c r="AX53" s="631"/>
      <c r="AY53" s="631"/>
      <c r="AZ53" s="631"/>
      <c r="BA53" s="631"/>
      <c r="BB53" s="646"/>
      <c r="BC53" s="523"/>
      <c r="BE53" s="129"/>
      <c r="BF53" s="129"/>
      <c r="BG53" s="129"/>
      <c r="BH53" s="129"/>
      <c r="BI53" s="50">
        <v>11</v>
      </c>
    </row>
    <row r="54" ht="11.5" customHeight="1">
      <c r="A54" s="488" t="s">
        <v>266</v>
      </c>
      <c r="B54" s="488"/>
      <c r="C54" s="488"/>
      <c r="D54" s="488"/>
      <c r="E54" s="500"/>
      <c r="F54" s="500"/>
      <c r="G54" s="500"/>
      <c r="H54" s="500"/>
      <c r="I54" s="512"/>
      <c r="J54" s="512"/>
      <c r="K54" s="507"/>
      <c r="L54" s="490"/>
      <c r="P54" s="132"/>
      <c r="Q54" s="132"/>
      <c r="R54" s="513"/>
      <c r="S54" s="644"/>
      <c r="T54" s="709"/>
      <c r="U54" s="495"/>
      <c r="V54" s="631"/>
      <c r="W54" s="648"/>
      <c r="X54" s="631"/>
      <c r="Y54" s="648"/>
      <c r="Z54" s="631"/>
      <c r="AA54" s="631"/>
      <c r="AB54" s="631"/>
      <c r="AC54" s="631"/>
      <c r="AD54" s="296"/>
      <c r="AE54" s="642"/>
      <c r="AF54" s="356"/>
      <c r="AG54" s="699"/>
      <c r="AH54" s="224"/>
      <c r="AI54" s="642"/>
      <c r="AJ54" s="356"/>
      <c r="AK54" s="87"/>
      <c r="AL54" s="224"/>
      <c r="AM54" s="647"/>
      <c r="AN54" s="711"/>
      <c r="AO54" s="711" t="s">
        <v>507</v>
      </c>
      <c r="AP54" s="177"/>
      <c r="AQ54" s="177"/>
      <c r="AR54" s="177"/>
      <c r="AS54" s="631"/>
      <c r="AT54" s="631"/>
      <c r="AU54" s="648"/>
      <c r="AV54" s="631"/>
      <c r="AW54" s="648"/>
      <c r="AX54" s="631"/>
      <c r="AY54" s="631"/>
      <c r="AZ54" s="631"/>
      <c r="BA54" s="631"/>
      <c r="BB54" s="646"/>
      <c r="BC54" s="523"/>
      <c r="BE54" s="129"/>
      <c r="BF54" s="129"/>
      <c r="BG54" s="129"/>
      <c r="BH54" s="129"/>
      <c r="BI54" s="50">
        <v>11</v>
      </c>
    </row>
    <row r="55" ht="11.5" customHeight="1">
      <c r="A55" s="488" t="s">
        <v>266</v>
      </c>
      <c r="B55" s="488"/>
      <c r="C55" s="488"/>
      <c r="D55" s="488"/>
      <c r="E55" s="500"/>
      <c r="F55" s="500"/>
      <c r="G55" s="500"/>
      <c r="H55" s="500"/>
      <c r="I55" s="512"/>
      <c r="J55" s="512"/>
      <c r="K55" s="507"/>
      <c r="L55" s="490"/>
      <c r="P55" s="132"/>
      <c r="Q55" s="132"/>
      <c r="R55" s="513"/>
      <c r="S55" s="644"/>
      <c r="T55" s="709"/>
      <c r="U55" s="495"/>
      <c r="V55" s="631"/>
      <c r="W55" s="648"/>
      <c r="X55" s="631"/>
      <c r="Y55" s="648"/>
      <c r="Z55" s="631"/>
      <c r="AA55" s="631"/>
      <c r="AB55" s="631"/>
      <c r="AC55" s="631"/>
      <c r="AD55" s="296"/>
      <c r="AE55" s="642"/>
      <c r="AF55" s="356"/>
      <c r="AG55" s="699"/>
      <c r="AH55" s="224"/>
      <c r="AI55" s="650"/>
      <c r="AJ55" s="172"/>
      <c r="AK55" s="450" t="s">
        <v>508</v>
      </c>
      <c r="AL55" s="631"/>
      <c r="AM55" s="631"/>
      <c r="AN55" s="631"/>
      <c r="AO55" s="631"/>
      <c r="AP55" s="631"/>
      <c r="AQ55" s="631"/>
      <c r="AR55" s="631"/>
      <c r="AS55" s="631"/>
      <c r="AT55" s="631"/>
      <c r="AU55" s="648"/>
      <c r="AV55" s="631"/>
      <c r="AW55" s="648"/>
      <c r="AX55" s="631"/>
      <c r="AY55" s="631"/>
      <c r="AZ55" s="631"/>
      <c r="BA55" s="631"/>
      <c r="BB55" s="646"/>
      <c r="BC55" s="523"/>
      <c r="BE55" s="129"/>
      <c r="BF55" s="129"/>
      <c r="BG55" s="129"/>
      <c r="BH55" s="129"/>
      <c r="BI55" s="50">
        <v>11</v>
      </c>
    </row>
    <row r="56" ht="11.5" customHeight="1">
      <c r="A56" s="488" t="s">
        <v>266</v>
      </c>
      <c r="B56" s="488" t="s">
        <v>267</v>
      </c>
      <c r="C56" s="488" t="s">
        <v>268</v>
      </c>
      <c r="D56" s="488" t="s">
        <v>548</v>
      </c>
      <c r="E56" s="500"/>
      <c r="F56" s="500"/>
      <c r="G56" s="500"/>
      <c r="H56" s="500"/>
      <c r="I56" s="512"/>
      <c r="J56" s="512"/>
      <c r="K56" s="507"/>
      <c r="L56" s="490"/>
      <c r="P56" s="132"/>
      <c r="Q56" s="132"/>
      <c r="R56" s="513"/>
      <c r="S56" s="617"/>
      <c r="T56" s="712"/>
      <c r="U56" s="495"/>
      <c r="V56" s="631"/>
      <c r="W56" s="632" t="str">
        <f>Z52&amp;"-"&amp;AB52</f>
        <v>-</v>
      </c>
      <c r="X56" s="631"/>
      <c r="Y56" s="632" t="str">
        <f>AB52&amp;"-"&amp;AD52</f>
        <v>-да</v>
      </c>
      <c r="Z56" s="631"/>
      <c r="AA56" s="631"/>
      <c r="AB56" s="631"/>
      <c r="AC56" s="631"/>
      <c r="AD56" s="220"/>
      <c r="AE56" s="653"/>
      <c r="AF56" s="654"/>
      <c r="AG56" s="177" t="s">
        <v>509</v>
      </c>
      <c r="AH56" s="631"/>
      <c r="AI56" s="631"/>
      <c r="AJ56" s="631"/>
      <c r="AK56" s="631"/>
      <c r="AL56" s="631"/>
      <c r="AM56" s="631"/>
      <c r="AN56" s="631"/>
      <c r="AO56" s="631"/>
      <c r="AP56" s="631"/>
      <c r="AQ56" s="631"/>
      <c r="AR56" s="631"/>
      <c r="AS56" s="631"/>
      <c r="AT56" s="631"/>
      <c r="AU56" s="632" t="str">
        <f>AX52&amp;"-"&amp;AZ52</f>
        <v>-</v>
      </c>
      <c r="AV56" s="631"/>
      <c r="AW56" s="632" t="str">
        <f>AZ52&amp;"-"&amp;BB52</f>
        <v>-</v>
      </c>
      <c r="AX56" s="631"/>
      <c r="AY56" s="631"/>
      <c r="AZ56" s="631"/>
      <c r="BA56" s="631"/>
      <c r="BB56" s="652" t="str">
        <f>BE52&amp;"-"&amp;BG52</f>
        <v>-</v>
      </c>
      <c r="BC56" s="523"/>
      <c r="BE56" s="129"/>
      <c r="BF56" s="129" t="str">
        <f t="shared" si="46"/>
        <v/>
      </c>
      <c r="BG56" s="129"/>
      <c r="BH56" s="129"/>
      <c r="BI56" s="50">
        <v>11</v>
      </c>
    </row>
    <row r="57" ht="11.5" customHeight="1">
      <c r="A57" s="488" t="s">
        <v>266</v>
      </c>
      <c r="B57" s="488" t="s">
        <v>267</v>
      </c>
      <c r="C57" s="488" t="s">
        <v>268</v>
      </c>
      <c r="D57" s="488" t="s">
        <v>548</v>
      </c>
      <c r="E57" s="500"/>
      <c r="F57" s="500"/>
      <c r="G57" s="500"/>
      <c r="H57" s="500"/>
      <c r="I57" s="512"/>
      <c r="J57" s="507"/>
      <c r="K57" s="488"/>
      <c r="L57" s="490"/>
      <c r="P57" s="132"/>
      <c r="Q57" s="132"/>
      <c r="R57" s="508"/>
      <c r="S57" s="524"/>
      <c r="T57" s="528" t="s">
        <v>469</v>
      </c>
      <c r="U57" s="214"/>
      <c r="V57" s="214"/>
      <c r="W57" s="214"/>
      <c r="X57" s="214"/>
      <c r="Y57" s="214"/>
      <c r="Z57" s="214"/>
      <c r="AA57" s="214"/>
      <c r="AB57" s="214"/>
      <c r="AC57" s="526"/>
      <c r="AD57" s="683"/>
      <c r="AE57" s="214"/>
      <c r="AF57" s="214"/>
      <c r="AG57" s="214"/>
      <c r="AH57" s="214"/>
      <c r="AI57" s="214"/>
      <c r="AJ57" s="214"/>
      <c r="AK57" s="214"/>
      <c r="AL57" s="214"/>
      <c r="AM57" s="214"/>
      <c r="AN57" s="214"/>
      <c r="AO57" s="214"/>
      <c r="AP57" s="214"/>
      <c r="AQ57" s="214"/>
      <c r="AR57" s="214"/>
      <c r="AS57" s="214"/>
      <c r="AT57" s="214"/>
      <c r="AU57" s="214"/>
      <c r="AV57" s="214"/>
      <c r="AW57" s="214"/>
      <c r="AX57" s="214"/>
      <c r="AY57" s="214"/>
      <c r="AZ57" s="214"/>
      <c r="BA57" s="214"/>
      <c r="BB57" s="526"/>
      <c r="BC57" s="527"/>
      <c r="BE57" s="129"/>
      <c r="BF57" s="129" t="str">
        <f t="shared" si="46"/>
        <v xml:space="preserve">Добавить строку</v>
      </c>
      <c r="BG57" s="129"/>
      <c r="BH57" s="129"/>
      <c r="BI57" s="50">
        <v>11</v>
      </c>
    </row>
    <row r="58" s="57" customFormat="1" ht="0" customHeight="1">
      <c r="A58" s="133" t="s">
        <v>266</v>
      </c>
      <c r="B58" s="133" t="s">
        <v>267</v>
      </c>
      <c r="C58" s="133" t="s">
        <v>268</v>
      </c>
      <c r="D58" s="133" t="s">
        <v>548</v>
      </c>
      <c r="E58" s="500"/>
      <c r="F58" s="500"/>
      <c r="G58" s="500"/>
      <c r="H58" s="500"/>
      <c r="I58" s="507"/>
      <c r="J58" s="133"/>
      <c r="K58" s="133"/>
      <c r="L58" s="212"/>
      <c r="M58" s="605"/>
      <c r="N58" s="605"/>
      <c r="O58" s="605"/>
      <c r="P58" s="132"/>
      <c r="Q58" s="132"/>
      <c r="R58" s="508"/>
      <c r="S58" s="601"/>
      <c r="T58" s="602"/>
      <c r="U58" s="603"/>
      <c r="V58" s="603"/>
      <c r="W58" s="603"/>
      <c r="X58" s="603"/>
      <c r="Y58" s="603"/>
      <c r="Z58" s="603"/>
      <c r="AA58" s="603"/>
      <c r="AB58" s="603"/>
      <c r="AC58" s="603"/>
      <c r="AD58" s="603"/>
      <c r="AE58" s="603"/>
      <c r="AF58" s="603"/>
      <c r="AG58" s="603"/>
      <c r="AH58" s="603"/>
      <c r="AI58" s="603"/>
      <c r="AJ58" s="603"/>
      <c r="AK58" s="603"/>
      <c r="AL58" s="603"/>
      <c r="AM58" s="603"/>
      <c r="AN58" s="603"/>
      <c r="AO58" s="603"/>
      <c r="AP58" s="603"/>
      <c r="AQ58" s="603"/>
      <c r="AR58" s="603"/>
      <c r="AS58" s="603"/>
      <c r="AT58" s="603"/>
      <c r="AU58" s="603"/>
      <c r="AV58" s="603"/>
      <c r="AW58" s="603"/>
      <c r="AX58" s="603"/>
      <c r="AY58" s="603"/>
      <c r="AZ58" s="603"/>
      <c r="BA58" s="603"/>
      <c r="BB58" s="603"/>
      <c r="BC58" s="604"/>
      <c r="BE58" s="129"/>
      <c r="BF58" s="129" t="str">
        <f t="shared" si="46"/>
        <v/>
      </c>
      <c r="BG58" s="129"/>
      <c r="BH58" s="129"/>
      <c r="BI58" s="57">
        <v>0</v>
      </c>
    </row>
    <row r="59" s="57" customFormat="1" ht="0" customHeight="1">
      <c r="A59" s="133" t="s">
        <v>266</v>
      </c>
      <c r="B59" s="133" t="s">
        <v>267</v>
      </c>
      <c r="C59" s="133" t="s">
        <v>268</v>
      </c>
      <c r="D59" s="133" t="s">
        <v>548</v>
      </c>
      <c r="E59" s="500"/>
      <c r="F59" s="500"/>
      <c r="G59" s="500"/>
      <c r="H59" s="489"/>
      <c r="I59" s="133"/>
      <c r="J59" s="133"/>
      <c r="K59" s="133"/>
      <c r="L59" s="212"/>
      <c r="M59" s="473"/>
      <c r="N59" s="473"/>
      <c r="O59" s="57"/>
      <c r="P59" s="167"/>
      <c r="Q59" s="533"/>
      <c r="R59" s="655"/>
      <c r="S59" s="601"/>
      <c r="T59" s="602"/>
      <c r="U59" s="603"/>
      <c r="V59" s="603"/>
      <c r="W59" s="603"/>
      <c r="X59" s="603"/>
      <c r="Y59" s="603"/>
      <c r="Z59" s="603"/>
      <c r="AA59" s="603"/>
      <c r="AB59" s="603"/>
      <c r="AC59" s="603"/>
      <c r="AD59" s="603"/>
      <c r="AE59" s="603"/>
      <c r="AF59" s="603"/>
      <c r="AG59" s="603"/>
      <c r="AH59" s="603"/>
      <c r="AI59" s="603"/>
      <c r="AJ59" s="603"/>
      <c r="AK59" s="603"/>
      <c r="AL59" s="603"/>
      <c r="AM59" s="603"/>
      <c r="AN59" s="603"/>
      <c r="AO59" s="603"/>
      <c r="AP59" s="603"/>
      <c r="AQ59" s="603"/>
      <c r="AR59" s="603"/>
      <c r="AS59" s="603"/>
      <c r="AT59" s="603"/>
      <c r="AU59" s="603"/>
      <c r="AV59" s="603"/>
      <c r="AW59" s="603"/>
      <c r="AX59" s="603"/>
      <c r="AY59" s="603"/>
      <c r="AZ59" s="603"/>
      <c r="BA59" s="603"/>
      <c r="BB59" s="603"/>
      <c r="BC59" s="604"/>
      <c r="BE59" s="129"/>
      <c r="BF59" s="129" t="str">
        <f t="shared" si="46"/>
        <v/>
      </c>
      <c r="BG59" s="129"/>
      <c r="BH59" s="129"/>
      <c r="BI59" s="57">
        <v>0</v>
      </c>
    </row>
    <row r="60" s="57" customFormat="1" ht="0" customHeight="1">
      <c r="A60" s="133" t="s">
        <v>266</v>
      </c>
      <c r="B60" s="133" t="s">
        <v>267</v>
      </c>
      <c r="C60" s="133" t="s">
        <v>268</v>
      </c>
      <c r="D60" s="133"/>
      <c r="E60" s="500"/>
      <c r="F60" s="500"/>
      <c r="G60" s="489"/>
      <c r="H60" s="133"/>
      <c r="I60" s="133"/>
      <c r="J60" s="133"/>
      <c r="K60" s="133"/>
      <c r="L60" s="212"/>
      <c r="M60" s="473"/>
      <c r="N60" s="473"/>
      <c r="P60" s="167"/>
      <c r="Q60" s="533"/>
      <c r="R60" s="167"/>
      <c r="S60" s="538"/>
      <c r="T60" s="541"/>
      <c r="U60" s="540"/>
      <c r="V60" s="540"/>
      <c r="W60" s="540"/>
      <c r="X60" s="540"/>
      <c r="Y60" s="540"/>
      <c r="Z60" s="540"/>
      <c r="AA60" s="540"/>
      <c r="AB60" s="540"/>
      <c r="AC60" s="540"/>
      <c r="AD60" s="540"/>
      <c r="AE60" s="540"/>
      <c r="AF60" s="540"/>
      <c r="AG60" s="540"/>
      <c r="AH60" s="540"/>
      <c r="AI60" s="540"/>
      <c r="AJ60" s="540"/>
      <c r="AK60" s="540"/>
      <c r="AL60" s="540"/>
      <c r="AM60" s="540"/>
      <c r="AN60" s="540"/>
      <c r="AO60" s="540"/>
      <c r="AP60" s="540"/>
      <c r="AQ60" s="540"/>
      <c r="AR60" s="540"/>
      <c r="AS60" s="540"/>
      <c r="AT60" s="540"/>
      <c r="AU60" s="540"/>
      <c r="AV60" s="540"/>
      <c r="AW60" s="540"/>
      <c r="AX60" s="540"/>
      <c r="AY60" s="540"/>
      <c r="AZ60" s="540"/>
      <c r="BA60" s="540"/>
      <c r="BB60" s="540"/>
      <c r="BC60" s="540"/>
      <c r="BE60" s="129"/>
      <c r="BF60" s="129" t="str">
        <f t="shared" si="46"/>
        <v/>
      </c>
      <c r="BG60" s="129"/>
      <c r="BH60" s="129"/>
      <c r="BI60" s="57">
        <v>0</v>
      </c>
    </row>
    <row r="61" s="57" customFormat="1" ht="0" customHeight="1">
      <c r="A61" s="133" t="s">
        <v>266</v>
      </c>
      <c r="B61" s="133" t="s">
        <v>267</v>
      </c>
      <c r="C61" s="133"/>
      <c r="D61" s="133"/>
      <c r="E61" s="500"/>
      <c r="F61" s="489"/>
      <c r="G61" s="133"/>
      <c r="H61" s="133"/>
      <c r="I61" s="133"/>
      <c r="J61" s="133"/>
      <c r="K61" s="133"/>
      <c r="L61" s="212"/>
      <c r="M61" s="537"/>
      <c r="N61" s="537"/>
      <c r="P61" s="167"/>
      <c r="Q61" s="533"/>
      <c r="R61" s="167"/>
      <c r="S61" s="538"/>
      <c r="T61" s="541" t="s">
        <v>212</v>
      </c>
      <c r="U61" s="540"/>
      <c r="V61" s="540"/>
      <c r="W61" s="540"/>
      <c r="X61" s="540"/>
      <c r="Y61" s="540"/>
      <c r="Z61" s="540"/>
      <c r="AA61" s="540"/>
      <c r="AB61" s="540"/>
      <c r="AC61" s="540"/>
      <c r="AD61" s="540"/>
      <c r="AE61" s="540"/>
      <c r="AF61" s="540"/>
      <c r="AG61" s="540"/>
      <c r="AH61" s="540"/>
      <c r="AI61" s="540"/>
      <c r="AJ61" s="540"/>
      <c r="AK61" s="540"/>
      <c r="AL61" s="540"/>
      <c r="AM61" s="540"/>
      <c r="AN61" s="540"/>
      <c r="AO61" s="540"/>
      <c r="AP61" s="540"/>
      <c r="AQ61" s="540"/>
      <c r="AR61" s="540"/>
      <c r="AS61" s="540"/>
      <c r="AT61" s="540"/>
      <c r="AU61" s="540"/>
      <c r="AV61" s="540"/>
      <c r="AW61" s="540"/>
      <c r="AX61" s="540"/>
      <c r="AY61" s="540"/>
      <c r="AZ61" s="540"/>
      <c r="BA61" s="540"/>
      <c r="BB61" s="540"/>
      <c r="BC61" s="540"/>
      <c r="BE61" s="129"/>
      <c r="BF61" s="129" t="str">
        <f t="shared" si="46"/>
        <v xml:space="preserve">Добавить централизованную систему для дифференциации</v>
      </c>
      <c r="BG61" s="129"/>
      <c r="BH61" s="129"/>
      <c r="BI61" s="57">
        <v>0</v>
      </c>
    </row>
    <row r="62" s="57" customFormat="1" ht="0" customHeight="1">
      <c r="A62" s="133" t="s">
        <v>266</v>
      </c>
      <c r="B62" s="133"/>
      <c r="C62" s="133"/>
      <c r="D62" s="133"/>
      <c r="E62" s="489"/>
      <c r="F62" s="133"/>
      <c r="G62" s="133"/>
      <c r="H62" s="133"/>
      <c r="I62" s="133"/>
      <c r="J62" s="133"/>
      <c r="K62" s="133"/>
      <c r="L62" s="212"/>
      <c r="M62" s="537"/>
      <c r="N62" s="537"/>
      <c r="O62" s="57"/>
      <c r="P62" s="167"/>
      <c r="Q62" s="533"/>
      <c r="R62" s="167"/>
      <c r="S62" s="538"/>
      <c r="T62" s="541" t="s">
        <v>213</v>
      </c>
      <c r="U62" s="540"/>
      <c r="V62" s="540"/>
      <c r="W62" s="540"/>
      <c r="X62" s="540"/>
      <c r="Y62" s="540"/>
      <c r="Z62" s="540"/>
      <c r="AA62" s="540"/>
      <c r="AB62" s="540"/>
      <c r="AC62" s="540"/>
      <c r="AD62" s="540"/>
      <c r="AE62" s="540"/>
      <c r="AF62" s="540"/>
      <c r="AG62" s="540"/>
      <c r="AH62" s="540"/>
      <c r="AI62" s="540"/>
      <c r="AJ62" s="540"/>
      <c r="AK62" s="540"/>
      <c r="AL62" s="540"/>
      <c r="AM62" s="540"/>
      <c r="AN62" s="540"/>
      <c r="AO62" s="540"/>
      <c r="AP62" s="540"/>
      <c r="AQ62" s="540"/>
      <c r="AR62" s="540"/>
      <c r="AS62" s="540"/>
      <c r="AT62" s="540"/>
      <c r="AU62" s="540"/>
      <c r="AV62" s="540"/>
      <c r="AW62" s="540"/>
      <c r="AX62" s="540"/>
      <c r="AY62" s="540"/>
      <c r="AZ62" s="540"/>
      <c r="BA62" s="540"/>
      <c r="BB62" s="540"/>
      <c r="BC62" s="540"/>
      <c r="BE62" s="129"/>
      <c r="BF62" s="129" t="str">
        <f t="shared" si="46"/>
        <v xml:space="preserve">Добавить территорию для дифференциации</v>
      </c>
      <c r="BG62" s="129"/>
      <c r="BH62" s="129"/>
      <c r="BI62" s="57">
        <v>0</v>
      </c>
    </row>
    <row r="63" s="57" customFormat="1" ht="0" customHeight="1">
      <c r="A63" s="133"/>
      <c r="B63" s="133"/>
      <c r="C63" s="133"/>
      <c r="D63" s="133"/>
      <c r="E63" s="133"/>
      <c r="F63" s="133"/>
      <c r="G63" s="133"/>
      <c r="H63" s="133"/>
      <c r="I63" s="133"/>
      <c r="J63" s="133"/>
      <c r="K63" s="133"/>
      <c r="L63" s="212"/>
      <c r="M63" s="537"/>
      <c r="N63" s="537"/>
      <c r="P63" s="167"/>
      <c r="Q63" s="533"/>
      <c r="R63" s="167"/>
      <c r="S63" s="538"/>
      <c r="T63" s="541" t="s">
        <v>214</v>
      </c>
      <c r="U63" s="540"/>
      <c r="V63" s="540"/>
      <c r="W63" s="540"/>
      <c r="X63" s="540"/>
      <c r="Y63" s="540"/>
      <c r="Z63" s="540"/>
      <c r="AA63" s="540"/>
      <c r="AB63" s="540"/>
      <c r="AC63" s="540"/>
      <c r="AD63" s="540"/>
      <c r="AE63" s="540"/>
      <c r="AF63" s="540"/>
      <c r="AG63" s="540"/>
      <c r="AH63" s="540"/>
      <c r="AI63" s="540"/>
      <c r="AJ63" s="540"/>
      <c r="AK63" s="540"/>
      <c r="AL63" s="540"/>
      <c r="AM63" s="540"/>
      <c r="AN63" s="540"/>
      <c r="AO63" s="540"/>
      <c r="AP63" s="540"/>
      <c r="AQ63" s="540"/>
      <c r="AR63" s="540"/>
      <c r="AS63" s="540"/>
      <c r="AT63" s="540"/>
      <c r="AU63" s="540"/>
      <c r="AV63" s="540"/>
      <c r="AW63" s="540"/>
      <c r="AX63" s="540"/>
      <c r="AY63" s="540"/>
      <c r="AZ63" s="540"/>
      <c r="BA63" s="540"/>
      <c r="BB63" s="540"/>
      <c r="BC63" s="540"/>
      <c r="BE63" s="129"/>
      <c r="BF63" s="129" t="str">
        <f t="shared" si="46"/>
        <v xml:space="preserve">Добавить наименование тарифа</v>
      </c>
      <c r="BG63" s="129"/>
      <c r="BH63" s="129"/>
      <c r="BI63" s="57">
        <v>0</v>
      </c>
    </row>
    <row r="64" ht="11.5" customHeight="1">
      <c r="M64" s="53"/>
      <c r="N64" s="53"/>
      <c r="O64" s="53"/>
      <c r="P64" s="53"/>
      <c r="Q64" s="53"/>
      <c r="R64" s="50"/>
      <c r="S64" s="50"/>
      <c r="BD64" s="50"/>
      <c r="BE64" s="50"/>
      <c r="BF64" s="50"/>
      <c r="BG64" s="50"/>
      <c r="BH64" s="50"/>
      <c r="BI64" s="50">
        <v>11</v>
      </c>
    </row>
    <row r="65" ht="19.949999999999999" customHeight="1">
      <c r="O65" s="53"/>
      <c r="S65" s="485"/>
      <c r="T65" s="583"/>
      <c r="U65" s="583"/>
      <c r="V65" s="583"/>
      <c r="W65" s="583"/>
      <c r="X65" s="583"/>
      <c r="Y65" s="583"/>
      <c r="Z65" s="583"/>
      <c r="AA65" s="583"/>
      <c r="AB65" s="583"/>
      <c r="AC65" s="583"/>
      <c r="AD65" s="583"/>
      <c r="AE65" s="583"/>
      <c r="AF65" s="583"/>
      <c r="AG65" s="583"/>
      <c r="AH65" s="583"/>
      <c r="AI65" s="583"/>
      <c r="AJ65" s="583"/>
      <c r="AK65" s="583"/>
      <c r="AL65" s="583"/>
      <c r="AM65" s="583"/>
      <c r="AN65" s="583"/>
      <c r="AO65" s="583"/>
      <c r="AP65" s="583"/>
      <c r="AQ65" s="583"/>
      <c r="AR65" s="583"/>
      <c r="AS65" s="583"/>
      <c r="AT65" s="583"/>
      <c r="AU65" s="583"/>
      <c r="AV65" s="583"/>
      <c r="AW65" s="583"/>
      <c r="AX65" s="583"/>
      <c r="AY65" s="583"/>
      <c r="AZ65" s="583"/>
      <c r="BA65" s="583"/>
      <c r="BB65" s="583"/>
      <c r="BC65" s="583"/>
      <c r="BI65" s="50">
        <v>19</v>
      </c>
    </row>
    <row r="66" ht="14.65" customHeight="1">
      <c r="O66" s="53"/>
      <c r="T66" s="583"/>
      <c r="U66" s="583"/>
      <c r="V66" s="583"/>
      <c r="W66" s="583"/>
      <c r="X66" s="583"/>
      <c r="Y66" s="583"/>
      <c r="Z66" s="583"/>
      <c r="AA66" s="583"/>
      <c r="AB66" s="583"/>
      <c r="AC66" s="583"/>
      <c r="AD66" s="583"/>
      <c r="AE66" s="583"/>
      <c r="AF66" s="583"/>
      <c r="AG66" s="583"/>
      <c r="AH66" s="583"/>
      <c r="AI66" s="583"/>
      <c r="AJ66" s="583"/>
      <c r="AK66" s="583"/>
      <c r="AL66" s="583"/>
      <c r="AM66" s="583"/>
      <c r="AN66" s="583"/>
      <c r="AO66" s="583"/>
      <c r="AP66" s="583"/>
      <c r="AQ66" s="583"/>
      <c r="AR66" s="583"/>
      <c r="AS66" s="583"/>
      <c r="AT66" s="583"/>
      <c r="AU66" s="583"/>
      <c r="AV66" s="583"/>
      <c r="AW66" s="583"/>
      <c r="AX66" s="583"/>
      <c r="AY66" s="583"/>
      <c r="AZ66" s="583"/>
      <c r="BA66" s="583"/>
      <c r="BB66" s="583"/>
      <c r="BC66" s="583"/>
      <c r="BI66" s="50">
        <v>14</v>
      </c>
    </row>
    <row r="67" ht="19.949999999999999" customHeight="1">
      <c r="O67" s="53"/>
      <c r="S67" s="485"/>
      <c r="T67" s="583"/>
      <c r="U67" s="583"/>
      <c r="V67" s="583"/>
      <c r="W67" s="583"/>
      <c r="X67" s="583"/>
      <c r="Y67" s="583"/>
      <c r="Z67" s="583"/>
      <c r="AA67" s="583"/>
      <c r="AB67" s="583"/>
      <c r="AC67" s="583"/>
      <c r="AD67" s="583"/>
      <c r="AE67" s="583"/>
      <c r="AF67" s="583"/>
      <c r="AG67" s="583"/>
      <c r="AH67" s="583"/>
      <c r="AI67" s="583"/>
      <c r="AJ67" s="583"/>
      <c r="AK67" s="583"/>
      <c r="AL67" s="583"/>
      <c r="AM67" s="583"/>
      <c r="AN67" s="583"/>
      <c r="AO67" s="583"/>
      <c r="AP67" s="583"/>
      <c r="AQ67" s="583"/>
      <c r="AR67" s="583"/>
      <c r="AS67" s="583"/>
      <c r="AT67" s="583"/>
      <c r="AU67" s="583"/>
      <c r="AV67" s="583"/>
      <c r="AW67" s="583"/>
      <c r="AX67" s="583"/>
      <c r="AY67" s="583"/>
      <c r="AZ67" s="583"/>
      <c r="BA67" s="583"/>
      <c r="BB67" s="583"/>
      <c r="BC67" s="583"/>
      <c r="BI67" s="50">
        <v>19</v>
      </c>
    </row>
    <row r="68" ht="14.65" customHeight="1">
      <c r="O68" s="53"/>
      <c r="BI68" s="50">
        <v>14</v>
      </c>
    </row>
    <row r="69" ht="14.25" hidden="1" customHeight="1">
      <c r="A69" s="53" t="s">
        <v>83</v>
      </c>
      <c r="B69" s="53">
        <v>0</v>
      </c>
      <c r="C69" s="53">
        <v>0</v>
      </c>
      <c r="D69" s="53">
        <v>0</v>
      </c>
      <c r="E69" s="53">
        <v>0</v>
      </c>
      <c r="F69" s="53">
        <v>0</v>
      </c>
      <c r="G69" s="53">
        <v>0</v>
      </c>
      <c r="H69" s="53">
        <v>0</v>
      </c>
      <c r="I69" s="53">
        <v>0</v>
      </c>
      <c r="J69" s="53">
        <v>0</v>
      </c>
      <c r="K69" s="53">
        <v>0</v>
      </c>
      <c r="L69" s="113">
        <v>0</v>
      </c>
      <c r="M69" s="61">
        <v>0</v>
      </c>
      <c r="N69" s="61">
        <v>0</v>
      </c>
      <c r="O69" s="61">
        <v>0</v>
      </c>
      <c r="P69" s="61">
        <v>0</v>
      </c>
      <c r="Q69" s="547">
        <v>0</v>
      </c>
      <c r="R69" s="487">
        <v>3</v>
      </c>
      <c r="S69" s="86">
        <v>12</v>
      </c>
      <c r="T69" s="50">
        <v>31</v>
      </c>
      <c r="U69" s="50">
        <v>0</v>
      </c>
      <c r="V69" s="50">
        <v>0</v>
      </c>
      <c r="W69" s="50">
        <v>0</v>
      </c>
      <c r="X69" s="50">
        <v>0</v>
      </c>
      <c r="Y69" s="50">
        <v>0</v>
      </c>
      <c r="Z69" s="50">
        <v>0</v>
      </c>
      <c r="AA69" s="50">
        <v>0</v>
      </c>
      <c r="AB69" s="50">
        <v>0</v>
      </c>
      <c r="AC69" s="50">
        <v>0</v>
      </c>
      <c r="AD69" s="50">
        <v>3</v>
      </c>
      <c r="AE69" s="50">
        <v>3</v>
      </c>
      <c r="AF69" s="50">
        <v>3</v>
      </c>
      <c r="AG69" s="50">
        <v>24</v>
      </c>
      <c r="AH69" s="50">
        <v>3</v>
      </c>
      <c r="AI69" s="50">
        <v>3</v>
      </c>
      <c r="AJ69" s="50">
        <v>3</v>
      </c>
      <c r="AK69" s="50">
        <v>24</v>
      </c>
      <c r="AL69" s="50">
        <v>3</v>
      </c>
      <c r="AM69" s="50">
        <v>3</v>
      </c>
      <c r="AN69" s="50">
        <v>3</v>
      </c>
      <c r="AO69" s="50">
        <v>18</v>
      </c>
      <c r="AP69" s="50">
        <v>3</v>
      </c>
      <c r="AQ69" s="50">
        <v>3</v>
      </c>
      <c r="AR69" s="50">
        <v>3</v>
      </c>
      <c r="AS69" s="50">
        <v>18</v>
      </c>
      <c r="AT69" s="50">
        <v>21</v>
      </c>
      <c r="AU69" s="50">
        <v>21</v>
      </c>
      <c r="AV69" s="50">
        <v>21</v>
      </c>
      <c r="AW69" s="50">
        <v>21</v>
      </c>
      <c r="AX69" s="50">
        <v>11</v>
      </c>
      <c r="AY69" s="50">
        <v>3</v>
      </c>
      <c r="AZ69" s="50">
        <v>11</v>
      </c>
      <c r="BA69" s="50">
        <v>0</v>
      </c>
      <c r="BB69" s="50">
        <v>4</v>
      </c>
      <c r="BC69" s="50">
        <v>115</v>
      </c>
      <c r="BD69" s="57">
        <v>10</v>
      </c>
      <c r="BE69" s="57">
        <v>10</v>
      </c>
      <c r="BF69" s="57">
        <v>10</v>
      </c>
      <c r="BG69" s="57">
        <v>10</v>
      </c>
      <c r="BH69" s="57">
        <v>10</v>
      </c>
      <c r="BI69" s="50">
        <v>23</v>
      </c>
    </row>
  </sheetData>
  <sheetProtection autoFilter="0" deleteColumns="1" deleteRows="1" formatCells="1" formatColumns="0" formatRows="0" insertColumns="1" insertHyperlinks="1" insertRows="1" objects="0" pivotTables="1" scenarios="0" selectLockedCells="0" selectUnlockedCells="0" sheet="1" sort="1"/>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D8:AD12"/>
    <mergeCell ref="AE8:AE11"/>
    <mergeCell ref="AF8:AF11"/>
    <mergeCell ref="AG8:AG11"/>
    <mergeCell ref="AH8:AH11"/>
    <mergeCell ref="AI8:AI10"/>
    <mergeCell ref="AJ8:AJ10"/>
    <mergeCell ref="AK8:AK10"/>
    <mergeCell ref="AL8:AL10"/>
    <mergeCell ref="AM8:AM9"/>
    <mergeCell ref="AN8:AN9"/>
    <mergeCell ref="AO8:AO9"/>
    <mergeCell ref="AP8:AP9"/>
    <mergeCell ref="BC8:BC13"/>
    <mergeCell ref="S28:AZ28"/>
    <mergeCell ref="S29:AZ29"/>
    <mergeCell ref="S31:T31"/>
    <mergeCell ref="V31:AB31"/>
    <mergeCell ref="AD31:AZ31"/>
    <mergeCell ref="S32:T32"/>
    <mergeCell ref="V32:AB32"/>
    <mergeCell ref="AD32:AZ32"/>
    <mergeCell ref="S33:T33"/>
    <mergeCell ref="V33:AB33"/>
    <mergeCell ref="AD33:AZ33"/>
    <mergeCell ref="S34:T34"/>
    <mergeCell ref="V34:AB34"/>
    <mergeCell ref="AD34:AZ34"/>
    <mergeCell ref="S36:T36"/>
    <mergeCell ref="V36:AB36"/>
    <mergeCell ref="AD36:AZ36"/>
    <mergeCell ref="S37:T37"/>
    <mergeCell ref="V37:AB37"/>
    <mergeCell ref="AD37:AZ37"/>
    <mergeCell ref="V39:AC39"/>
    <mergeCell ref="AD39:BA39"/>
    <mergeCell ref="S40:BB40"/>
    <mergeCell ref="BC40:BC44"/>
    <mergeCell ref="S41:S44"/>
    <mergeCell ref="T41:T44"/>
    <mergeCell ref="V41:AB41"/>
    <mergeCell ref="AC41:AC44"/>
    <mergeCell ref="AD41:AG44"/>
    <mergeCell ref="AH41:AK44"/>
    <mergeCell ref="AL41:AO44"/>
    <mergeCell ref="AP41:AS44"/>
    <mergeCell ref="AT41:AZ41"/>
    <mergeCell ref="BA41:BA44"/>
    <mergeCell ref="BB41:BB44"/>
    <mergeCell ref="V42:W43"/>
    <mergeCell ref="X42:Y43"/>
    <mergeCell ref="Z42:AB43"/>
    <mergeCell ref="AT42:AU43"/>
    <mergeCell ref="AV42:AW43"/>
    <mergeCell ref="AX42:AZ43"/>
    <mergeCell ref="AA44:AB44"/>
    <mergeCell ref="AY44:AZ44"/>
    <mergeCell ref="AA45:AB45"/>
    <mergeCell ref="AY45:AZ45"/>
    <mergeCell ref="E46:E62"/>
    <mergeCell ref="V46:AC46"/>
    <mergeCell ref="AD46:BB46"/>
    <mergeCell ref="F47:F61"/>
    <mergeCell ref="V47:AC47"/>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F52:AF55"/>
    <mergeCell ref="AG52:AG55"/>
    <mergeCell ref="AH52:AH55"/>
    <mergeCell ref="AI52:AI54"/>
    <mergeCell ref="AJ52:AJ54"/>
    <mergeCell ref="AK52:AK54"/>
    <mergeCell ref="AL52:AL54"/>
    <mergeCell ref="AM52:AM53"/>
    <mergeCell ref="AN52:AN53"/>
    <mergeCell ref="AO52:AO53"/>
    <mergeCell ref="AP52:AP53"/>
    <mergeCell ref="BC52:BC57"/>
    <mergeCell ref="T65:BC65"/>
    <mergeCell ref="T67:BC67"/>
  </mergeCells>
  <dataValidations count="4" disablePrompts="0">
    <dataValidation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type="none" allowBlank="1" errorStyle="stop" imeMode="noControl" operator="between" promptTitle="checkPeriodRange" showDropDown="0" showErrorMessage="0" showInputMessage="0"/>
    <dataValidation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S65591:BC65597 S983095:BC983101 S917559:BC917565 S852023:BC852029 S786487:BC786493 S720951:BC720957 S655415:BC655421 S589879:BC589885 S524343:BC524349 S458807:BC458813 S393271:BC393277 S327735:BC327741 S262199:BC262205 S196663:BC196669 S131127:BC131133" type="none" allowBlank="1" errorStyle="stop" imeMode="noControl" operator="between"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5" disablePrompts="0">
        <x14:dataValidation xr:uid="{00D700DA-00FC-4494-95AC-00FE00E500B4}" type="list" allowBlank="1" error="Выберите значение из списка" errorStyle="stop" errorTitle="Ошибка" imeMode="noControl" operator="between" showDropDown="0" showErrorMessage="1" showInputMessage="1">
          <x14:formula1>
            <xm:f>kind_of_heat_transfer</xm:f>
          </x14:formula1>
          <xm:sqref>T65589 T131125 T196661 T262197 T327733 T393269 T458805 T524341 T589877 T655413 T720949 T786485 T852021 T917557 T983093</xm:sqref>
        </x14:dataValidation>
        <x14:dataValidation xr:uid="{00D40043-00E6-4D3A-B602-009E00FC0074}" type="list" allowBlank="1" error="Выберите значение из списка" errorStyle="stop" errorTitle="Ошибка" imeMode="noControl" operator="between" showDropDown="0" showErrorMessage="1" showInputMessage="1">
          <x14:formula1>
            <xm:f>kind_of_scheme_in</xm:f>
          </x14:formula1>
          <xm:sqref>AD917555:AS917555 AD983091:AS983091 AD65587:AS65587 AD131123:AS131123 AD196659:AS196659 AD262195:AS262195 AD327731:AS327731 AD393267:AS393267 AD458803:AS458803 AD524339:AS524339 AD589875:AS589875 AD655411:AS655411 AD720947:AS720947 AD786483:AS786483 AD852019:AS852019</xm:sqref>
        </x14:dataValidation>
        <x14:dataValidation xr:uid="{0078009F-00DE-49A3-B8DB-00280035004E}" type="textLength" allowBlank="1" error="Допускается ввод не более 900 символов!" errorStyle="stop" errorTitle="Ошибка" imeMode="noControl" operator="lessThanOrEqual" showDropDown="0" showErrorMessage="1" showInputMessage="1">
          <x14:formula1>
            <xm:f>900</xm:f>
          </x14:formula1>
          <xm:sqref>BC65583:BC65590 BC131119:BC131126 BC196655:BC196662 BC262191:BC262198 BC327727:BC327734 BC393263:BC393270 BC458799:BC458806 BC524335:BC524342 BC589871:BC589878 BC655407:BC655414 BC720943:BC720950 BC786479:BC786486 BC852015:BC852022 BC917551:BC917558 BC983087:BC983094 AS8 T8:T12 AS52 T52:T56</xm:sqref>
        </x14:dataValidation>
        <x14:dataValidation xr:uid="{008200FD-00F3-41CE-8D66-00CD005A0066}" type="decimal" allowBlank="1" error="Допускается ввод только действительных чисел!" errorStyle="stop" errorTitle="Ошибка" imeMode="noControl" operator="between" showDropDown="0" showErrorMessage="1" showInputMessage="0">
          <x14:formula1>
            <xm:f>-9.99999999999999E+23</xm:f>
          </x14:formula1>
          <x14:formula2>
            <xm:f>9.99999999999999E+23</xm:f>
          </x14:formula2>
          <xm:sqref>AO52:AO53 AG8:AG11 AO8:AO9 AG52:AG55</xm:sqref>
        </x14:dataValidation>
        <x14:dataValidation xr:uid="{006C0044-0055-42F8-A646-007B00FB00D9}"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V983092:BB983092 V917556:BB917556 V852020:BB852020 V786484:BB786484 V720948:BB720948 V655412:BB655412 V589876:BB589876 V524340:BB524340 V458804:BB458804 V393268:BB393268 V327732:BB327732 V262196:BB262196 V196660:BB196660 V131124:BB131124 V65588:BB65588</xm:sqref>
        </x14:dataValidation>
      </x14:dataValidations>
    </ext>
  </extLst>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outlinePr applyStyles="0" summaryBelow="1" summaryRight="1" showOutlineSymbols="1"/>
    <pageSetUpPr autoPageBreaks="1" fitToPage="0"/>
  </sheetPr>
  <sheetViews>
    <sheetView showGridLines="0" zoomScale="90" workbookViewId="0">
      <pane xSplit="8" ySplit="29" topLeftCell="I30" activePane="bottomRight" state="frozen"/>
      <selection activeCell="A1" activeCellId="0" sqref="A1"/>
    </sheetView>
  </sheetViews>
  <sheetFormatPr defaultColWidth="9.140625" defaultRowHeight="11.25" customHeight="1"/>
  <cols>
    <col customWidth="1" hidden="1" min="1" max="1" style="715" width="10.7109375"/>
    <col customWidth="1" hidden="1" min="2" max="2" style="53" width="16.8515625"/>
    <col customWidth="1" hidden="1" min="3" max="3" style="57" width="5.57421875"/>
    <col customWidth="1" min="4" max="4" style="50" width="3.00390625"/>
    <col customWidth="1" min="5" max="5" style="50" width="7.00390625"/>
    <col customWidth="1" min="6" max="6" style="50" width="54.00390625"/>
    <col customWidth="1" min="7" max="7" style="50" width="10.00390625"/>
    <col customWidth="1" hidden="1" min="8" max="8" style="50" width="40.7109375"/>
    <col customWidth="1" min="9" max="9" style="50" width="40.7109375"/>
    <col customWidth="1" min="10" max="10" style="50" width="102.00390625"/>
    <col customWidth="1" min="11" max="11" style="53" width="9.00390625"/>
    <col customWidth="1" min="12" max="12" style="57" width="5.00390625"/>
    <col customWidth="1" min="13" max="13" style="57" width="3.00390625"/>
    <col customWidth="1" min="14" max="17" style="53" width="3.00390625"/>
    <col customWidth="1" min="18" max="18" style="57" width="10.00390625"/>
    <col customWidth="1" min="19" max="19" style="53" width="34.00390625"/>
    <col customWidth="1" min="20" max="20" style="53" width="9.00390625"/>
    <col customWidth="1" min="21" max="21" style="716" width="8.00390625"/>
    <col customWidth="1" min="22" max="26" style="53" width="8.00390625"/>
    <col customWidth="1" min="27" max="31" style="56" width="8.00390625"/>
    <col hidden="1" min="32" max="32" style="50" width="9.140625"/>
  </cols>
  <sheetData>
    <row r="1" ht="22.5" hidden="1" customHeight="1">
      <c r="AF1" s="50" t="s">
        <v>14</v>
      </c>
    </row>
    <row r="2" ht="23.25" hidden="1" customHeight="1">
      <c r="B2" s="51"/>
      <c r="C2" s="540" t="s">
        <v>549</v>
      </c>
      <c r="D2" s="125"/>
      <c r="E2" s="717">
        <f>B2</f>
        <v>0</v>
      </c>
      <c r="F2" s="718"/>
      <c r="G2" s="157" t="s">
        <v>550</v>
      </c>
      <c r="H2" s="157" t="s">
        <v>550</v>
      </c>
      <c r="I2" s="157" t="s">
        <v>550</v>
      </c>
      <c r="J2" s="494" t="s">
        <v>551</v>
      </c>
      <c r="K2" s="719"/>
      <c r="AF2" s="50">
        <v>0</v>
      </c>
    </row>
    <row r="3" s="57" customFormat="1" ht="0.75" hidden="1" customHeight="1">
      <c r="B3" s="51"/>
      <c r="C3" s="540"/>
      <c r="D3" s="540"/>
      <c r="E3" s="720"/>
      <c r="F3" s="721" t="s">
        <v>552</v>
      </c>
      <c r="G3" s="158"/>
      <c r="H3" s="158">
        <f>H4*H5+H7</f>
        <v>0</v>
      </c>
      <c r="I3" s="158">
        <f>I4*I5+I6</f>
        <v>0</v>
      </c>
      <c r="J3" s="361"/>
      <c r="AF3" s="57">
        <v>0</v>
      </c>
    </row>
    <row r="4" ht="23.25" hidden="1" customHeight="1">
      <c r="B4" s="51"/>
      <c r="C4" s="540"/>
      <c r="D4" s="125"/>
      <c r="E4" s="717" t="str">
        <f>B2&amp;".1"</f>
        <v>.1</v>
      </c>
      <c r="F4" s="722" t="s">
        <v>553</v>
      </c>
      <c r="G4" s="723"/>
      <c r="H4" s="516"/>
      <c r="I4" s="516"/>
      <c r="J4" s="494" t="s">
        <v>554</v>
      </c>
      <c r="K4" s="719"/>
      <c r="AF4" s="50">
        <v>0</v>
      </c>
    </row>
    <row r="5" ht="18.75" hidden="1" customHeight="1">
      <c r="B5" s="51"/>
      <c r="C5" s="540"/>
      <c r="D5" s="125"/>
      <c r="E5" s="717" t="str">
        <f>B2&amp;".2"</f>
        <v>.2</v>
      </c>
      <c r="F5" s="722" t="s">
        <v>555</v>
      </c>
      <c r="G5" s="157" t="s">
        <v>556</v>
      </c>
      <c r="H5" s="516"/>
      <c r="I5" s="516"/>
      <c r="J5" s="494"/>
      <c r="K5" s="719"/>
      <c r="AF5" s="50">
        <v>0</v>
      </c>
    </row>
    <row r="6" ht="18.75" hidden="1" customHeight="1">
      <c r="B6" s="51"/>
      <c r="C6" s="540"/>
      <c r="D6" s="125"/>
      <c r="E6" s="717" t="str">
        <f>B2&amp;".3"</f>
        <v>.3</v>
      </c>
      <c r="F6" s="722" t="s">
        <v>557</v>
      </c>
      <c r="G6" s="157" t="s">
        <v>556</v>
      </c>
      <c r="H6" s="516"/>
      <c r="I6" s="516"/>
      <c r="J6" s="494"/>
      <c r="K6" s="719"/>
      <c r="AF6" s="50">
        <v>0</v>
      </c>
    </row>
    <row r="7" ht="18.75" hidden="1" customHeight="1">
      <c r="B7" s="51"/>
      <c r="C7" s="540"/>
      <c r="D7" s="125"/>
      <c r="E7" s="717" t="str">
        <f>B2&amp;".4"</f>
        <v>.4</v>
      </c>
      <c r="F7" s="722" t="s">
        <v>558</v>
      </c>
      <c r="G7" s="157" t="s">
        <v>550</v>
      </c>
      <c r="H7" s="724"/>
      <c r="I7" s="724"/>
      <c r="J7" s="494"/>
      <c r="K7" s="719"/>
      <c r="AF7" s="50">
        <v>0</v>
      </c>
    </row>
    <row r="8" s="53" customFormat="1" ht="11.25" hidden="1" customHeight="1">
      <c r="A8" s="715"/>
      <c r="C8" s="57"/>
      <c r="D8" s="53"/>
      <c r="H8" s="53">
        <v>4</v>
      </c>
      <c r="I8" s="53">
        <v>4</v>
      </c>
      <c r="L8" s="57"/>
      <c r="M8" s="57"/>
      <c r="R8" s="57"/>
      <c r="AF8" s="53">
        <v>0</v>
      </c>
    </row>
    <row r="9" s="53" customFormat="1" ht="22.5" hidden="1" customHeight="1">
      <c r="A9" s="715"/>
      <c r="C9" s="57"/>
      <c r="D9" s="725"/>
      <c r="E9" s="157"/>
      <c r="F9" s="159"/>
      <c r="G9" s="157" t="s">
        <v>556</v>
      </c>
      <c r="H9" s="516"/>
      <c r="I9" s="516"/>
      <c r="J9" s="726" t="s">
        <v>559</v>
      </c>
      <c r="K9" s="719"/>
      <c r="L9" s="57"/>
      <c r="M9" s="57"/>
      <c r="R9" s="57"/>
      <c r="U9" s="716"/>
      <c r="AA9" s="56"/>
      <c r="AB9" s="56"/>
      <c r="AC9" s="56"/>
      <c r="AD9" s="56"/>
      <c r="AE9" s="56"/>
      <c r="AF9" s="53">
        <v>0</v>
      </c>
    </row>
    <row r="10" ht="11.25" hidden="1" customHeight="1">
      <c r="AF10" s="50">
        <v>0</v>
      </c>
    </row>
    <row r="11" ht="18.75" hidden="1" customHeight="1">
      <c r="D11" s="125"/>
      <c r="E11" s="717"/>
      <c r="F11" s="159"/>
      <c r="G11" s="157" t="s">
        <v>560</v>
      </c>
      <c r="H11" s="516"/>
      <c r="I11" s="516"/>
      <c r="J11" s="494" t="s">
        <v>561</v>
      </c>
      <c r="K11" s="719"/>
      <c r="AF11" s="50">
        <v>0</v>
      </c>
    </row>
    <row r="12" ht="11.25" hidden="1" customHeight="1">
      <c r="AF12" s="50">
        <v>0</v>
      </c>
    </row>
    <row r="13" ht="22.5" hidden="1" customHeight="1">
      <c r="D13" s="125"/>
      <c r="E13" s="717"/>
      <c r="F13" s="159"/>
      <c r="G13" s="72" t="s">
        <v>562</v>
      </c>
      <c r="H13" s="727"/>
      <c r="I13" s="727"/>
      <c r="J13" s="728" t="s">
        <v>563</v>
      </c>
      <c r="K13" s="719"/>
      <c r="AF13" s="50">
        <v>0</v>
      </c>
    </row>
    <row r="14" ht="11.25" hidden="1" customHeight="1">
      <c r="AF14" s="50">
        <v>0</v>
      </c>
    </row>
    <row r="15" ht="22.5" hidden="1" customHeight="1">
      <c r="D15" s="125"/>
      <c r="E15" s="717"/>
      <c r="F15" s="159"/>
      <c r="G15" s="157" t="s">
        <v>564</v>
      </c>
      <c r="H15" s="727"/>
      <c r="I15" s="727"/>
      <c r="J15" s="494" t="s">
        <v>565</v>
      </c>
      <c r="K15" s="719"/>
      <c r="AF15" s="50">
        <v>0</v>
      </c>
    </row>
    <row r="16" ht="11.25" hidden="1" customHeight="1">
      <c r="AF16" s="50">
        <v>0</v>
      </c>
    </row>
    <row r="17" ht="22.5" hidden="1" customHeight="1">
      <c r="D17" s="125"/>
      <c r="E17" s="717"/>
      <c r="F17" s="159"/>
      <c r="G17" s="157" t="s">
        <v>566</v>
      </c>
      <c r="H17" s="727"/>
      <c r="I17" s="727"/>
      <c r="J17" s="494" t="s">
        <v>567</v>
      </c>
      <c r="K17" s="719"/>
      <c r="AF17" s="50">
        <v>0</v>
      </c>
    </row>
    <row r="18" ht="11.25" hidden="1" customHeight="1">
      <c r="AF18" s="50">
        <v>0</v>
      </c>
    </row>
    <row r="19" s="56" customFormat="1" ht="11.25" hidden="1" customHeight="1">
      <c r="A19" s="715"/>
      <c r="B19" s="53"/>
      <c r="C19" s="57"/>
      <c r="D19" s="56"/>
      <c r="J19" s="56">
        <v>4</v>
      </c>
      <c r="K19" s="53"/>
      <c r="L19" s="57"/>
      <c r="M19" s="57"/>
      <c r="N19" s="53"/>
      <c r="O19" s="53"/>
      <c r="P19" s="53"/>
      <c r="Q19" s="53"/>
      <c r="R19" s="57"/>
      <c r="S19" s="53"/>
      <c r="T19" s="53"/>
      <c r="U19" s="716"/>
      <c r="V19" s="53"/>
      <c r="W19" s="53"/>
      <c r="X19" s="53"/>
      <c r="Y19" s="53"/>
      <c r="Z19" s="53"/>
      <c r="AF19" s="56">
        <v>0</v>
      </c>
    </row>
    <row r="20" ht="11.5" customHeight="1">
      <c r="AF20" s="50">
        <v>11</v>
      </c>
    </row>
    <row r="21" ht="25.199999999999999" customHeight="1">
      <c r="E21" s="461" t="str">
        <f>FHD_NAME_FORM</f>
        <v xml:space="preserve">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461"/>
      <c r="G21" s="461"/>
      <c r="H21" s="461"/>
      <c r="I21" s="461"/>
      <c r="J21" s="240"/>
      <c r="AF21" s="50">
        <v>24</v>
      </c>
    </row>
    <row r="22" ht="25.199999999999999" customHeight="1">
      <c r="E22" s="316" t="str">
        <f>IF(org=0,"Не определено",org)</f>
        <v xml:space="preserve">АО "ДГК"</v>
      </c>
      <c r="F22" s="316"/>
      <c r="G22" s="316"/>
      <c r="H22" s="316"/>
      <c r="I22" s="316"/>
      <c r="AF22" s="50">
        <v>24</v>
      </c>
    </row>
    <row r="23" ht="11.5" customHeight="1">
      <c r="E23" s="729"/>
      <c r="F23" s="729"/>
      <c r="G23" s="729"/>
      <c r="H23" s="729"/>
      <c r="I23" s="729"/>
      <c r="AF23" s="50">
        <v>11</v>
      </c>
    </row>
    <row r="24" s="57" customFormat="1" ht="1.05" customHeight="1">
      <c r="A24" s="540"/>
      <c r="D24" s="57"/>
      <c r="H24" s="730"/>
      <c r="I24" s="730" t="s">
        <v>117</v>
      </c>
      <c r="AF24" s="57">
        <v>1</v>
      </c>
    </row>
    <row r="25" ht="11.5" customHeight="1">
      <c r="E25" s="731"/>
      <c r="F25" s="732" t="s">
        <v>105</v>
      </c>
      <c r="G25" s="733"/>
      <c r="H25" s="734" t="str">
        <f>IF(H24="","",INDEX(DIFFERENTIATION_UNMERGE_VD,MATCH(H24,DIFFERENTIATION_ID_DIFF,0)))</f>
        <v/>
      </c>
      <c r="I25" s="734">
        <f>IF(I24="","",INDEX(DIFFERENTIATION_UNMERGE_VD,MATCH(I24,DIFFERENTIATION_ID_DIFF,0)))</f>
        <v>0</v>
      </c>
      <c r="J25" s="157"/>
      <c r="AF25" s="50">
        <v>11</v>
      </c>
    </row>
    <row r="26" ht="11.5" customHeight="1">
      <c r="E26" s="731"/>
      <c r="F26" s="732" t="s">
        <v>568</v>
      </c>
      <c r="G26" s="733"/>
      <c r="H26" s="734" t="str">
        <f>IF(H24="","",INDEX(DIFFERENTIATION_UNMERGE_AREA,MATCH(H24,DIFFERENTIATION_ID_DIFF,0)))</f>
        <v/>
      </c>
      <c r="I26" s="734" t="str">
        <f>IF(I24="","",INDEX(DIFFERENTIATION_UNMERGE_AREA,MATCH(I24,DIFFERENTIATION_ID_DIFF,0)))</f>
        <v/>
      </c>
      <c r="J26" s="157"/>
      <c r="AF26" s="50">
        <v>11</v>
      </c>
    </row>
    <row r="27" ht="11.5" customHeight="1">
      <c r="E27" s="731"/>
      <c r="F27" s="732" t="s">
        <v>569</v>
      </c>
      <c r="G27" s="733"/>
      <c r="H27" s="734" t="str">
        <f>IF(H24="","",INDEX(DIFFERENTIATION_UNMERGE_SYSTEM,MATCH(H24,DIFFERENTIATION_ID_DIFF,0)))</f>
        <v/>
      </c>
      <c r="I27" s="734" t="str">
        <f>IF(I24="","",INDEX(DIFFERENTIATION_UNMERGE_SYSTEM,MATCH(I24,DIFFERENTIATION_ID_DIFF,0)))</f>
        <v xml:space="preserve">без дифференциации</v>
      </c>
      <c r="J27" s="157"/>
      <c r="AF27" s="50">
        <v>11</v>
      </c>
    </row>
    <row r="28" ht="11.5" customHeight="1">
      <c r="E28" s="735" t="s">
        <v>305</v>
      </c>
      <c r="F28" s="736"/>
      <c r="G28" s="736"/>
      <c r="H28" s="732"/>
      <c r="I28" s="732"/>
      <c r="J28" s="157"/>
      <c r="AF28" s="50">
        <v>11</v>
      </c>
    </row>
    <row r="29" ht="24" customHeight="1">
      <c r="E29" s="157" t="s">
        <v>89</v>
      </c>
      <c r="F29" s="157" t="s">
        <v>307</v>
      </c>
      <c r="G29" s="157" t="s">
        <v>570</v>
      </c>
      <c r="H29" s="157" t="s">
        <v>308</v>
      </c>
      <c r="I29" s="157" t="s">
        <v>308</v>
      </c>
      <c r="J29" s="157"/>
      <c r="AF29" s="50">
        <v>23</v>
      </c>
    </row>
    <row r="30" ht="19.949999999999999" customHeight="1">
      <c r="D30" s="125"/>
      <c r="E30" s="717">
        <f>FHD_NUM_P_1</f>
        <v>1</v>
      </c>
      <c r="F30" s="326" t="str">
        <f>FHD_P_1</f>
        <v xml:space="preserve">Выручка от регулируемого вида деятельности с распределением по видам деятельности</v>
      </c>
      <c r="G30" s="157" t="s">
        <v>556</v>
      </c>
      <c r="H30" s="737"/>
      <c r="I30" s="737"/>
      <c r="J30" s="494" t="str">
        <f>FHD_NOTE_P_1</f>
        <v xml:space="preserve">Указывается выручка от регулируемого вида деятельности с распределением по видам деятельности.</v>
      </c>
      <c r="K30" s="719"/>
      <c r="AF30" s="50">
        <v>19</v>
      </c>
    </row>
    <row r="31" ht="11.5" customHeight="1">
      <c r="D31" s="125"/>
      <c r="E31" s="717">
        <f>FHD_NUM_P_2</f>
        <v>2</v>
      </c>
      <c r="F31" s="326" t="str">
        <f>FHD_P_2</f>
        <v xml:space="preserve">Себестоимость производимых товаров (оказываемых услуг) по регулируемому виду деятельности, включая:</v>
      </c>
      <c r="G31" s="157" t="s">
        <v>556</v>
      </c>
      <c r="H31" s="738">
        <f>SUMIF($K33:$K71,$K31,H33:H71)</f>
        <v>0</v>
      </c>
      <c r="I31" s="738">
        <f>SUMIF($K33:$K71,$K31,I33:I71)</f>
        <v>0</v>
      </c>
      <c r="J31" s="494" t="str">
        <f>FHD_NOTE_P_2</f>
        <v xml:space="preserve">Указывается суммарная себестоимость производимых товаров.</v>
      </c>
      <c r="K31" s="57" t="s">
        <v>571</v>
      </c>
      <c r="AF31" s="50">
        <v>11</v>
      </c>
    </row>
    <row r="32" ht="11.5" customHeight="1">
      <c r="D32" s="125"/>
      <c r="E32" s="717" t="str">
        <f>FHD_NUM_P_3</f>
        <v>2.1</v>
      </c>
      <c r="F32" s="682" t="str">
        <f>FHD_P_3</f>
        <v xml:space="preserve">Расходы на приобретаемую тепловую энергию (мощность), теплоноситель</v>
      </c>
      <c r="G32" s="157" t="s">
        <v>556</v>
      </c>
      <c r="H32" s="737"/>
      <c r="I32" s="737"/>
      <c r="J32" s="494" t="str">
        <f>FHD_NOTE_P_3</f>
        <v/>
      </c>
      <c r="K32" s="57" t="str">
        <f t="shared" ref="K32:K70" si="47">IF((LEN(E32)-LEN(SUBSTITUTE(E32,".","")))/LEN(".")=1,"p","")</f>
        <v>p</v>
      </c>
      <c r="AF32" s="50">
        <v>11</v>
      </c>
    </row>
    <row r="33" ht="11.25" customHeight="1">
      <c r="A33" s="739" t="s">
        <v>572</v>
      </c>
      <c r="D33" s="125"/>
      <c r="E33" s="717" t="str">
        <f>FHD_NUM_P_4</f>
        <v>2.2</v>
      </c>
      <c r="F33" s="682" t="str">
        <f>FHD_P_4</f>
        <v xml:space="preserve">Расходы на топливо с указанием по каждому виду топлива стоимости (за единицу объема), объема и способа его приобретения, стоимости его доставки</v>
      </c>
      <c r="G33" s="157" t="s">
        <v>556</v>
      </c>
      <c r="H33" s="738">
        <f>SUMIF($F34:$F40,$F3,H34:H40)</f>
        <v>0</v>
      </c>
      <c r="I33" s="738">
        <f>SUMIF($F34:$F40,$F3,I34:I40)</f>
        <v>0</v>
      </c>
      <c r="J33" s="494" t="str">
        <f>FHD_NOTE_P_4</f>
        <v xml:space="preserve">Указываются суммарные расходы на приобретение топлива всех видов.</v>
      </c>
      <c r="K33" s="57" t="str">
        <f t="shared" si="47"/>
        <v>p</v>
      </c>
      <c r="AF33" s="50">
        <v>0</v>
      </c>
    </row>
    <row r="34" s="131" customFormat="1" ht="0.75" customHeight="1">
      <c r="A34" s="739"/>
      <c r="B34" s="740" t="str">
        <f>E33&amp;".0"</f>
        <v>2.2.0</v>
      </c>
      <c r="C34" s="540"/>
      <c r="D34" s="741"/>
      <c r="E34" s="742"/>
      <c r="F34" s="743"/>
      <c r="G34" s="744"/>
      <c r="H34" s="437"/>
      <c r="I34" s="437"/>
      <c r="J34" s="745"/>
      <c r="K34" s="57" t="str">
        <f t="shared" si="47"/>
        <v/>
      </c>
      <c r="L34" s="57"/>
      <c r="M34" s="57"/>
      <c r="N34" s="57"/>
      <c r="O34" s="57"/>
      <c r="P34" s="57"/>
      <c r="Q34" s="57"/>
      <c r="R34" s="57"/>
      <c r="S34" s="57"/>
      <c r="T34" s="57"/>
      <c r="U34" s="746"/>
      <c r="V34" s="57"/>
      <c r="W34" s="57"/>
      <c r="X34" s="57"/>
      <c r="Y34" s="57"/>
      <c r="Z34" s="57"/>
      <c r="AA34" s="54"/>
      <c r="AB34" s="54"/>
      <c r="AC34" s="54"/>
      <c r="AD34" s="54"/>
      <c r="AE34" s="54"/>
      <c r="AF34" s="131">
        <v>0</v>
      </c>
    </row>
    <row r="35" s="131" customFormat="1" ht="0.75" customHeight="1">
      <c r="A35" s="739"/>
      <c r="B35" s="740"/>
      <c r="C35" s="540"/>
      <c r="D35" s="741"/>
      <c r="E35" s="747"/>
      <c r="F35" s="748"/>
      <c r="G35" s="744"/>
      <c r="H35" s="749"/>
      <c r="I35" s="749"/>
      <c r="J35" s="745"/>
      <c r="K35" s="57" t="str">
        <f t="shared" si="47"/>
        <v/>
      </c>
      <c r="L35" s="57"/>
      <c r="M35" s="57"/>
      <c r="N35" s="57"/>
      <c r="O35" s="57"/>
      <c r="P35" s="57"/>
      <c r="Q35" s="57"/>
      <c r="R35" s="57"/>
      <c r="S35" s="57"/>
      <c r="T35" s="57"/>
      <c r="U35" s="746"/>
      <c r="V35" s="57"/>
      <c r="W35" s="57"/>
      <c r="X35" s="57"/>
      <c r="Y35" s="57"/>
      <c r="Z35" s="57"/>
      <c r="AA35" s="54"/>
      <c r="AB35" s="54"/>
      <c r="AC35" s="54"/>
      <c r="AD35" s="54"/>
      <c r="AE35" s="54"/>
      <c r="AF35" s="131">
        <v>0</v>
      </c>
    </row>
    <row r="36" s="131" customFormat="1" ht="0.75" customHeight="1">
      <c r="A36" s="739"/>
      <c r="B36" s="740"/>
      <c r="C36" s="540"/>
      <c r="D36" s="741"/>
      <c r="E36" s="747"/>
      <c r="F36" s="748"/>
      <c r="G36" s="744"/>
      <c r="H36" s="749"/>
      <c r="I36" s="749"/>
      <c r="J36" s="745"/>
      <c r="K36" s="57" t="str">
        <f t="shared" si="47"/>
        <v/>
      </c>
      <c r="L36" s="57"/>
      <c r="M36" s="57"/>
      <c r="N36" s="57"/>
      <c r="O36" s="57"/>
      <c r="P36" s="57"/>
      <c r="Q36" s="57"/>
      <c r="R36" s="57"/>
      <c r="S36" s="57"/>
      <c r="T36" s="57"/>
      <c r="U36" s="746"/>
      <c r="V36" s="57"/>
      <c r="W36" s="57"/>
      <c r="X36" s="57"/>
      <c r="Y36" s="57"/>
      <c r="Z36" s="57"/>
      <c r="AA36" s="54"/>
      <c r="AB36" s="54"/>
      <c r="AC36" s="54"/>
      <c r="AD36" s="54"/>
      <c r="AE36" s="54"/>
      <c r="AF36" s="131">
        <v>0</v>
      </c>
    </row>
    <row r="37" s="131" customFormat="1" ht="0.75" customHeight="1">
      <c r="A37" s="739"/>
      <c r="B37" s="740"/>
      <c r="C37" s="540"/>
      <c r="D37" s="741"/>
      <c r="E37" s="747"/>
      <c r="F37" s="748"/>
      <c r="G37" s="744"/>
      <c r="H37" s="749"/>
      <c r="I37" s="749"/>
      <c r="J37" s="745"/>
      <c r="K37" s="57" t="str">
        <f t="shared" si="47"/>
        <v/>
      </c>
      <c r="L37" s="57"/>
      <c r="M37" s="57"/>
      <c r="N37" s="57"/>
      <c r="O37" s="57"/>
      <c r="P37" s="57"/>
      <c r="Q37" s="57"/>
      <c r="R37" s="57"/>
      <c r="S37" s="57"/>
      <c r="T37" s="57"/>
      <c r="U37" s="746"/>
      <c r="V37" s="57"/>
      <c r="W37" s="57"/>
      <c r="X37" s="57"/>
      <c r="Y37" s="57"/>
      <c r="Z37" s="57"/>
      <c r="AA37" s="54"/>
      <c r="AB37" s="54"/>
      <c r="AC37" s="54"/>
      <c r="AD37" s="54"/>
      <c r="AE37" s="54"/>
      <c r="AF37" s="131">
        <v>0</v>
      </c>
    </row>
    <row r="38" s="131" customFormat="1" ht="0.75" customHeight="1">
      <c r="A38" s="739"/>
      <c r="B38" s="740"/>
      <c r="C38" s="540"/>
      <c r="D38" s="741"/>
      <c r="E38" s="747"/>
      <c r="F38" s="748"/>
      <c r="G38" s="744"/>
      <c r="H38" s="749"/>
      <c r="I38" s="749"/>
      <c r="J38" s="745"/>
      <c r="K38" s="57" t="str">
        <f t="shared" si="47"/>
        <v/>
      </c>
      <c r="L38" s="57"/>
      <c r="M38" s="57"/>
      <c r="N38" s="57"/>
      <c r="O38" s="57"/>
      <c r="P38" s="57"/>
      <c r="Q38" s="57"/>
      <c r="R38" s="57"/>
      <c r="S38" s="57"/>
      <c r="T38" s="57"/>
      <c r="U38" s="746"/>
      <c r="V38" s="57"/>
      <c r="W38" s="57"/>
      <c r="X38" s="57"/>
      <c r="Y38" s="57"/>
      <c r="Z38" s="57"/>
      <c r="AA38" s="54"/>
      <c r="AB38" s="54"/>
      <c r="AC38" s="54"/>
      <c r="AD38" s="54"/>
      <c r="AE38" s="54"/>
      <c r="AF38" s="131">
        <v>0</v>
      </c>
    </row>
    <row r="39" s="131" customFormat="1" ht="0.75" customHeight="1">
      <c r="A39" s="739"/>
      <c r="B39" s="740"/>
      <c r="C39" s="540"/>
      <c r="D39" s="741"/>
      <c r="E39" s="747"/>
      <c r="F39" s="748"/>
      <c r="G39" s="744"/>
      <c r="H39" s="437"/>
      <c r="I39" s="437"/>
      <c r="J39" s="745"/>
      <c r="K39" s="57" t="str">
        <f t="shared" si="47"/>
        <v/>
      </c>
      <c r="L39" s="57"/>
      <c r="M39" s="57"/>
      <c r="N39" s="57"/>
      <c r="O39" s="57"/>
      <c r="P39" s="57"/>
      <c r="Q39" s="57"/>
      <c r="R39" s="57"/>
      <c r="S39" s="57"/>
      <c r="T39" s="57"/>
      <c r="U39" s="746"/>
      <c r="V39" s="57"/>
      <c r="W39" s="57"/>
      <c r="X39" s="57"/>
      <c r="Y39" s="57"/>
      <c r="Z39" s="57"/>
      <c r="AA39" s="54"/>
      <c r="AB39" s="54"/>
      <c r="AC39" s="54"/>
      <c r="AD39" s="54"/>
      <c r="AE39" s="54"/>
      <c r="AF39" s="131">
        <v>0</v>
      </c>
    </row>
    <row r="40" s="53" customFormat="1" ht="15" customHeight="1">
      <c r="A40" s="739"/>
      <c r="C40" s="57"/>
      <c r="D40" s="128"/>
      <c r="E40" s="750"/>
      <c r="F40" s="235" t="s">
        <v>573</v>
      </c>
      <c r="G40" s="751"/>
      <c r="H40" s="752"/>
      <c r="I40" s="752"/>
      <c r="J40" s="558"/>
      <c r="K40" s="57" t="str">
        <f t="shared" si="47"/>
        <v/>
      </c>
      <c r="L40" s="57"/>
      <c r="M40" s="57"/>
      <c r="R40" s="57"/>
      <c r="U40" s="716"/>
      <c r="AA40" s="56"/>
      <c r="AB40" s="56"/>
      <c r="AC40" s="56"/>
      <c r="AD40" s="56"/>
      <c r="AE40" s="56"/>
      <c r="AF40" s="53">
        <v>0</v>
      </c>
    </row>
    <row r="41" ht="11.25" hidden="1" customHeight="1">
      <c r="A41" s="739" t="s">
        <v>574</v>
      </c>
      <c r="D41" s="125"/>
      <c r="E41" s="717" t="str">
        <f>FHD_NUM_P_5</f>
        <v/>
      </c>
      <c r="F41" s="682" t="str">
        <f>FHD_P_5</f>
        <v/>
      </c>
      <c r="G41" s="157" t="s">
        <v>556</v>
      </c>
      <c r="H41" s="737"/>
      <c r="I41" s="737"/>
      <c r="J41" s="494" t="str">
        <f>FHD_NOTE_P_5</f>
        <v/>
      </c>
      <c r="K41" s="57" t="str">
        <f t="shared" si="47"/>
        <v/>
      </c>
      <c r="AF41" s="50">
        <v>0</v>
      </c>
    </row>
    <row r="42" ht="11.25" hidden="1" customHeight="1">
      <c r="A42" s="739"/>
      <c r="D42" s="125"/>
      <c r="E42" s="717" t="str">
        <f>FHD_NUM_P_6</f>
        <v/>
      </c>
      <c r="F42" s="682" t="str">
        <f>FHD_P_6</f>
        <v/>
      </c>
      <c r="G42" s="157" t="s">
        <v>556</v>
      </c>
      <c r="H42" s="737"/>
      <c r="I42" s="737"/>
      <c r="J42" s="494" t="str">
        <f>FHD_NOTE_P_6</f>
        <v/>
      </c>
      <c r="K42" s="57" t="str">
        <f t="shared" si="47"/>
        <v/>
      </c>
      <c r="AF42" s="50">
        <v>0</v>
      </c>
    </row>
    <row r="43" ht="11.25" hidden="1" customHeight="1">
      <c r="A43" s="739"/>
      <c r="D43" s="125"/>
      <c r="E43" s="717" t="str">
        <f>FHD_NUM_P_7</f>
        <v/>
      </c>
      <c r="F43" s="682" t="str">
        <f>FHD_P_7</f>
        <v/>
      </c>
      <c r="G43" s="157" t="s">
        <v>556</v>
      </c>
      <c r="H43" s="737"/>
      <c r="I43" s="737"/>
      <c r="J43" s="494" t="str">
        <f>FHD_NOTE_P_7</f>
        <v/>
      </c>
      <c r="K43" s="57" t="str">
        <f t="shared" si="47"/>
        <v/>
      </c>
      <c r="AF43" s="50">
        <v>0</v>
      </c>
    </row>
    <row r="44" ht="11.5" customHeight="1">
      <c r="D44" s="125"/>
      <c r="E44" s="717" t="str">
        <f>FHD_NUM_P_8</f>
        <v>2.3</v>
      </c>
      <c r="F44" s="682" t="str">
        <f>FHD_P_8</f>
        <v xml:space="preserve">Расходы на приобретаемую электрическую энергию (мощность), используемую в технологическом процессе</v>
      </c>
      <c r="G44" s="157" t="s">
        <v>556</v>
      </c>
      <c r="H44" s="737"/>
      <c r="I44" s="737"/>
      <c r="J44" s="494" t="str">
        <f>FHD_NOTE_P_8</f>
        <v/>
      </c>
      <c r="K44" s="57" t="str">
        <f t="shared" si="47"/>
        <v>p</v>
      </c>
      <c r="AF44" s="50">
        <v>11</v>
      </c>
    </row>
    <row r="45" ht="11.5" customHeight="1">
      <c r="D45" s="125"/>
      <c r="E45" s="717" t="str">
        <f>FHD_NUM_P_9</f>
        <v>2.3.1</v>
      </c>
      <c r="F45" s="753" t="str">
        <f>FHD_P_9</f>
        <v xml:space="preserve">Средневзвешенная стоимость 1 кВт.ч (с учетом мощности)</v>
      </c>
      <c r="G45" s="157" t="s">
        <v>575</v>
      </c>
      <c r="H45" s="737"/>
      <c r="I45" s="737"/>
      <c r="J45" s="494" t="str">
        <f>FHD_NOTE_P_9</f>
        <v/>
      </c>
      <c r="K45" s="57" t="str">
        <f t="shared" si="47"/>
        <v/>
      </c>
      <c r="AF45" s="50">
        <v>11</v>
      </c>
    </row>
    <row r="46" s="53" customFormat="1" ht="11.5" customHeight="1">
      <c r="A46" s="715"/>
      <c r="C46" s="57"/>
      <c r="D46" s="754"/>
      <c r="E46" s="717" t="str">
        <f>FHD_NUM_P_10</f>
        <v>2.3.2</v>
      </c>
      <c r="F46" s="753" t="str">
        <f>FHD_P_10</f>
        <v xml:space="preserve">Объём приобретения электрической энергии</v>
      </c>
      <c r="G46" s="157" t="s">
        <v>576</v>
      </c>
      <c r="H46" s="737"/>
      <c r="I46" s="737"/>
      <c r="J46" s="494" t="str">
        <f>FHD_NOTE_P_10</f>
        <v/>
      </c>
      <c r="K46" s="57" t="str">
        <f t="shared" si="47"/>
        <v/>
      </c>
      <c r="L46" s="57"/>
      <c r="M46" s="57"/>
      <c r="R46" s="57"/>
      <c r="U46" s="716"/>
      <c r="AA46" s="56"/>
      <c r="AB46" s="56"/>
      <c r="AC46" s="56"/>
      <c r="AD46" s="56"/>
      <c r="AE46" s="56"/>
      <c r="AF46" s="53">
        <v>11</v>
      </c>
    </row>
    <row r="47" s="53" customFormat="1" ht="11.25" customHeight="1">
      <c r="A47" s="755" t="s">
        <v>577</v>
      </c>
      <c r="C47" s="57"/>
      <c r="D47" s="756"/>
      <c r="E47" s="717" t="str">
        <f>FHD_NUM_P_11</f>
        <v>2.4</v>
      </c>
      <c r="F47" s="682" t="str">
        <f>FHD_P_11</f>
        <v xml:space="preserve">Расходы на приобретение холодной воды, используемой в технологическом процессе</v>
      </c>
      <c r="G47" s="157" t="s">
        <v>556</v>
      </c>
      <c r="H47" s="737"/>
      <c r="I47" s="737"/>
      <c r="J47" s="494" t="str">
        <f>FHD_NOTE_P_11</f>
        <v/>
      </c>
      <c r="K47" s="57" t="str">
        <f t="shared" si="47"/>
        <v>p</v>
      </c>
      <c r="L47" s="57"/>
      <c r="M47" s="57"/>
      <c r="R47" s="57"/>
      <c r="U47" s="716"/>
      <c r="AA47" s="56"/>
      <c r="AB47" s="56"/>
      <c r="AC47" s="56"/>
      <c r="AD47" s="56"/>
      <c r="AE47" s="56"/>
      <c r="AF47" s="53">
        <v>0</v>
      </c>
    </row>
    <row r="48" s="53" customFormat="1" ht="18.75" customHeight="1">
      <c r="A48" s="755" t="s">
        <v>578</v>
      </c>
      <c r="C48" s="57"/>
      <c r="D48" s="125"/>
      <c r="E48" s="717" t="str">
        <f>FHD_NUM_P_12</f>
        <v>2.5</v>
      </c>
      <c r="F48" s="682" t="str">
        <f>FHD_P_12</f>
        <v xml:space="preserve">Расходы на  химические реагенты, используемые в технологическом процессе</v>
      </c>
      <c r="G48" s="157" t="s">
        <v>556</v>
      </c>
      <c r="H48" s="757"/>
      <c r="I48" s="757"/>
      <c r="J48" s="494" t="str">
        <f>FHD_NOTE_P_12</f>
        <v/>
      </c>
      <c r="K48" s="57" t="str">
        <f t="shared" si="47"/>
        <v>p</v>
      </c>
      <c r="L48" s="57"/>
      <c r="M48" s="57"/>
      <c r="R48" s="57"/>
      <c r="U48" s="716"/>
      <c r="AA48" s="56"/>
      <c r="AB48" s="56"/>
      <c r="AC48" s="56"/>
      <c r="AD48" s="56"/>
      <c r="AE48" s="56"/>
      <c r="AF48" s="53">
        <v>18</v>
      </c>
    </row>
    <row r="49" s="491" customFormat="1" ht="11.5" customHeight="1">
      <c r="A49" s="758"/>
      <c r="C49" s="473"/>
      <c r="D49" s="268"/>
      <c r="E49" s="717" t="str">
        <f>FHD_NUM_P_13</f>
        <v>2.6</v>
      </c>
      <c r="F49" s="682" t="str">
        <f>FHD_P_13</f>
        <v xml:space="preserve">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57" t="s">
        <v>556</v>
      </c>
      <c r="H49" s="737"/>
      <c r="I49" s="737"/>
      <c r="J49" s="494" t="str">
        <f>FHD_NOTE_P_13</f>
        <v/>
      </c>
      <c r="K49" s="57" t="str">
        <f t="shared" si="47"/>
        <v>p</v>
      </c>
      <c r="L49" s="473"/>
      <c r="M49" s="473"/>
      <c r="R49" s="473"/>
      <c r="U49" s="759"/>
      <c r="AA49" s="48"/>
      <c r="AB49" s="48"/>
      <c r="AC49" s="48"/>
      <c r="AD49" s="48"/>
      <c r="AE49" s="48"/>
      <c r="AF49" s="491">
        <v>11</v>
      </c>
    </row>
    <row r="50" s="491" customFormat="1" ht="11.5" customHeight="1">
      <c r="A50" s="758"/>
      <c r="C50" s="473"/>
      <c r="D50" s="268"/>
      <c r="E50" s="717" t="str">
        <f>FHD_NUM_P_14</f>
        <v>2.6.1</v>
      </c>
      <c r="F50" s="753" t="str">
        <f>FHD_P_14</f>
        <v xml:space="preserve">Расходы на оплату труда основного производственного персонала</v>
      </c>
      <c r="G50" s="157" t="s">
        <v>556</v>
      </c>
      <c r="H50" s="737"/>
      <c r="I50" s="737"/>
      <c r="J50" s="494" t="str">
        <f>FHD_NOTE_P_14</f>
        <v/>
      </c>
      <c r="K50" s="57" t="str">
        <f t="shared" si="47"/>
        <v/>
      </c>
      <c r="L50" s="473"/>
      <c r="M50" s="473"/>
      <c r="R50" s="473"/>
      <c r="U50" s="759"/>
      <c r="AA50" s="48"/>
      <c r="AB50" s="48"/>
      <c r="AC50" s="48"/>
      <c r="AD50" s="48"/>
      <c r="AE50" s="48"/>
      <c r="AF50" s="491">
        <v>11</v>
      </c>
    </row>
    <row r="51" s="491" customFormat="1" ht="11.5" customHeight="1">
      <c r="A51" s="758"/>
      <c r="C51" s="473"/>
      <c r="D51" s="268"/>
      <c r="E51" s="717" t="str">
        <f>FHD_NUM_P_15</f>
        <v>2.6.2</v>
      </c>
      <c r="F51" s="753" t="str">
        <f>FHD_P_15</f>
        <v xml:space="preserve">Страховые взносы на обязательное социальное страхование, выплачиваемые из фонда оплаты труда основного производственного персонала</v>
      </c>
      <c r="G51" s="157" t="s">
        <v>556</v>
      </c>
      <c r="H51" s="737"/>
      <c r="I51" s="737"/>
      <c r="J51" s="494" t="str">
        <f>FHD_NOTE_P_15</f>
        <v/>
      </c>
      <c r="K51" s="57" t="str">
        <f t="shared" si="47"/>
        <v/>
      </c>
      <c r="L51" s="473"/>
      <c r="M51" s="473"/>
      <c r="R51" s="473"/>
      <c r="U51" s="759"/>
      <c r="AA51" s="48"/>
      <c r="AB51" s="48"/>
      <c r="AC51" s="48"/>
      <c r="AD51" s="48"/>
      <c r="AE51" s="48"/>
      <c r="AF51" s="491">
        <v>11</v>
      </c>
    </row>
    <row r="52" s="53" customFormat="1" ht="11.5" customHeight="1">
      <c r="A52" s="715"/>
      <c r="C52" s="57"/>
      <c r="D52" s="125"/>
      <c r="E52" s="717" t="str">
        <f>FHD_NUM_P_16</f>
        <v>2.7</v>
      </c>
      <c r="F52" s="682" t="str">
        <f>FHD_P_16</f>
        <v xml:space="preserve">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57" t="s">
        <v>556</v>
      </c>
      <c r="H52" s="737"/>
      <c r="I52" s="737"/>
      <c r="J52" s="494" t="str">
        <f>FHD_NOTE_P_16</f>
        <v/>
      </c>
      <c r="K52" s="57" t="str">
        <f t="shared" si="47"/>
        <v>p</v>
      </c>
      <c r="L52" s="57"/>
      <c r="M52" s="57"/>
      <c r="N52" s="53"/>
      <c r="O52" s="53"/>
      <c r="R52" s="57"/>
      <c r="U52" s="716"/>
      <c r="AA52" s="56"/>
      <c r="AB52" s="56"/>
      <c r="AC52" s="56"/>
      <c r="AD52" s="56"/>
      <c r="AE52" s="56"/>
      <c r="AF52" s="53">
        <v>11</v>
      </c>
    </row>
    <row r="53" s="53" customFormat="1" ht="11.5" customHeight="1">
      <c r="A53" s="715"/>
      <c r="C53" s="57"/>
      <c r="D53" s="125"/>
      <c r="E53" s="717" t="str">
        <f>FHD_NUM_P_17</f>
        <v>2.7.1</v>
      </c>
      <c r="F53" s="753" t="str">
        <f>FHD_P_17</f>
        <v xml:space="preserve">Расходы на оплату труда административно-управленческого персонала</v>
      </c>
      <c r="G53" s="157" t="s">
        <v>556</v>
      </c>
      <c r="H53" s="737"/>
      <c r="I53" s="737"/>
      <c r="J53" s="494" t="str">
        <f>FHD_NOTE_P_17</f>
        <v/>
      </c>
      <c r="K53" s="57" t="str">
        <f t="shared" si="47"/>
        <v/>
      </c>
      <c r="L53" s="57"/>
      <c r="M53" s="57"/>
      <c r="N53" s="53"/>
      <c r="O53" s="53"/>
      <c r="R53" s="57"/>
      <c r="U53" s="716"/>
      <c r="AA53" s="56"/>
      <c r="AB53" s="56"/>
      <c r="AC53" s="56"/>
      <c r="AD53" s="56"/>
      <c r="AE53" s="56"/>
      <c r="AF53" s="53">
        <v>11</v>
      </c>
    </row>
    <row r="54" s="53" customFormat="1" ht="11.5" customHeight="1">
      <c r="A54" s="715"/>
      <c r="C54" s="57"/>
      <c r="D54" s="125"/>
      <c r="E54" s="717" t="str">
        <f>FHD_NUM_P_18</f>
        <v>2.7.2</v>
      </c>
      <c r="F54" s="753" t="str">
        <f>FHD_P_18</f>
        <v xml:space="preserve">Страховые взносы на обязательное социальное страхование, выплачиваемые из фонда оплаты труда административно-управленческого персонала</v>
      </c>
      <c r="G54" s="157" t="s">
        <v>556</v>
      </c>
      <c r="H54" s="737"/>
      <c r="I54" s="737"/>
      <c r="J54" s="494" t="str">
        <f>FHD_NOTE_P_18</f>
        <v/>
      </c>
      <c r="K54" s="57" t="str">
        <f t="shared" si="47"/>
        <v/>
      </c>
      <c r="L54" s="57"/>
      <c r="M54" s="57"/>
      <c r="N54" s="53"/>
      <c r="O54" s="53"/>
      <c r="R54" s="57"/>
      <c r="U54" s="716"/>
      <c r="AA54" s="56"/>
      <c r="AB54" s="56"/>
      <c r="AC54" s="56"/>
      <c r="AD54" s="56"/>
      <c r="AE54" s="56"/>
      <c r="AF54" s="53">
        <v>11</v>
      </c>
    </row>
    <row r="55" s="53" customFormat="1" ht="11.5" customHeight="1">
      <c r="A55" s="715"/>
      <c r="C55" s="57"/>
      <c r="D55" s="756"/>
      <c r="E55" s="717" t="str">
        <f>FHD_NUM_P_19</f>
        <v>2.8</v>
      </c>
      <c r="F55" s="682" t="str">
        <f>FHD_P_19</f>
        <v xml:space="preserve">Расходы на амортизацию основных средств и нематериальных активов</v>
      </c>
      <c r="G55" s="157" t="s">
        <v>556</v>
      </c>
      <c r="H55" s="737"/>
      <c r="I55" s="737"/>
      <c r="J55" s="494" t="str">
        <f>FHD_NOTE_P_19</f>
        <v/>
      </c>
      <c r="K55" s="57" t="str">
        <f t="shared" si="47"/>
        <v>p</v>
      </c>
      <c r="L55" s="57"/>
      <c r="M55" s="57"/>
      <c r="R55" s="57"/>
      <c r="U55" s="716"/>
      <c r="AA55" s="56"/>
      <c r="AB55" s="56"/>
      <c r="AC55" s="56"/>
      <c r="AD55" s="56"/>
      <c r="AE55" s="56"/>
      <c r="AF55" s="53">
        <v>11</v>
      </c>
    </row>
    <row r="56" s="53" customFormat="1" ht="11.5" customHeight="1">
      <c r="A56" s="715"/>
      <c r="C56" s="57"/>
      <c r="D56" s="756"/>
      <c r="E56" s="717" t="str">
        <f>FHD_NUM_P_20</f>
        <v>2.8.1</v>
      </c>
      <c r="F56" s="753" t="str">
        <f>FHD_P_20</f>
        <v xml:space="preserve">Расходы на амортизацию основных средств</v>
      </c>
      <c r="G56" s="157" t="s">
        <v>556</v>
      </c>
      <c r="H56" s="737"/>
      <c r="I56" s="737"/>
      <c r="J56" s="494" t="str">
        <f>FHD_NOTE_P_20</f>
        <v/>
      </c>
      <c r="K56" s="57" t="str">
        <f t="shared" si="47"/>
        <v/>
      </c>
      <c r="L56" s="57"/>
      <c r="M56" s="57"/>
      <c r="R56" s="57"/>
      <c r="U56" s="716"/>
      <c r="AA56" s="56"/>
      <c r="AB56" s="56"/>
      <c r="AC56" s="56"/>
      <c r="AD56" s="56"/>
      <c r="AE56" s="56"/>
      <c r="AF56" s="53">
        <v>11</v>
      </c>
    </row>
    <row r="57" s="53" customFormat="1" ht="11.5" customHeight="1">
      <c r="A57" s="715"/>
      <c r="C57" s="57"/>
      <c r="D57" s="756"/>
      <c r="E57" s="717" t="str">
        <f>FHD_NUM_P_21</f>
        <v>2.8.2</v>
      </c>
      <c r="F57" s="753" t="str">
        <f>FHD_P_21</f>
        <v xml:space="preserve">Расходы на амортизацию нематериальных активов</v>
      </c>
      <c r="G57" s="157" t="s">
        <v>556</v>
      </c>
      <c r="H57" s="737"/>
      <c r="I57" s="737"/>
      <c r="J57" s="494" t="str">
        <f>FHD_NOTE_P_21</f>
        <v/>
      </c>
      <c r="K57" s="57" t="str">
        <f t="shared" si="47"/>
        <v/>
      </c>
      <c r="L57" s="57"/>
      <c r="M57" s="57"/>
      <c r="R57" s="57"/>
      <c r="U57" s="716"/>
      <c r="AA57" s="56"/>
      <c r="AB57" s="56"/>
      <c r="AC57" s="56"/>
      <c r="AD57" s="56"/>
      <c r="AE57" s="56"/>
      <c r="AF57" s="53">
        <v>11</v>
      </c>
    </row>
    <row r="58" s="53" customFormat="1" ht="11.5" customHeight="1">
      <c r="A58" s="715"/>
      <c r="C58" s="57"/>
      <c r="D58" s="125"/>
      <c r="E58" s="717" t="str">
        <f>FHD_NUM_P_22</f>
        <v>2.9</v>
      </c>
      <c r="F58" s="682" t="str">
        <f>FHD_P_22</f>
        <v xml:space="preserve">Расходы на аренду имущества, используемого для осуществления регулируемого вида деятельности</v>
      </c>
      <c r="G58" s="157" t="s">
        <v>556</v>
      </c>
      <c r="H58" s="737"/>
      <c r="I58" s="737"/>
      <c r="J58" s="494" t="str">
        <f>FHD_NOTE_P_22</f>
        <v/>
      </c>
      <c r="K58" s="57" t="str">
        <f t="shared" si="47"/>
        <v>p</v>
      </c>
      <c r="L58" s="57"/>
      <c r="M58" s="57"/>
      <c r="R58" s="57"/>
      <c r="U58" s="716"/>
      <c r="AA58" s="56"/>
      <c r="AB58" s="56"/>
      <c r="AC58" s="56"/>
      <c r="AD58" s="56"/>
      <c r="AE58" s="56"/>
      <c r="AF58" s="53">
        <v>11</v>
      </c>
    </row>
    <row r="59" s="53" customFormat="1" ht="11.5" customHeight="1">
      <c r="A59" s="715"/>
      <c r="C59" s="57"/>
      <c r="D59" s="756"/>
      <c r="E59" s="717" t="str">
        <f>FHD_NUM_P_23</f>
        <v>2.10</v>
      </c>
      <c r="F59" s="682" t="str">
        <f>FHD_P_23</f>
        <v xml:space="preserve">Общепроизводственные расходы, в том числе:</v>
      </c>
      <c r="G59" s="157" t="s">
        <v>556</v>
      </c>
      <c r="H59" s="737"/>
      <c r="I59" s="737"/>
      <c r="J59" s="494" t="str">
        <f>FHD_NOTE_P_23</f>
        <v xml:space="preserve">Указывается общая сумма общепроизводственных расходов.</v>
      </c>
      <c r="K59" s="57" t="str">
        <f t="shared" si="47"/>
        <v>p</v>
      </c>
      <c r="L59" s="57"/>
      <c r="M59" s="57"/>
      <c r="R59" s="57"/>
      <c r="U59" s="716"/>
      <c r="AA59" s="56"/>
      <c r="AB59" s="56"/>
      <c r="AC59" s="56"/>
      <c r="AD59" s="56"/>
      <c r="AE59" s="56"/>
      <c r="AF59" s="53">
        <v>11</v>
      </c>
    </row>
    <row r="60" s="53" customFormat="1" ht="11.5" customHeight="1">
      <c r="A60" s="715"/>
      <c r="C60" s="57"/>
      <c r="D60" s="756"/>
      <c r="E60" s="717" t="str">
        <f>FHD_NUM_P_24</f>
        <v>2.10.1</v>
      </c>
      <c r="F60" s="753" t="str">
        <f>FHD_P_24</f>
        <v xml:space="preserve">Расходы на текущий ремонт</v>
      </c>
      <c r="G60" s="157" t="s">
        <v>556</v>
      </c>
      <c r="H60" s="737"/>
      <c r="I60" s="737"/>
      <c r="J60" s="494" t="str">
        <f>FHD_NOTE_P_24</f>
        <v xml:space="preserve">Указываются расходы на текущий ремонт, отнесенные к общепроизводственным расходам.</v>
      </c>
      <c r="K60" s="57" t="str">
        <f t="shared" si="47"/>
        <v/>
      </c>
      <c r="L60" s="57"/>
      <c r="M60" s="57"/>
      <c r="R60" s="57"/>
      <c r="U60" s="716"/>
      <c r="AA60" s="56"/>
      <c r="AB60" s="56"/>
      <c r="AC60" s="56"/>
      <c r="AD60" s="56"/>
      <c r="AE60" s="56"/>
      <c r="AF60" s="53">
        <v>11</v>
      </c>
    </row>
    <row r="61" s="53" customFormat="1" ht="11.5" customHeight="1">
      <c r="A61" s="715"/>
      <c r="C61" s="57"/>
      <c r="D61" s="756"/>
      <c r="E61" s="717" t="str">
        <f>FHD_NUM_P_25</f>
        <v>2.10.2</v>
      </c>
      <c r="F61" s="753" t="str">
        <f>FHD_P_25</f>
        <v xml:space="preserve">Расходы на капитальный ремонт</v>
      </c>
      <c r="G61" s="157" t="s">
        <v>556</v>
      </c>
      <c r="H61" s="737"/>
      <c r="I61" s="737"/>
      <c r="J61" s="494" t="str">
        <f>FHD_NOTE_P_25</f>
        <v xml:space="preserve">Указываются расходы на капитальный ремонт, отнесенные к общепроизводственным расходам.</v>
      </c>
      <c r="K61" s="57" t="str">
        <f t="shared" si="47"/>
        <v/>
      </c>
      <c r="L61" s="57"/>
      <c r="M61" s="57"/>
      <c r="R61" s="57"/>
      <c r="U61" s="716"/>
      <c r="AA61" s="56"/>
      <c r="AB61" s="56"/>
      <c r="AC61" s="56"/>
      <c r="AD61" s="56"/>
      <c r="AE61" s="56"/>
      <c r="AF61" s="53">
        <v>11</v>
      </c>
    </row>
    <row r="62" s="53" customFormat="1" ht="11.5" customHeight="1">
      <c r="A62" s="715"/>
      <c r="C62" s="57"/>
      <c r="D62" s="125"/>
      <c r="E62" s="717" t="str">
        <f>FHD_NUM_P_26</f>
        <v>2.11</v>
      </c>
      <c r="F62" s="682" t="str">
        <f>FHD_P_26</f>
        <v xml:space="preserve">Общехозяйственные расходы, в том числе:</v>
      </c>
      <c r="G62" s="157" t="s">
        <v>556</v>
      </c>
      <c r="H62" s="737"/>
      <c r="I62" s="737"/>
      <c r="J62" s="494" t="str">
        <f>FHD_NOTE_P_26</f>
        <v xml:space="preserve">Указывается общая сумма общехозяйственных расходов.</v>
      </c>
      <c r="K62" s="57" t="str">
        <f t="shared" si="47"/>
        <v>p</v>
      </c>
      <c r="L62" s="57"/>
      <c r="M62" s="57"/>
      <c r="R62" s="57"/>
      <c r="U62" s="716"/>
      <c r="AA62" s="56"/>
      <c r="AB62" s="56"/>
      <c r="AC62" s="56"/>
      <c r="AD62" s="56"/>
      <c r="AE62" s="56"/>
      <c r="AF62" s="53">
        <v>11</v>
      </c>
    </row>
    <row r="63" s="53" customFormat="1" ht="11.5" customHeight="1">
      <c r="A63" s="715"/>
      <c r="C63" s="57"/>
      <c r="D63" s="125"/>
      <c r="E63" s="717" t="str">
        <f>FHD_NUM_P_27</f>
        <v>2.11.1</v>
      </c>
      <c r="F63" s="753" t="str">
        <f>FHD_P_27</f>
        <v xml:space="preserve">Расходы на текущий ремонт</v>
      </c>
      <c r="G63" s="157" t="s">
        <v>556</v>
      </c>
      <c r="H63" s="737"/>
      <c r="I63" s="737"/>
      <c r="J63" s="494" t="str">
        <f>FHD_NOTE_P_27</f>
        <v xml:space="preserve">Указываются расходы на текущий ремонт, отнесенные к общехозяйственным расходам.</v>
      </c>
      <c r="K63" s="57" t="str">
        <f t="shared" si="47"/>
        <v/>
      </c>
      <c r="L63" s="57"/>
      <c r="M63" s="57"/>
      <c r="R63" s="57"/>
      <c r="U63" s="716"/>
      <c r="AA63" s="56"/>
      <c r="AB63" s="56"/>
      <c r="AC63" s="56"/>
      <c r="AD63" s="56"/>
      <c r="AE63" s="56"/>
      <c r="AF63" s="53">
        <v>11</v>
      </c>
    </row>
    <row r="64" s="53" customFormat="1" ht="11.5" customHeight="1">
      <c r="A64" s="715"/>
      <c r="C64" s="57"/>
      <c r="D64" s="125"/>
      <c r="E64" s="717" t="str">
        <f>FHD_NUM_P_28</f>
        <v>2.11.2</v>
      </c>
      <c r="F64" s="753" t="str">
        <f>FHD_P_28</f>
        <v xml:space="preserve">Расходы на капитальный ремонт</v>
      </c>
      <c r="G64" s="157" t="s">
        <v>556</v>
      </c>
      <c r="H64" s="737"/>
      <c r="I64" s="737"/>
      <c r="J64" s="494" t="str">
        <f>FHD_NOTE_P_28</f>
        <v xml:space="preserve">Указываются расходы на капитальный ремонт, отнесенные к общехозяйственным расходам.</v>
      </c>
      <c r="K64" s="57" t="str">
        <f t="shared" si="47"/>
        <v/>
      </c>
      <c r="L64" s="57"/>
      <c r="M64" s="57"/>
      <c r="R64" s="57"/>
      <c r="U64" s="716"/>
      <c r="AA64" s="56"/>
      <c r="AB64" s="56"/>
      <c r="AC64" s="56"/>
      <c r="AD64" s="56"/>
      <c r="AE64" s="56"/>
      <c r="AF64" s="53">
        <v>11</v>
      </c>
    </row>
    <row r="65" s="53" customFormat="1" ht="11.5" customHeight="1">
      <c r="A65" s="715"/>
      <c r="C65" s="57"/>
      <c r="D65" s="125"/>
      <c r="E65" s="717" t="str">
        <f>FHD_NUM_P_29</f>
        <v>2.12</v>
      </c>
      <c r="F65" s="682" t="str">
        <f>FHD_P_29</f>
        <v xml:space="preserve">Расходы на капитальный и текущий ремонт основных средств</v>
      </c>
      <c r="G65" s="157" t="s">
        <v>556</v>
      </c>
      <c r="H65" s="737"/>
      <c r="I65" s="737"/>
      <c r="J65" s="494" t="str">
        <f>FHD_NOTE_P_29</f>
        <v xml:space="preserve">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57" t="str">
        <f t="shared" si="47"/>
        <v>p</v>
      </c>
      <c r="L65" s="57"/>
      <c r="M65" s="57"/>
      <c r="R65" s="57"/>
      <c r="U65" s="716"/>
      <c r="AA65" s="56"/>
      <c r="AB65" s="56"/>
      <c r="AC65" s="56"/>
      <c r="AD65" s="56"/>
      <c r="AE65" s="56"/>
      <c r="AF65" s="53">
        <v>11</v>
      </c>
    </row>
    <row r="66" s="53" customFormat="1" ht="11.5" customHeight="1">
      <c r="A66" s="715"/>
      <c r="C66" s="57"/>
      <c r="D66" s="125"/>
      <c r="E66" s="717" t="str">
        <f>FHD_NUM_P_30</f>
        <v>2.12.1</v>
      </c>
      <c r="F66" s="753" t="str">
        <f>FHD_P_30</f>
        <v xml:space="preserve">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57" t="s">
        <v>311</v>
      </c>
      <c r="H66" s="397" t="s">
        <v>579</v>
      </c>
      <c r="I66" s="397" t="s">
        <v>579</v>
      </c>
      <c r="J66" s="494" t="str">
        <f>FHD_NOTE_P_30</f>
        <v/>
      </c>
      <c r="K66" s="57" t="str">
        <f t="shared" si="47"/>
        <v/>
      </c>
      <c r="L66" s="57">
        <f>_xlfn.IFERROR(MATCH("есть",B_FHD_FLAG_INDEX_1,0),0)</f>
        <v>0</v>
      </c>
      <c r="M66" s="57"/>
      <c r="R66" s="57"/>
      <c r="U66" s="716"/>
      <c r="AA66" s="56"/>
      <c r="AB66" s="56"/>
      <c r="AC66" s="56"/>
      <c r="AD66" s="56"/>
      <c r="AE66" s="56"/>
      <c r="AF66" s="53">
        <v>11</v>
      </c>
    </row>
    <row r="67" s="53" customFormat="1" ht="23.25" hidden="1" customHeight="1">
      <c r="A67" s="739" t="s">
        <v>580</v>
      </c>
      <c r="C67" s="57"/>
      <c r="D67" s="125"/>
      <c r="E67" s="717" t="str">
        <f>FHD_NUM_P_31</f>
        <v/>
      </c>
      <c r="F67" s="682" t="str">
        <f>FHD_P_31</f>
        <v/>
      </c>
      <c r="G67" s="157" t="s">
        <v>556</v>
      </c>
      <c r="H67" s="737"/>
      <c r="I67" s="737"/>
      <c r="J67" s="494" t="str">
        <f>FHD_NOTE_P_31</f>
        <v/>
      </c>
      <c r="K67" s="57" t="str">
        <f t="shared" si="47"/>
        <v/>
      </c>
      <c r="L67" s="57"/>
      <c r="M67" s="57"/>
      <c r="R67" s="57"/>
      <c r="U67" s="716"/>
      <c r="AA67" s="56"/>
      <c r="AB67" s="56"/>
      <c r="AC67" s="56"/>
      <c r="AD67" s="56"/>
      <c r="AE67" s="56"/>
      <c r="AF67" s="53">
        <v>22</v>
      </c>
    </row>
    <row r="68" s="53" customFormat="1" ht="47.25" hidden="1" customHeight="1">
      <c r="A68" s="739"/>
      <c r="C68" s="57"/>
      <c r="D68" s="125"/>
      <c r="E68" s="717" t="str">
        <f>FHD_NUM_P_32</f>
        <v/>
      </c>
      <c r="F68" s="753" t="str">
        <f>FHD_P_32</f>
        <v/>
      </c>
      <c r="G68" s="157" t="s">
        <v>311</v>
      </c>
      <c r="H68" s="397" t="s">
        <v>579</v>
      </c>
      <c r="I68" s="397" t="s">
        <v>579</v>
      </c>
      <c r="J68" s="494" t="str">
        <f>FHD_NOTE_P_32</f>
        <v/>
      </c>
      <c r="K68" s="57" t="str">
        <f t="shared" si="47"/>
        <v/>
      </c>
      <c r="L68" s="57">
        <f>_xlfn.IFERROR(MATCH("есть",B_FHD_FLAG_INDEX_2,0),0)</f>
        <v>0</v>
      </c>
      <c r="M68" s="57"/>
      <c r="R68" s="57"/>
      <c r="U68" s="716"/>
      <c r="AA68" s="56"/>
      <c r="AB68" s="56"/>
      <c r="AC68" s="56"/>
      <c r="AD68" s="56"/>
      <c r="AE68" s="56"/>
      <c r="AF68" s="53">
        <v>45</v>
      </c>
    </row>
    <row r="69" s="53" customFormat="1" ht="11.5" customHeight="1">
      <c r="A69" s="715"/>
      <c r="C69" s="57"/>
      <c r="D69" s="125"/>
      <c r="E69" s="717" t="str">
        <f>FHD_NUM_P_33</f>
        <v>2.13</v>
      </c>
      <c r="F69" s="682" t="str">
        <f>FHD_P_33</f>
        <v xml:space="preserve">Прочие расходы, которые подлежат отнесению на регулируемые виды деятельности в соответствии с законодательством Российской Федерации</v>
      </c>
      <c r="G69" s="320" t="s">
        <v>556</v>
      </c>
      <c r="H69" s="760">
        <f>SUM(H70:H71)</f>
        <v>0</v>
      </c>
      <c r="I69" s="760">
        <f>SUM(I70:I71)</f>
        <v>0</v>
      </c>
      <c r="J69" s="494" t="str">
        <f>FHD_NOTE_P_33</f>
        <v xml:space="preserve">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57" t="str">
        <f t="shared" si="47"/>
        <v>p</v>
      </c>
      <c r="L69" s="57"/>
      <c r="M69" s="57"/>
      <c r="R69" s="57"/>
      <c r="U69" s="716"/>
      <c r="AA69" s="56"/>
      <c r="AB69" s="56"/>
      <c r="AC69" s="56"/>
      <c r="AD69" s="56"/>
      <c r="AE69" s="56"/>
      <c r="AF69" s="53">
        <v>11</v>
      </c>
    </row>
    <row r="70" s="57" customFormat="1" ht="1.05" customHeight="1">
      <c r="A70" s="540"/>
      <c r="D70" s="540"/>
      <c r="E70" s="158" t="str">
        <f>E69&amp;".0"</f>
        <v>2.13.0</v>
      </c>
      <c r="F70" s="761"/>
      <c r="G70" s="158"/>
      <c r="H70" s="762"/>
      <c r="I70" s="762"/>
      <c r="J70" s="763"/>
      <c r="K70" s="57" t="str">
        <f t="shared" si="47"/>
        <v/>
      </c>
      <c r="AF70" s="57">
        <v>1</v>
      </c>
    </row>
    <row r="71" s="53" customFormat="1" ht="14.65" customHeight="1">
      <c r="A71" s="715"/>
      <c r="C71" s="57"/>
      <c r="D71" s="128"/>
      <c r="E71" s="750"/>
      <c r="F71" s="235" t="s">
        <v>581</v>
      </c>
      <c r="G71" s="751"/>
      <c r="H71" s="752"/>
      <c r="I71" s="752"/>
      <c r="J71" s="558"/>
      <c r="K71" s="57"/>
      <c r="L71" s="57"/>
      <c r="M71" s="57"/>
      <c r="R71" s="57"/>
      <c r="U71" s="716"/>
      <c r="AA71" s="56"/>
      <c r="AB71" s="56"/>
      <c r="AC71" s="56"/>
      <c r="AD71" s="56"/>
      <c r="AE71" s="56"/>
      <c r="AF71" s="53">
        <v>14</v>
      </c>
    </row>
    <row r="72" s="53" customFormat="1" ht="18.75" customHeight="1">
      <c r="A72" s="755" t="s">
        <v>582</v>
      </c>
      <c r="C72" s="57"/>
      <c r="D72" s="125"/>
      <c r="E72" s="717" t="str">
        <f>FHD_NUM_P_34</f>
        <v>3</v>
      </c>
      <c r="F72" s="326" t="str">
        <f>FHD_P_34</f>
        <v xml:space="preserve">Валовая прибыль (убытки) от реализации товаров и оказания услуг по регулируемому виду деятельности</v>
      </c>
      <c r="G72" s="157" t="s">
        <v>556</v>
      </c>
      <c r="H72" s="737"/>
      <c r="I72" s="737"/>
      <c r="J72" s="494" t="str">
        <f>FHD_NOTE_P_34</f>
        <v/>
      </c>
      <c r="K72" s="719"/>
      <c r="L72" s="57"/>
      <c r="M72" s="57"/>
      <c r="R72" s="57"/>
      <c r="U72" s="716"/>
      <c r="AA72" s="56"/>
      <c r="AB72" s="56"/>
      <c r="AC72" s="56"/>
      <c r="AD72" s="56"/>
      <c r="AE72" s="56"/>
      <c r="AF72" s="53">
        <v>0</v>
      </c>
    </row>
    <row r="73" s="53" customFormat="1" ht="19.949999999999999" customHeight="1">
      <c r="A73" s="715"/>
      <c r="C73" s="57"/>
      <c r="D73" s="756"/>
      <c r="E73" s="717" t="str">
        <f>FHD_NUM_P_35</f>
        <v>4</v>
      </c>
      <c r="F73" s="326" t="str">
        <f>FHD_P_35</f>
        <v xml:space="preserve">Чистая прибыль, полученная от регулируемого вида деятельности, в том числе:</v>
      </c>
      <c r="G73" s="157" t="s">
        <v>556</v>
      </c>
      <c r="H73" s="737"/>
      <c r="I73" s="737"/>
      <c r="J73" s="494" t="str">
        <f>FHD_NOTE_P_35</f>
        <v xml:space="preserve">Указывается общая сумма чистой прибыли, полученной от регулируемого вида деятельности.</v>
      </c>
      <c r="K73" s="719"/>
      <c r="L73" s="57"/>
      <c r="M73" s="57"/>
      <c r="R73" s="57"/>
      <c r="U73" s="716"/>
      <c r="AA73" s="56"/>
      <c r="AB73" s="56"/>
      <c r="AC73" s="56"/>
      <c r="AD73" s="56"/>
      <c r="AE73" s="56"/>
      <c r="AF73" s="53">
        <v>19</v>
      </c>
    </row>
    <row r="74" s="53" customFormat="1" ht="19.949999999999999" customHeight="1">
      <c r="A74" s="715"/>
      <c r="C74" s="57"/>
      <c r="D74" s="125"/>
      <c r="E74" s="717" t="str">
        <f>FHD_NUM_P_36</f>
        <v>4.1</v>
      </c>
      <c r="F74" s="682" t="str">
        <f>FHD_P_36</f>
        <v xml:space="preserve">Размер расходования чистой прибыли на финансирование мероприятий, предусмотренных инвестиционной программой регулируемой организации</v>
      </c>
      <c r="G74" s="157" t="s">
        <v>556</v>
      </c>
      <c r="H74" s="737"/>
      <c r="I74" s="737"/>
      <c r="J74" s="494" t="str">
        <f>FHD_NOTE_P_36</f>
        <v/>
      </c>
      <c r="K74" s="719"/>
      <c r="L74" s="57"/>
      <c r="M74" s="57"/>
      <c r="R74" s="57"/>
      <c r="U74" s="716"/>
      <c r="AA74" s="56"/>
      <c r="AB74" s="56"/>
      <c r="AC74" s="56"/>
      <c r="AD74" s="56"/>
      <c r="AE74" s="56"/>
      <c r="AF74" s="53">
        <v>19</v>
      </c>
    </row>
    <row r="75" s="53" customFormat="1" ht="19.949999999999999" customHeight="1">
      <c r="A75" s="715"/>
      <c r="C75" s="57"/>
      <c r="D75" s="125"/>
      <c r="E75" s="717" t="str">
        <f>FHD_NUM_P_37</f>
        <v>5</v>
      </c>
      <c r="F75" s="326" t="str">
        <f>FHD_P_37</f>
        <v xml:space="preserve">Изменение стоимости основных фондов, в том числе:</v>
      </c>
      <c r="G75" s="157" t="s">
        <v>556</v>
      </c>
      <c r="H75" s="737"/>
      <c r="I75" s="737"/>
      <c r="J75" s="494" t="str">
        <f>FHD_NOTE_P_37</f>
        <v xml:space="preserve">Указывается общее изменение стоимости основных фондов.</v>
      </c>
      <c r="K75" s="719"/>
      <c r="L75" s="57"/>
      <c r="M75" s="57"/>
      <c r="R75" s="57"/>
      <c r="U75" s="716"/>
      <c r="AA75" s="56"/>
      <c r="AB75" s="56"/>
      <c r="AC75" s="56"/>
      <c r="AD75" s="56"/>
      <c r="AE75" s="56"/>
      <c r="AF75" s="53">
        <v>19</v>
      </c>
    </row>
    <row r="76" s="53" customFormat="1" ht="19.949999999999999" customHeight="1">
      <c r="A76" s="715"/>
      <c r="C76" s="57"/>
      <c r="D76" s="125"/>
      <c r="E76" s="717" t="str">
        <f>FHD_NUM_P_38</f>
        <v>5.1</v>
      </c>
      <c r="F76" s="682" t="str">
        <f>FHD_P_38</f>
        <v xml:space="preserve">Изменение стоимости основных фондов за счет:</v>
      </c>
      <c r="G76" s="157" t="s">
        <v>556</v>
      </c>
      <c r="H76" s="737"/>
      <c r="I76" s="737"/>
      <c r="J76" s="494" t="str">
        <f>FHD_NOTE_P_38</f>
        <v xml:space="preserve">Указываются общее изменение стоимости основных фондов за счет их ввода в эксплуатацию и вывода из эксплуатации.</v>
      </c>
      <c r="K76" s="719"/>
      <c r="L76" s="57"/>
      <c r="M76" s="57"/>
      <c r="R76" s="57"/>
      <c r="U76" s="716"/>
      <c r="AA76" s="56"/>
      <c r="AB76" s="56"/>
      <c r="AC76" s="56"/>
      <c r="AD76" s="56"/>
      <c r="AE76" s="56"/>
      <c r="AF76" s="53">
        <v>19</v>
      </c>
    </row>
    <row r="77" s="53" customFormat="1" ht="19.949999999999999" customHeight="1">
      <c r="A77" s="715"/>
      <c r="C77" s="57"/>
      <c r="D77" s="125"/>
      <c r="E77" s="717" t="str">
        <f>FHD_NUM_P_39</f>
        <v>5.1.1</v>
      </c>
      <c r="F77" s="753" t="str">
        <f>FHD_P_39</f>
        <v xml:space="preserve">Изменения стоимости основных фондов за счет их ввода в эксплуатацию</v>
      </c>
      <c r="G77" s="320" t="s">
        <v>556</v>
      </c>
      <c r="H77" s="737"/>
      <c r="I77" s="737"/>
      <c r="J77" s="494" t="str">
        <f>FHD_NOTE_P_39</f>
        <v xml:space="preserve">Указываются изменение стоимости основных фондов за счет их ввода в эксплуатацию.</v>
      </c>
      <c r="K77" s="719"/>
      <c r="L77" s="57"/>
      <c r="M77" s="57"/>
      <c r="R77" s="57"/>
      <c r="U77" s="716"/>
      <c r="AA77" s="56"/>
      <c r="AB77" s="56"/>
      <c r="AC77" s="56"/>
      <c r="AD77" s="56"/>
      <c r="AE77" s="56"/>
      <c r="AF77" s="53">
        <v>19</v>
      </c>
    </row>
    <row r="78" s="53" customFormat="1" ht="19.949999999999999" customHeight="1">
      <c r="A78" s="715"/>
      <c r="C78" s="57"/>
      <c r="D78" s="125"/>
      <c r="E78" s="717" t="str">
        <f>FHD_NUM_P_40</f>
        <v>5.1.2</v>
      </c>
      <c r="F78" s="764" t="str">
        <f>FHD_P_40</f>
        <v xml:space="preserve">Изменения стоимости основных фондов за счет их вывода в эксплуатацию</v>
      </c>
      <c r="G78" s="157" t="s">
        <v>556</v>
      </c>
      <c r="H78" s="765"/>
      <c r="I78" s="737"/>
      <c r="J78" s="494" t="str">
        <f>FHD_NOTE_P_40</f>
        <v xml:space="preserve">Указываются изменение стоимости основных фондов за счет их вывода из эксплуатации.</v>
      </c>
      <c r="K78" s="719"/>
      <c r="L78" s="57"/>
      <c r="M78" s="57"/>
      <c r="R78" s="57"/>
      <c r="U78" s="716"/>
      <c r="AA78" s="56"/>
      <c r="AB78" s="56"/>
      <c r="AC78" s="56"/>
      <c r="AD78" s="56"/>
      <c r="AE78" s="56"/>
      <c r="AF78" s="53">
        <v>19</v>
      </c>
    </row>
    <row r="79" s="53" customFormat="1" ht="19.949999999999999" customHeight="1">
      <c r="A79" s="715"/>
      <c r="C79" s="57"/>
      <c r="D79" s="125"/>
      <c r="E79" s="717" t="str">
        <f>FHD_NUM_P_41</f>
        <v>5.2</v>
      </c>
      <c r="F79" s="766" t="str">
        <f>FHD_P_41</f>
        <v xml:space="preserve">Изменение стоимости основных фондов за счет их переоценки</v>
      </c>
      <c r="G79" s="157" t="s">
        <v>556</v>
      </c>
      <c r="H79" s="765"/>
      <c r="I79" s="737"/>
      <c r="J79" s="494" t="str">
        <f>FHD_NOTE_P_41</f>
        <v/>
      </c>
      <c r="K79" s="719"/>
      <c r="L79" s="57"/>
      <c r="M79" s="57"/>
      <c r="R79" s="57"/>
      <c r="U79" s="716"/>
      <c r="AA79" s="56"/>
      <c r="AB79" s="56"/>
      <c r="AC79" s="56"/>
      <c r="AD79" s="56"/>
      <c r="AE79" s="56"/>
      <c r="AF79" s="53">
        <v>19</v>
      </c>
    </row>
    <row r="80" s="53" customFormat="1" ht="20.25" hidden="1" customHeight="1">
      <c r="A80" s="755" t="s">
        <v>583</v>
      </c>
      <c r="C80" s="57"/>
      <c r="D80" s="125"/>
      <c r="E80" s="717" t="str">
        <f>FHD_NUM_P_42</f>
        <v/>
      </c>
      <c r="F80" s="343" t="str">
        <f>FHD_P_42</f>
        <v/>
      </c>
      <c r="G80" s="157" t="s">
        <v>556</v>
      </c>
      <c r="H80" s="765"/>
      <c r="I80" s="737"/>
      <c r="J80" s="494" t="str">
        <f>FHD_NOTE_P_42</f>
        <v/>
      </c>
      <c r="K80" s="719"/>
      <c r="L80" s="57"/>
      <c r="M80" s="57"/>
      <c r="R80" s="57"/>
      <c r="U80" s="716"/>
      <c r="AA80" s="56"/>
      <c r="AB80" s="56"/>
      <c r="AC80" s="56"/>
      <c r="AD80" s="56"/>
      <c r="AE80" s="56"/>
      <c r="AF80" s="53">
        <v>19</v>
      </c>
    </row>
    <row r="81" s="53" customFormat="1" ht="19.949999999999999" customHeight="1">
      <c r="A81" s="715"/>
      <c r="C81" s="57"/>
      <c r="D81" s="125"/>
      <c r="E81" s="717" t="str">
        <f>FHD_NUM_P_43</f>
        <v>6</v>
      </c>
      <c r="F81" s="326" t="str">
        <f>FHD_P_43</f>
        <v xml:space="preserve">Годовая бухгалтерская (финансовая) отчетность, включая бухгалтерский баланс и приложения к нему</v>
      </c>
      <c r="G81" s="162" t="s">
        <v>311</v>
      </c>
      <c r="H81" s="767"/>
      <c r="I81" s="768"/>
      <c r="J81" s="494" t="str">
        <f>FHD_NOTE_P_43</f>
        <v xml:space="preserve">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719"/>
      <c r="L81" s="57"/>
      <c r="M81" s="57"/>
      <c r="R81" s="57"/>
      <c r="U81" s="716"/>
      <c r="AA81" s="56"/>
      <c r="AB81" s="56"/>
      <c r="AC81" s="56"/>
      <c r="AD81" s="56"/>
      <c r="AE81" s="56"/>
      <c r="AF81" s="53">
        <v>19</v>
      </c>
    </row>
    <row r="82" s="53" customFormat="1" ht="18.75" hidden="1" customHeight="1">
      <c r="A82" s="739" t="s">
        <v>584</v>
      </c>
      <c r="C82" s="57"/>
      <c r="D82" s="125"/>
      <c r="E82" s="717" t="str">
        <f>FHD_NUM_P_44</f>
        <v/>
      </c>
      <c r="F82" s="326" t="str">
        <f>FHD_P_44</f>
        <v/>
      </c>
      <c r="G82" s="157" t="s">
        <v>585</v>
      </c>
      <c r="H82" s="769"/>
      <c r="I82" s="757"/>
      <c r="J82" s="494" t="str">
        <f>FHD_NOTE_P_44</f>
        <v/>
      </c>
      <c r="K82" s="719"/>
      <c r="L82" s="57"/>
      <c r="M82" s="57"/>
      <c r="R82" s="57"/>
      <c r="U82" s="716"/>
      <c r="AA82" s="56"/>
      <c r="AB82" s="56"/>
      <c r="AC82" s="56"/>
      <c r="AD82" s="56"/>
      <c r="AE82" s="56"/>
      <c r="AF82" s="53">
        <v>0</v>
      </c>
    </row>
    <row r="83" s="53" customFormat="1" ht="18.75" hidden="1" customHeight="1">
      <c r="A83" s="739"/>
      <c r="C83" s="57"/>
      <c r="D83" s="125"/>
      <c r="E83" s="717" t="str">
        <f>FHD_NUM_P_45</f>
        <v/>
      </c>
      <c r="F83" s="326" t="str">
        <f>FHD_P_45</f>
        <v/>
      </c>
      <c r="G83" s="157" t="s">
        <v>585</v>
      </c>
      <c r="H83" s="769"/>
      <c r="I83" s="757"/>
      <c r="J83" s="494" t="str">
        <f>FHD_NOTE_P_45</f>
        <v/>
      </c>
      <c r="K83" s="719"/>
      <c r="L83" s="57"/>
      <c r="M83" s="57"/>
      <c r="R83" s="57"/>
      <c r="U83" s="716"/>
      <c r="AA83" s="56"/>
      <c r="AB83" s="56"/>
      <c r="AC83" s="56"/>
      <c r="AD83" s="56"/>
      <c r="AE83" s="56"/>
      <c r="AF83" s="53">
        <v>0</v>
      </c>
    </row>
    <row r="84" s="53" customFormat="1" ht="18.75" hidden="1" customHeight="1">
      <c r="A84" s="739"/>
      <c r="C84" s="57"/>
      <c r="D84" s="756"/>
      <c r="E84" s="717" t="str">
        <f>FHD_NUM_P_46</f>
        <v/>
      </c>
      <c r="F84" s="326" t="str">
        <f>FHD_P_46</f>
        <v/>
      </c>
      <c r="G84" s="157" t="s">
        <v>585</v>
      </c>
      <c r="H84" s="769"/>
      <c r="I84" s="757"/>
      <c r="J84" s="494" t="str">
        <f>FHD_NOTE_P_46</f>
        <v/>
      </c>
      <c r="K84" s="719"/>
      <c r="L84" s="57"/>
      <c r="M84" s="57"/>
      <c r="R84" s="57"/>
      <c r="U84" s="716"/>
      <c r="AA84" s="56"/>
      <c r="AB84" s="56"/>
      <c r="AC84" s="56"/>
      <c r="AD84" s="56"/>
      <c r="AE84" s="56"/>
      <c r="AF84" s="53">
        <v>0</v>
      </c>
    </row>
    <row r="85" s="53" customFormat="1" ht="18.75" hidden="1" customHeight="1">
      <c r="A85" s="739"/>
      <c r="C85" s="57"/>
      <c r="D85" s="125"/>
      <c r="E85" s="717" t="str">
        <f>FHD_NUM_P_47</f>
        <v/>
      </c>
      <c r="F85" s="326" t="str">
        <f>FHD_P_47</f>
        <v/>
      </c>
      <c r="G85" s="157" t="s">
        <v>585</v>
      </c>
      <c r="H85" s="769"/>
      <c r="I85" s="757"/>
      <c r="J85" s="494" t="str">
        <f>FHD_NOTE_P_47</f>
        <v/>
      </c>
      <c r="K85" s="719"/>
      <c r="L85" s="57"/>
      <c r="M85" s="57"/>
      <c r="R85" s="57"/>
      <c r="U85" s="716"/>
      <c r="AA85" s="56"/>
      <c r="AB85" s="56"/>
      <c r="AC85" s="56"/>
      <c r="AD85" s="56"/>
      <c r="AE85" s="56"/>
      <c r="AF85" s="53">
        <v>0</v>
      </c>
    </row>
    <row r="86" s="50" customFormat="1" ht="18.75" hidden="1" customHeight="1">
      <c r="A86" s="739"/>
      <c r="B86" s="53"/>
      <c r="C86" s="57"/>
      <c r="D86" s="125"/>
      <c r="E86" s="717" t="str">
        <f>FHD_NUM_P_48</f>
        <v/>
      </c>
      <c r="F86" s="326" t="str">
        <f>FHD_P_48</f>
        <v/>
      </c>
      <c r="G86" s="157" t="s">
        <v>585</v>
      </c>
      <c r="H86" s="769"/>
      <c r="I86" s="757"/>
      <c r="J86" s="494" t="str">
        <f>FHD_NOTE_P_48</f>
        <v/>
      </c>
      <c r="K86" s="719"/>
      <c r="L86" s="57"/>
      <c r="M86" s="57"/>
      <c r="N86" s="53"/>
      <c r="O86" s="53"/>
      <c r="P86" s="53"/>
      <c r="Q86" s="53"/>
      <c r="R86" s="57"/>
      <c r="S86" s="53"/>
      <c r="T86" s="53"/>
      <c r="U86" s="716"/>
      <c r="V86" s="53"/>
      <c r="W86" s="53"/>
      <c r="X86" s="53"/>
      <c r="Y86" s="53"/>
      <c r="Z86" s="53"/>
      <c r="AA86" s="56"/>
      <c r="AB86" s="56"/>
      <c r="AC86" s="56"/>
      <c r="AD86" s="56"/>
      <c r="AE86" s="56"/>
      <c r="AF86" s="50">
        <v>0</v>
      </c>
    </row>
    <row r="87" s="50" customFormat="1" ht="18.75" hidden="1" customHeight="1">
      <c r="A87" s="739"/>
      <c r="B87" s="53"/>
      <c r="C87" s="57"/>
      <c r="D87" s="125"/>
      <c r="E87" s="717" t="str">
        <f>FHD_NUM_P_49</f>
        <v/>
      </c>
      <c r="F87" s="326" t="str">
        <f>FHD_P_49</f>
        <v/>
      </c>
      <c r="G87" s="157" t="s">
        <v>585</v>
      </c>
      <c r="H87" s="770">
        <f>SUM(H88:H89)</f>
        <v>0</v>
      </c>
      <c r="I87" s="771">
        <f>SUM(I88:I89)</f>
        <v>0</v>
      </c>
      <c r="J87" s="494" t="str">
        <f>FHD_NOTE_P_49</f>
        <v/>
      </c>
      <c r="K87" s="719"/>
      <c r="L87" s="57"/>
      <c r="M87" s="57"/>
      <c r="N87" s="53"/>
      <c r="O87" s="53"/>
      <c r="P87" s="53"/>
      <c r="Q87" s="53"/>
      <c r="R87" s="57"/>
      <c r="S87" s="53"/>
      <c r="T87" s="53"/>
      <c r="U87" s="716"/>
      <c r="V87" s="53"/>
      <c r="W87" s="53"/>
      <c r="X87" s="53"/>
      <c r="Y87" s="53"/>
      <c r="Z87" s="53"/>
      <c r="AA87" s="56"/>
      <c r="AB87" s="56"/>
      <c r="AC87" s="56"/>
      <c r="AD87" s="56"/>
      <c r="AE87" s="56"/>
      <c r="AF87" s="50">
        <v>0</v>
      </c>
    </row>
    <row r="88" s="50" customFormat="1" ht="18.75" hidden="1" customHeight="1">
      <c r="A88" s="739"/>
      <c r="B88" s="53"/>
      <c r="C88" s="57"/>
      <c r="D88" s="125"/>
      <c r="E88" s="717" t="str">
        <f>FHD_NUM_P_50</f>
        <v/>
      </c>
      <c r="F88" s="326" t="str">
        <f>FHD_P_50</f>
        <v/>
      </c>
      <c r="G88" s="157" t="s">
        <v>585</v>
      </c>
      <c r="H88" s="769"/>
      <c r="I88" s="757"/>
      <c r="J88" s="494" t="str">
        <f>FHD_NOTE_P_50</f>
        <v/>
      </c>
      <c r="K88" s="719"/>
      <c r="L88" s="57"/>
      <c r="M88" s="57"/>
      <c r="N88" s="53"/>
      <c r="O88" s="53"/>
      <c r="P88" s="53"/>
      <c r="Q88" s="53"/>
      <c r="R88" s="57"/>
      <c r="S88" s="53"/>
      <c r="T88" s="53"/>
      <c r="U88" s="716"/>
      <c r="V88" s="53"/>
      <c r="W88" s="53"/>
      <c r="X88" s="53"/>
      <c r="Y88" s="53"/>
      <c r="Z88" s="53"/>
      <c r="AA88" s="56"/>
      <c r="AB88" s="56"/>
      <c r="AC88" s="56"/>
      <c r="AD88" s="56"/>
      <c r="AE88" s="56"/>
      <c r="AF88" s="50">
        <v>0</v>
      </c>
    </row>
    <row r="89" s="50" customFormat="1" ht="18.75" hidden="1" customHeight="1">
      <c r="A89" s="739"/>
      <c r="B89" s="53"/>
      <c r="C89" s="57"/>
      <c r="D89" s="125"/>
      <c r="E89" s="717" t="str">
        <f>FHD_NUM_P_51</f>
        <v/>
      </c>
      <c r="F89" s="326" t="str">
        <f>FHD_P_51</f>
        <v/>
      </c>
      <c r="G89" s="157" t="s">
        <v>585</v>
      </c>
      <c r="H89" s="769"/>
      <c r="I89" s="757"/>
      <c r="J89" s="494" t="str">
        <f>FHD_NOTE_P_51</f>
        <v/>
      </c>
      <c r="K89" s="719"/>
      <c r="L89" s="57"/>
      <c r="M89" s="57"/>
      <c r="N89" s="53"/>
      <c r="O89" s="53"/>
      <c r="P89" s="53"/>
      <c r="Q89" s="53"/>
      <c r="R89" s="57"/>
      <c r="S89" s="53"/>
      <c r="T89" s="53"/>
      <c r="U89" s="716"/>
      <c r="V89" s="53"/>
      <c r="W89" s="53"/>
      <c r="X89" s="53"/>
      <c r="Y89" s="53"/>
      <c r="Z89" s="53"/>
      <c r="AA89" s="56"/>
      <c r="AB89" s="56"/>
      <c r="AC89" s="56"/>
      <c r="AD89" s="56"/>
      <c r="AE89" s="56"/>
      <c r="AF89" s="50">
        <v>0</v>
      </c>
    </row>
    <row r="90" s="50" customFormat="1" ht="18.75" hidden="1" customHeight="1">
      <c r="A90" s="739"/>
      <c r="B90" s="53"/>
      <c r="C90" s="57"/>
      <c r="D90" s="125"/>
      <c r="E90" s="717" t="str">
        <f>FHD_NUM_P_52</f>
        <v/>
      </c>
      <c r="F90" s="326" t="str">
        <f>FHD_P_52</f>
        <v/>
      </c>
      <c r="G90" s="157" t="s">
        <v>562</v>
      </c>
      <c r="H90" s="765"/>
      <c r="I90" s="737"/>
      <c r="J90" s="494" t="str">
        <f>FHD_NOTE_P_52</f>
        <v/>
      </c>
      <c r="K90" s="719"/>
      <c r="L90" s="57"/>
      <c r="M90" s="57"/>
      <c r="N90" s="53"/>
      <c r="O90" s="53"/>
      <c r="P90" s="53"/>
      <c r="Q90" s="53"/>
      <c r="R90" s="57"/>
      <c r="S90" s="53"/>
      <c r="T90" s="53"/>
      <c r="U90" s="716"/>
      <c r="V90" s="53"/>
      <c r="W90" s="53"/>
      <c r="X90" s="53"/>
      <c r="Y90" s="53"/>
      <c r="Z90" s="53"/>
      <c r="AA90" s="56"/>
      <c r="AB90" s="56"/>
      <c r="AC90" s="56"/>
      <c r="AD90" s="56"/>
      <c r="AE90" s="56"/>
      <c r="AF90" s="50">
        <v>0</v>
      </c>
    </row>
    <row r="91" s="53" customFormat="1" ht="18.75" hidden="1" customHeight="1">
      <c r="A91" s="739" t="s">
        <v>586</v>
      </c>
      <c r="C91" s="57"/>
      <c r="D91" s="125"/>
      <c r="E91" s="717" t="str">
        <f>FHD_NUM_P_53</f>
        <v/>
      </c>
      <c r="F91" s="326" t="str">
        <f>FHD_P_53</f>
        <v/>
      </c>
      <c r="G91" s="157" t="s">
        <v>585</v>
      </c>
      <c r="H91" s="769"/>
      <c r="I91" s="757"/>
      <c r="J91" s="494" t="str">
        <f>FHD_NOTE_P_53</f>
        <v/>
      </c>
      <c r="K91" s="719"/>
      <c r="L91" s="57"/>
      <c r="M91" s="57"/>
      <c r="R91" s="57"/>
      <c r="U91" s="716"/>
      <c r="AA91" s="56"/>
      <c r="AB91" s="56"/>
      <c r="AC91" s="56"/>
      <c r="AD91" s="56"/>
      <c r="AE91" s="56"/>
      <c r="AF91" s="53">
        <v>0</v>
      </c>
    </row>
    <row r="92" s="53" customFormat="1" ht="18.75" hidden="1" customHeight="1">
      <c r="A92" s="739"/>
      <c r="C92" s="57"/>
      <c r="D92" s="125"/>
      <c r="E92" s="717" t="str">
        <f>FHD_NUM_P_54</f>
        <v/>
      </c>
      <c r="F92" s="326" t="str">
        <f>FHD_P_54</f>
        <v/>
      </c>
      <c r="G92" s="157" t="s">
        <v>585</v>
      </c>
      <c r="H92" s="769"/>
      <c r="I92" s="757"/>
      <c r="J92" s="494" t="str">
        <f>FHD_NOTE_P_54</f>
        <v/>
      </c>
      <c r="K92" s="719"/>
      <c r="L92" s="57"/>
      <c r="M92" s="57"/>
      <c r="R92" s="57"/>
      <c r="U92" s="716"/>
      <c r="AA92" s="56"/>
      <c r="AB92" s="56"/>
      <c r="AC92" s="56"/>
      <c r="AD92" s="56"/>
      <c r="AE92" s="56"/>
      <c r="AF92" s="53">
        <v>0</v>
      </c>
    </row>
    <row r="93" s="53" customFormat="1" ht="18.75" hidden="1" customHeight="1">
      <c r="A93" s="739"/>
      <c r="C93" s="57"/>
      <c r="D93" s="756"/>
      <c r="E93" s="717" t="str">
        <f>FHD_NUM_P_55</f>
        <v/>
      </c>
      <c r="F93" s="326" t="str">
        <f>FHD_P_55</f>
        <v/>
      </c>
      <c r="G93" s="677"/>
      <c r="H93" s="769"/>
      <c r="I93" s="757"/>
      <c r="J93" s="494" t="str">
        <f>FHD_NOTE_P_55</f>
        <v/>
      </c>
      <c r="K93" s="719"/>
      <c r="L93" s="57"/>
      <c r="M93" s="57"/>
      <c r="R93" s="57"/>
      <c r="U93" s="716"/>
      <c r="AA93" s="56"/>
      <c r="AB93" s="56"/>
      <c r="AC93" s="56"/>
      <c r="AD93" s="56"/>
      <c r="AE93" s="56"/>
      <c r="AF93" s="53">
        <v>0</v>
      </c>
    </row>
    <row r="94" s="53" customFormat="1" ht="18.75" hidden="1" customHeight="1">
      <c r="A94" s="739"/>
      <c r="C94" s="57"/>
      <c r="D94" s="125"/>
      <c r="E94" s="717" t="str">
        <f>FHD_NUM_P_56</f>
        <v/>
      </c>
      <c r="F94" s="326" t="str">
        <f>FHD_P_56</f>
        <v/>
      </c>
      <c r="G94" s="157" t="s">
        <v>587</v>
      </c>
      <c r="H94" s="769"/>
      <c r="I94" s="757"/>
      <c r="J94" s="494" t="str">
        <f>FHD_NOTE_P_56</f>
        <v/>
      </c>
      <c r="K94" s="719"/>
      <c r="L94" s="57"/>
      <c r="M94" s="57"/>
      <c r="R94" s="57"/>
      <c r="U94" s="716"/>
      <c r="AA94" s="56"/>
      <c r="AB94" s="56"/>
      <c r="AC94" s="56"/>
      <c r="AD94" s="56"/>
      <c r="AE94" s="56"/>
      <c r="AF94" s="53">
        <v>0</v>
      </c>
    </row>
    <row r="95" s="50" customFormat="1" ht="18.75" hidden="1" customHeight="1">
      <c r="A95" s="739"/>
      <c r="B95" s="53"/>
      <c r="C95" s="57"/>
      <c r="D95" s="125"/>
      <c r="E95" s="717" t="str">
        <f>FHD_NUM_P_57</f>
        <v/>
      </c>
      <c r="F95" s="326" t="str">
        <f>FHD_P_57</f>
        <v/>
      </c>
      <c r="G95" s="157" t="s">
        <v>562</v>
      </c>
      <c r="H95" s="765"/>
      <c r="I95" s="737"/>
      <c r="J95" s="494" t="str">
        <f>FHD_NOTE_P_57</f>
        <v/>
      </c>
      <c r="K95" s="719"/>
      <c r="L95" s="57"/>
      <c r="M95" s="57"/>
      <c r="N95" s="53"/>
      <c r="O95" s="53"/>
      <c r="P95" s="53"/>
      <c r="Q95" s="53"/>
      <c r="R95" s="57"/>
      <c r="S95" s="53"/>
      <c r="T95" s="53"/>
      <c r="U95" s="716"/>
      <c r="V95" s="53"/>
      <c r="W95" s="53"/>
      <c r="X95" s="53"/>
      <c r="Y95" s="53"/>
      <c r="Z95" s="53"/>
      <c r="AA95" s="56"/>
      <c r="AB95" s="56"/>
      <c r="AC95" s="56"/>
      <c r="AD95" s="56"/>
      <c r="AE95" s="56"/>
      <c r="AF95" s="50">
        <v>0</v>
      </c>
    </row>
    <row r="96" ht="18.75" hidden="1" customHeight="1">
      <c r="A96" s="739" t="s">
        <v>588</v>
      </c>
      <c r="D96" s="125"/>
      <c r="E96" s="717" t="str">
        <f>FHD_NUM_P_58</f>
        <v/>
      </c>
      <c r="F96" s="326" t="str">
        <f>FHD_P_58</f>
        <v/>
      </c>
      <c r="G96" s="157" t="s">
        <v>585</v>
      </c>
      <c r="H96" s="769"/>
      <c r="I96" s="757"/>
      <c r="J96" s="494" t="str">
        <f>FHD_NOTE_P_58</f>
        <v/>
      </c>
      <c r="K96" s="719"/>
      <c r="AF96" s="50">
        <v>0</v>
      </c>
    </row>
    <row r="97" ht="18.75" hidden="1" customHeight="1">
      <c r="A97" s="739"/>
      <c r="D97" s="125"/>
      <c r="E97" s="717" t="str">
        <f>FHD_NUM_P_59</f>
        <v/>
      </c>
      <c r="F97" s="326" t="str">
        <f>FHD_P_59</f>
        <v/>
      </c>
      <c r="G97" s="157" t="s">
        <v>585</v>
      </c>
      <c r="H97" s="769"/>
      <c r="I97" s="757"/>
      <c r="J97" s="494" t="str">
        <f>FHD_NOTE_P_59</f>
        <v/>
      </c>
      <c r="K97" s="719"/>
      <c r="AF97" s="50">
        <v>0</v>
      </c>
    </row>
    <row r="98" ht="18.75" hidden="1" customHeight="1">
      <c r="A98" s="739"/>
      <c r="D98" s="125"/>
      <c r="E98" s="717" t="str">
        <f>FHD_NUM_P_60</f>
        <v/>
      </c>
      <c r="F98" s="326" t="str">
        <f>FHD_P_60</f>
        <v/>
      </c>
      <c r="G98" s="157" t="s">
        <v>585</v>
      </c>
      <c r="H98" s="769"/>
      <c r="I98" s="757"/>
      <c r="J98" s="494" t="str">
        <f>FHD_NOTE_P_60</f>
        <v/>
      </c>
      <c r="K98" s="719"/>
      <c r="AF98" s="50">
        <v>0</v>
      </c>
    </row>
    <row r="99" s="53" customFormat="1" ht="18.75" customHeight="1">
      <c r="A99" s="739" t="s">
        <v>589</v>
      </c>
      <c r="C99" s="57"/>
      <c r="D99" s="125"/>
      <c r="E99" s="717" t="str">
        <f>FHD_NUM_P_61</f>
        <v>7</v>
      </c>
      <c r="F99" s="326" t="str">
        <f>FHD_P_61</f>
        <v xml:space="preserve">Установленная тепловая мощность объектов основных фондов, используемых для теплоснабжения, в том числе по каждому источнику тепловой энергии</v>
      </c>
      <c r="G99" s="157" t="s">
        <v>560</v>
      </c>
      <c r="H99" s="772"/>
      <c r="I99" s="773"/>
      <c r="J99" s="494" t="str">
        <f>FHD_NOTE_P_61</f>
        <v xml:space="preserve">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719"/>
      <c r="L99" s="57"/>
      <c r="M99" s="57"/>
      <c r="R99" s="57"/>
      <c r="U99" s="716"/>
      <c r="AA99" s="56"/>
      <c r="AB99" s="56"/>
      <c r="AC99" s="56"/>
      <c r="AD99" s="56"/>
      <c r="AE99" s="56"/>
      <c r="AF99" s="53">
        <v>0</v>
      </c>
    </row>
    <row r="100" s="57" customFormat="1" ht="0.75" customHeight="1">
      <c r="A100" s="739"/>
      <c r="D100" s="540"/>
      <c r="E100" s="158" t="str">
        <f>E99&amp;".0"</f>
        <v>7.0</v>
      </c>
      <c r="F100" s="774"/>
      <c r="G100" s="775"/>
      <c r="H100" s="762"/>
      <c r="I100" s="762"/>
      <c r="J100" s="776"/>
      <c r="AF100" s="57">
        <v>0</v>
      </c>
    </row>
    <row r="101" ht="15" customHeight="1">
      <c r="A101" s="739"/>
      <c r="D101" s="128"/>
      <c r="E101" s="777"/>
      <c r="F101" s="778" t="s">
        <v>590</v>
      </c>
      <c r="G101" s="751"/>
      <c r="H101" s="752"/>
      <c r="I101" s="752"/>
      <c r="J101" s="779" t="s">
        <v>591</v>
      </c>
      <c r="K101" s="719"/>
      <c r="AF101" s="50">
        <v>0</v>
      </c>
    </row>
    <row r="102" s="53" customFormat="1" ht="18.75" customHeight="1">
      <c r="A102" s="739"/>
      <c r="C102" s="57"/>
      <c r="D102" s="125"/>
      <c r="E102" s="717" t="str">
        <f>FHD_NUM_P_62</f>
        <v>8</v>
      </c>
      <c r="F102" s="326" t="str">
        <f>FHD_P_62</f>
        <v xml:space="preserve">Тепловая нагрузка по договорам, заключенным в рамках осуществления регулируемых видов деятельности</v>
      </c>
      <c r="G102" s="72" t="s">
        <v>560</v>
      </c>
      <c r="H102" s="737"/>
      <c r="I102" s="737"/>
      <c r="J102" s="494" t="str">
        <f>FHD_NOTE_P_62</f>
        <v xml:space="preserve">Регулируемыми организациями указывается информация по договорам, заключенным в рамках осуществления регулируемых видов деятельности</v>
      </c>
      <c r="K102" s="719"/>
      <c r="L102" s="57"/>
      <c r="M102" s="57"/>
      <c r="R102" s="57"/>
      <c r="U102" s="716"/>
      <c r="AA102" s="56"/>
      <c r="AB102" s="56"/>
      <c r="AC102" s="56"/>
      <c r="AD102" s="56"/>
      <c r="AE102" s="56"/>
      <c r="AF102" s="53">
        <v>0</v>
      </c>
    </row>
    <row r="103" s="53" customFormat="1" ht="18.75" customHeight="1">
      <c r="A103" s="739"/>
      <c r="C103" s="57"/>
      <c r="D103" s="125"/>
      <c r="E103" s="717" t="str">
        <f>FHD_NUM_P_63</f>
        <v>9</v>
      </c>
      <c r="F103" s="326" t="str">
        <f>FHD_P_63</f>
        <v xml:space="preserve">Объем вырабатываемой регулируемой организацией тепловой энергии в рамках осуществления регулируемых видов деятельности</v>
      </c>
      <c r="G103" s="72" t="s">
        <v>587</v>
      </c>
      <c r="H103" s="757"/>
      <c r="I103" s="757"/>
      <c r="J103" s="494" t="str">
        <f>FHD_NOTE_P_63</f>
        <v xml:space="preserve">Регулируемыми организациями указывается информация тепловой энергии, выработанной в рамках осуществления регулируемых видов деятельности.</v>
      </c>
      <c r="K103" s="719"/>
      <c r="L103" s="57"/>
      <c r="M103" s="57"/>
      <c r="R103" s="57"/>
      <c r="U103" s="716"/>
      <c r="AA103" s="56"/>
      <c r="AB103" s="56"/>
      <c r="AC103" s="56"/>
      <c r="AD103" s="56"/>
      <c r="AE103" s="56"/>
      <c r="AF103" s="53">
        <v>0</v>
      </c>
    </row>
    <row r="104" s="53" customFormat="1" ht="18.75" customHeight="1">
      <c r="A104" s="739"/>
      <c r="C104" s="57" t="s">
        <v>592</v>
      </c>
      <c r="D104" s="125"/>
      <c r="E104" s="717" t="str">
        <f>FHD_NUM_P_64</f>
        <v>9.1</v>
      </c>
      <c r="F104" s="326" t="str">
        <f>FHD_P_64</f>
        <v xml:space="preserve">Объем приобретаемой регулируемой организацией тепловой энергии в рамках осуществления регулируемых видов деятельности</v>
      </c>
      <c r="G104" s="72" t="s">
        <v>587</v>
      </c>
      <c r="H104" s="727"/>
      <c r="I104" s="727"/>
      <c r="J104" s="494" t="str">
        <f>FHD_NOTE_P_64</f>
        <v xml:space="preserve">Информация указывается только едиными теплоснабжающими организациями.</v>
      </c>
      <c r="K104" s="719"/>
      <c r="L104" s="57"/>
      <c r="M104" s="57"/>
      <c r="R104" s="57"/>
      <c r="U104" s="716"/>
      <c r="AA104" s="56"/>
      <c r="AB104" s="56"/>
      <c r="AC104" s="56"/>
      <c r="AD104" s="56"/>
      <c r="AE104" s="56"/>
      <c r="AF104" s="53">
        <v>0</v>
      </c>
    </row>
    <row r="105" s="53" customFormat="1" ht="18.75" customHeight="1">
      <c r="A105" s="739"/>
      <c r="C105" s="57"/>
      <c r="D105" s="125"/>
      <c r="E105" s="717" t="str">
        <f>FHD_NUM_P_65</f>
        <v>10</v>
      </c>
      <c r="F105" s="326" t="str">
        <f>FHD_P_65</f>
        <v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72" t="s">
        <v>587</v>
      </c>
      <c r="H105" s="757"/>
      <c r="I105" s="757"/>
      <c r="J105" s="494" t="str">
        <f>FHD_NOTE_P_65</f>
        <v xml:space="preserve">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719"/>
      <c r="L105" s="57"/>
      <c r="M105" s="57"/>
      <c r="R105" s="57"/>
      <c r="U105" s="716"/>
      <c r="AA105" s="56"/>
      <c r="AB105" s="56"/>
      <c r="AC105" s="56"/>
      <c r="AD105" s="56"/>
      <c r="AE105" s="56"/>
      <c r="AF105" s="53">
        <v>0</v>
      </c>
    </row>
    <row r="106" s="53" customFormat="1" ht="18.75" customHeight="1">
      <c r="A106" s="739"/>
      <c r="C106" s="57"/>
      <c r="D106" s="125"/>
      <c r="E106" s="717" t="str">
        <f>FHD_NUM_P_66</f>
        <v>10.1</v>
      </c>
      <c r="F106" s="682" t="str">
        <f>FHD_P_66</f>
        <v xml:space="preserve">По приборам учёта </v>
      </c>
      <c r="G106" s="72" t="s">
        <v>587</v>
      </c>
      <c r="H106" s="757"/>
      <c r="I106" s="757"/>
      <c r="J106" s="494" t="str">
        <f>FHD_NOTE_P_66</f>
        <v/>
      </c>
      <c r="K106" s="719"/>
      <c r="L106" s="57"/>
      <c r="M106" s="57"/>
      <c r="R106" s="57"/>
      <c r="U106" s="716"/>
      <c r="AA106" s="56"/>
      <c r="AB106" s="56"/>
      <c r="AC106" s="56"/>
      <c r="AD106" s="56"/>
      <c r="AE106" s="56"/>
      <c r="AF106" s="53">
        <v>0</v>
      </c>
    </row>
    <row r="107" s="53" customFormat="1" ht="18.75" customHeight="1">
      <c r="A107" s="739"/>
      <c r="C107" s="57"/>
      <c r="D107" s="125"/>
      <c r="E107" s="717" t="str">
        <f>FHD_NUM_P_67</f>
        <v>10.1.1</v>
      </c>
      <c r="F107" s="753" t="str">
        <f>FHD_P_67</f>
        <v xml:space="preserve">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72" t="s">
        <v>587</v>
      </c>
      <c r="H107" s="757"/>
      <c r="I107" s="757"/>
      <c r="J107" s="494" t="str">
        <f>FHD_NOTE_P_67</f>
        <v/>
      </c>
      <c r="K107" s="719"/>
      <c r="L107" s="57"/>
      <c r="M107" s="57"/>
      <c r="R107" s="57"/>
      <c r="U107" s="716"/>
      <c r="AA107" s="56"/>
      <c r="AB107" s="56"/>
      <c r="AC107" s="56"/>
      <c r="AD107" s="56"/>
      <c r="AE107" s="56"/>
      <c r="AF107" s="53">
        <v>0</v>
      </c>
    </row>
    <row r="108" s="53" customFormat="1" ht="18.75" customHeight="1">
      <c r="A108" s="739"/>
      <c r="C108" s="57"/>
      <c r="D108" s="125"/>
      <c r="E108" s="717" t="str">
        <f>FHD_NUM_P_68</f>
        <v>10.2</v>
      </c>
      <c r="F108" s="682" t="str">
        <f>FHD_P_68</f>
        <v xml:space="preserve">Расчётным путём</v>
      </c>
      <c r="G108" s="72" t="s">
        <v>587</v>
      </c>
      <c r="H108" s="757"/>
      <c r="I108" s="757"/>
      <c r="J108" s="494" t="str">
        <f>FHD_NOTE_P_68</f>
        <v/>
      </c>
      <c r="K108" s="719"/>
      <c r="L108" s="57"/>
      <c r="M108" s="57"/>
      <c r="R108" s="57"/>
      <c r="U108" s="716"/>
      <c r="AA108" s="56"/>
      <c r="AB108" s="56"/>
      <c r="AC108" s="56"/>
      <c r="AD108" s="56"/>
      <c r="AE108" s="56"/>
      <c r="AF108" s="53">
        <v>0</v>
      </c>
    </row>
    <row r="109" s="53" customFormat="1" ht="18.75" customHeight="1">
      <c r="A109" s="739"/>
      <c r="C109" s="57"/>
      <c r="D109" s="125"/>
      <c r="E109" s="717" t="str">
        <f>FHD_NUM_P_69</f>
        <v>10.3</v>
      </c>
      <c r="F109" s="682" t="str">
        <f>FHD_P_69</f>
        <v xml:space="preserve">По нормативам потребления коммунальных услуг и нормативам потребления коммунальных ресурсов</v>
      </c>
      <c r="G109" s="72" t="s">
        <v>587</v>
      </c>
      <c r="H109" s="757"/>
      <c r="I109" s="757"/>
      <c r="J109" s="494" t="str">
        <f>FHD_NOTE_P_69</f>
        <v/>
      </c>
      <c r="K109" s="719"/>
      <c r="L109" s="57"/>
      <c r="M109" s="57"/>
      <c r="R109" s="57"/>
      <c r="U109" s="716"/>
      <c r="AA109" s="56"/>
      <c r="AB109" s="56"/>
      <c r="AC109" s="56"/>
      <c r="AD109" s="56"/>
      <c r="AE109" s="56"/>
      <c r="AF109" s="53">
        <v>0</v>
      </c>
    </row>
    <row r="110" s="53" customFormat="1" ht="22.5" customHeight="1">
      <c r="A110" s="739"/>
      <c r="C110" s="57"/>
      <c r="D110" s="125"/>
      <c r="E110" s="717" t="str">
        <f>FHD_NUM_P_70</f>
        <v>11</v>
      </c>
      <c r="F110" s="326" t="str">
        <f>FHD_P_70</f>
        <v xml:space="preserve">Нормативы технологических потерь при передаче тепловой энергии, теплоносителя по тепловым сетям, утвержденные уполномоченным органом</v>
      </c>
      <c r="G110" s="72" t="s">
        <v>593</v>
      </c>
      <c r="H110" s="737"/>
      <c r="I110" s="737"/>
      <c r="J110" s="494" t="str">
        <f>FHD_NOTE_P_70</f>
        <v/>
      </c>
      <c r="K110" s="719"/>
      <c r="L110" s="57"/>
      <c r="M110" s="57"/>
      <c r="R110" s="57"/>
      <c r="U110" s="716"/>
      <c r="AA110" s="56"/>
      <c r="AB110" s="56"/>
      <c r="AC110" s="56"/>
      <c r="AD110" s="56"/>
      <c r="AE110" s="56"/>
      <c r="AF110" s="53">
        <v>0</v>
      </c>
    </row>
    <row r="111" s="53" customFormat="1" ht="22.5" customHeight="1">
      <c r="A111" s="739"/>
      <c r="C111" s="57"/>
      <c r="D111" s="125"/>
      <c r="E111" s="717" t="str">
        <f>FHD_NUM_P_71</f>
        <v>12</v>
      </c>
      <c r="F111" s="326" t="str">
        <f>FHD_P_71</f>
        <v xml:space="preserve">Фактический объем потерь при передаче тепловой энергии</v>
      </c>
      <c r="G111" s="72" t="s">
        <v>593</v>
      </c>
      <c r="H111" s="737"/>
      <c r="I111" s="737"/>
      <c r="J111" s="494" t="str">
        <f>FHD_NOTE_P_71</f>
        <v/>
      </c>
      <c r="K111" s="719"/>
      <c r="L111" s="57"/>
      <c r="M111" s="57"/>
      <c r="R111" s="57"/>
      <c r="U111" s="716"/>
      <c r="AA111" s="56"/>
      <c r="AB111" s="56"/>
      <c r="AC111" s="56"/>
      <c r="AD111" s="56"/>
      <c r="AE111" s="56"/>
      <c r="AF111" s="53">
        <v>0</v>
      </c>
    </row>
    <row r="112" ht="19.949999999999999" customHeight="1">
      <c r="D112" s="125"/>
      <c r="E112" s="717" t="str">
        <f>FHD_NUM_P_72</f>
        <v>13</v>
      </c>
      <c r="F112" s="326" t="str">
        <f>FHD_P_72</f>
        <v xml:space="preserve">Среднесписочная численность основного производственного персонала</v>
      </c>
      <c r="G112" s="72" t="s">
        <v>594</v>
      </c>
      <c r="H112" s="757"/>
      <c r="I112" s="757"/>
      <c r="J112" s="494" t="str">
        <f>FHD_NOTE_P_72</f>
        <v/>
      </c>
      <c r="K112" s="719"/>
      <c r="AF112" s="50">
        <v>19</v>
      </c>
    </row>
    <row r="113" ht="18.75" customHeight="1">
      <c r="A113" s="755" t="s">
        <v>595</v>
      </c>
      <c r="D113" s="125"/>
      <c r="E113" s="717" t="str">
        <f>FHD_NUM_P_73</f>
        <v>14</v>
      </c>
      <c r="F113" s="326" t="str">
        <f>FHD_P_73</f>
        <v xml:space="preserve">Среднесписочная численность административно-управленческого персонала</v>
      </c>
      <c r="G113" s="318" t="s">
        <v>594</v>
      </c>
      <c r="H113" s="780"/>
      <c r="I113" s="780"/>
      <c r="J113" s="494" t="str">
        <f>FHD_NOTE_P_73</f>
        <v/>
      </c>
      <c r="K113" s="719"/>
      <c r="AF113" s="50">
        <v>0</v>
      </c>
    </row>
    <row r="114" ht="33.75" hidden="1" customHeight="1">
      <c r="A114" s="755" t="s">
        <v>596</v>
      </c>
      <c r="D114" s="125"/>
      <c r="E114" s="717" t="str">
        <f>FHD_NUM_P_74</f>
        <v/>
      </c>
      <c r="F114" s="326" t="str">
        <f>FHD_P_74</f>
        <v/>
      </c>
      <c r="G114" s="72" t="s">
        <v>597</v>
      </c>
      <c r="H114" s="757"/>
      <c r="I114" s="757"/>
      <c r="J114" s="494" t="str">
        <f>FHD_NOTE_P_74</f>
        <v/>
      </c>
      <c r="K114" s="719"/>
      <c r="AF114" s="50">
        <v>0</v>
      </c>
    </row>
    <row r="115" s="50" customFormat="1" ht="18.75" hidden="1" customHeight="1">
      <c r="A115" s="739" t="s">
        <v>598</v>
      </c>
      <c r="B115" s="53"/>
      <c r="C115" s="57"/>
      <c r="D115" s="125"/>
      <c r="E115" s="717" t="str">
        <f>FHD_NUM_P_75</f>
        <v/>
      </c>
      <c r="F115" s="326" t="str">
        <f>FHD_P_75</f>
        <v/>
      </c>
      <c r="G115" s="72" t="s">
        <v>562</v>
      </c>
      <c r="H115" s="737"/>
      <c r="I115" s="737"/>
      <c r="J115" s="494" t="str">
        <f>FHD_NOTE_P_75</f>
        <v/>
      </c>
      <c r="K115" s="719"/>
      <c r="L115" s="57"/>
      <c r="M115" s="57"/>
      <c r="N115" s="53"/>
      <c r="O115" s="53"/>
      <c r="P115" s="53"/>
      <c r="Q115" s="53"/>
      <c r="R115" s="57"/>
      <c r="S115" s="53"/>
      <c r="T115" s="53"/>
      <c r="U115" s="716"/>
      <c r="V115" s="53"/>
      <c r="W115" s="53"/>
      <c r="X115" s="53"/>
      <c r="Y115" s="53"/>
      <c r="Z115" s="53"/>
      <c r="AA115" s="56"/>
      <c r="AB115" s="56"/>
      <c r="AC115" s="56"/>
      <c r="AD115" s="56"/>
      <c r="AE115" s="56"/>
      <c r="AF115" s="50">
        <v>0</v>
      </c>
    </row>
    <row r="116" s="50" customFormat="1" ht="18.75" hidden="1" customHeight="1">
      <c r="A116" s="739"/>
      <c r="B116" s="53"/>
      <c r="C116" s="57"/>
      <c r="D116" s="125"/>
      <c r="E116" s="717" t="str">
        <f>FHD_NUM_P_76</f>
        <v/>
      </c>
      <c r="F116" s="326" t="str">
        <f>FHD_P_76</f>
        <v/>
      </c>
      <c r="G116" s="72" t="s">
        <v>562</v>
      </c>
      <c r="H116" s="737"/>
      <c r="I116" s="737"/>
      <c r="J116" s="494" t="str">
        <f>FHD_NOTE_P_76</f>
        <v/>
      </c>
      <c r="K116" s="719"/>
      <c r="L116" s="57"/>
      <c r="M116" s="57"/>
      <c r="N116" s="53"/>
      <c r="O116" s="53"/>
      <c r="P116" s="53"/>
      <c r="Q116" s="53"/>
      <c r="R116" s="57"/>
      <c r="S116" s="53"/>
      <c r="T116" s="53"/>
      <c r="U116" s="716"/>
      <c r="V116" s="53"/>
      <c r="W116" s="53"/>
      <c r="X116" s="53"/>
      <c r="Y116" s="53"/>
      <c r="Z116" s="53"/>
      <c r="AA116" s="56"/>
      <c r="AB116" s="56"/>
      <c r="AC116" s="56"/>
      <c r="AD116" s="56"/>
      <c r="AE116" s="56"/>
      <c r="AF116" s="50">
        <v>0</v>
      </c>
    </row>
    <row r="117" s="50" customFormat="1" ht="18.75" hidden="1" customHeight="1">
      <c r="A117" s="739"/>
      <c r="B117" s="53"/>
      <c r="C117" s="57"/>
      <c r="D117" s="125"/>
      <c r="E117" s="717" t="str">
        <f>FHD_NUM_P_77</f>
        <v/>
      </c>
      <c r="F117" s="326" t="str">
        <f>FHD_P_77</f>
        <v/>
      </c>
      <c r="G117" s="72" t="s">
        <v>562</v>
      </c>
      <c r="H117" s="737"/>
      <c r="I117" s="737"/>
      <c r="J117" s="494" t="str">
        <f>FHD_NOTE_P_77</f>
        <v/>
      </c>
      <c r="K117" s="719"/>
      <c r="L117" s="57"/>
      <c r="M117" s="57"/>
      <c r="N117" s="53"/>
      <c r="O117" s="53"/>
      <c r="P117" s="53"/>
      <c r="Q117" s="53"/>
      <c r="R117" s="57"/>
      <c r="S117" s="53"/>
      <c r="T117" s="53"/>
      <c r="U117" s="716"/>
      <c r="V117" s="53"/>
      <c r="W117" s="53"/>
      <c r="X117" s="53"/>
      <c r="Y117" s="53"/>
      <c r="Z117" s="53"/>
      <c r="AA117" s="56"/>
      <c r="AB117" s="56"/>
      <c r="AC117" s="56"/>
      <c r="AD117" s="56"/>
      <c r="AE117" s="56"/>
      <c r="AF117" s="50">
        <v>0</v>
      </c>
    </row>
    <row r="118" s="57" customFormat="1" ht="0.75" hidden="1" customHeight="1">
      <c r="A118" s="739"/>
      <c r="D118" s="540"/>
      <c r="E118" s="158" t="str">
        <f>E117&amp;".0"</f>
        <v>.0</v>
      </c>
      <c r="F118" s="781"/>
      <c r="G118" s="594"/>
      <c r="H118" s="762"/>
      <c r="I118" s="762"/>
      <c r="J118" s="776"/>
      <c r="AF118" s="57">
        <v>0</v>
      </c>
    </row>
    <row r="119" s="50" customFormat="1" ht="15" hidden="1" customHeight="1">
      <c r="A119" s="739"/>
      <c r="B119" s="53"/>
      <c r="C119" s="57"/>
      <c r="D119" s="128"/>
      <c r="E119" s="777"/>
      <c r="F119" s="778" t="s">
        <v>599</v>
      </c>
      <c r="G119" s="751"/>
      <c r="H119" s="752"/>
      <c r="I119" s="752"/>
      <c r="J119" s="779" t="s">
        <v>600</v>
      </c>
      <c r="K119" s="719"/>
      <c r="L119" s="57"/>
      <c r="M119" s="57"/>
      <c r="N119" s="53"/>
      <c r="O119" s="53"/>
      <c r="P119" s="53"/>
      <c r="Q119" s="53"/>
      <c r="R119" s="57"/>
      <c r="S119" s="53"/>
      <c r="T119" s="53"/>
      <c r="U119" s="716"/>
      <c r="V119" s="53"/>
      <c r="W119" s="53"/>
      <c r="X119" s="53"/>
      <c r="Y119" s="53"/>
      <c r="Z119" s="53"/>
      <c r="AA119" s="56"/>
      <c r="AB119" s="56"/>
      <c r="AC119" s="56"/>
      <c r="AD119" s="56"/>
      <c r="AE119" s="56"/>
      <c r="AF119" s="50">
        <v>0</v>
      </c>
    </row>
    <row r="120" ht="22.5" customHeight="1">
      <c r="A120" s="739" t="s">
        <v>601</v>
      </c>
      <c r="D120" s="125"/>
      <c r="E120" s="717" t="str">
        <f>FHD_NUM_P_78</f>
        <v>15</v>
      </c>
      <c r="F120" s="326" t="str">
        <f>FHD_P_78</f>
        <v xml:space="preserve">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72" t="s">
        <v>564</v>
      </c>
      <c r="H120" s="757"/>
      <c r="I120" s="757"/>
      <c r="J120" s="494" t="str">
        <f>FHD_NOTE_P_78</f>
        <v/>
      </c>
      <c r="K120" s="719"/>
      <c r="AF120" s="50">
        <v>0</v>
      </c>
    </row>
    <row r="121" s="57" customFormat="1" ht="0.75" customHeight="1">
      <c r="A121" s="739"/>
      <c r="D121" s="540"/>
      <c r="E121" s="158" t="str">
        <f>E120&amp;".0"</f>
        <v>15.0</v>
      </c>
      <c r="F121" s="781"/>
      <c r="G121" s="594"/>
      <c r="H121" s="762"/>
      <c r="I121" s="762"/>
      <c r="J121" s="776"/>
      <c r="AF121" s="57">
        <v>0</v>
      </c>
    </row>
    <row r="122" ht="15" customHeight="1">
      <c r="A122" s="739"/>
      <c r="D122" s="128"/>
      <c r="E122" s="750"/>
      <c r="F122" s="172" t="s">
        <v>590</v>
      </c>
      <c r="G122" s="751"/>
      <c r="H122" s="752"/>
      <c r="I122" s="752"/>
      <c r="J122" s="779" t="s">
        <v>602</v>
      </c>
      <c r="K122" s="719"/>
      <c r="AF122" s="50">
        <v>0</v>
      </c>
    </row>
    <row r="123" ht="22.5" customHeight="1">
      <c r="A123" s="739"/>
      <c r="D123" s="125"/>
      <c r="E123" s="717" t="str">
        <f>FHD_NUM_P_79</f>
        <v>16</v>
      </c>
      <c r="F123" s="326" t="str">
        <f>FHD_P_79</f>
        <v xml:space="preserve">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57" t="s">
        <v>566</v>
      </c>
      <c r="H123" s="757"/>
      <c r="I123" s="757"/>
      <c r="J123" s="494" t="str">
        <f>FHD_NOTE_P_79</f>
        <v xml:space="preserve">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719"/>
      <c r="AF123" s="50">
        <v>0</v>
      </c>
    </row>
    <row r="124" s="57" customFormat="1" ht="0.75" customHeight="1">
      <c r="A124" s="739"/>
      <c r="D124" s="540"/>
      <c r="E124" s="158" t="str">
        <f>E123&amp;".0"</f>
        <v>16.0</v>
      </c>
      <c r="F124" s="782"/>
      <c r="G124" s="594"/>
      <c r="H124" s="762"/>
      <c r="I124" s="762"/>
      <c r="J124" s="776"/>
      <c r="AF124" s="57">
        <v>0</v>
      </c>
    </row>
    <row r="125" ht="15" customHeight="1">
      <c r="A125" s="739"/>
      <c r="D125" s="128"/>
      <c r="E125" s="750"/>
      <c r="F125" s="172" t="s">
        <v>590</v>
      </c>
      <c r="G125" s="751"/>
      <c r="H125" s="752"/>
      <c r="I125" s="752"/>
      <c r="J125" s="779" t="s">
        <v>603</v>
      </c>
      <c r="K125" s="719"/>
      <c r="AF125" s="50">
        <v>0</v>
      </c>
    </row>
    <row r="126" ht="22.5" customHeight="1">
      <c r="A126" s="739"/>
      <c r="D126" s="125"/>
      <c r="E126" s="717" t="str">
        <f>FHD_NUM_P_80</f>
        <v>17</v>
      </c>
      <c r="F126" s="326" t="str">
        <f>FHD_P_80</f>
        <v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57" t="s">
        <v>604</v>
      </c>
      <c r="H126" s="737"/>
      <c r="I126" s="737"/>
      <c r="J126" s="494" t="str">
        <f>FHD_NOTE_P_80</f>
        <v xml:space="preserve">Регулируемыми организациями указывается информация с по договорам, заключенным в рамках осуществления регулируемой деятельности.</v>
      </c>
      <c r="K126" s="719"/>
      <c r="AF126" s="50">
        <v>0</v>
      </c>
    </row>
    <row r="127" ht="18.75" customHeight="1">
      <c r="A127" s="739"/>
      <c r="D127" s="125"/>
      <c r="E127" s="717" t="str">
        <f>FHD_NUM_P_81</f>
        <v>18</v>
      </c>
      <c r="F127" s="326" t="str">
        <f>FHD_P_81</f>
        <v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57" t="s">
        <v>605</v>
      </c>
      <c r="H127" s="737"/>
      <c r="I127" s="737"/>
      <c r="J127" s="494" t="str">
        <f>FHD_NOTE_P_81</f>
        <v xml:space="preserve">Регулируемыми организациями указывается информация с по договорам, заключенным в рамках осуществления регулируемой деятельности.</v>
      </c>
      <c r="K127" s="719"/>
      <c r="AF127" s="50">
        <v>0</v>
      </c>
    </row>
    <row r="128" ht="18.75" customHeight="1">
      <c r="A128" s="739"/>
      <c r="C128" s="57" t="s">
        <v>592</v>
      </c>
      <c r="D128" s="125"/>
      <c r="E128" s="717" t="str">
        <f>FHD_NUM_P_82</f>
        <v>19</v>
      </c>
      <c r="F128" s="326" t="str">
        <f>FHD_P_82</f>
        <v xml:space="preserve">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57" t="s">
        <v>311</v>
      </c>
      <c r="H128" s="768"/>
      <c r="I128" s="768"/>
      <c r="J128" s="494" t="str">
        <f>FHD_NOTE_P_82</f>
        <v xml:space="preserve">Указывается ссылка на документ, предварительно загруженный в хранилище файлов ФГИС ЕИАС.</v>
      </c>
      <c r="K128" s="719"/>
      <c r="AF128" s="50">
        <v>0</v>
      </c>
    </row>
    <row r="129" ht="18.75" customHeight="1">
      <c r="A129" s="739"/>
      <c r="C129" s="57" t="s">
        <v>592</v>
      </c>
      <c r="D129" s="125"/>
      <c r="E129" s="717" t="str">
        <f>FHD_NUM_P_83</f>
        <v>19.1</v>
      </c>
      <c r="F129" s="682" t="str">
        <f>FHD_P_83</f>
        <v xml:space="preserve">Информация о показателях физического износа объектов теплоснабжения</v>
      </c>
      <c r="G129" s="157" t="s">
        <v>311</v>
      </c>
      <c r="H129" s="768"/>
      <c r="I129" s="768"/>
      <c r="J129" s="494" t="str">
        <f>FHD_NOTE_P_83</f>
        <v xml:space="preserve">Указывается ссылка на документ, предварительно загруженный в хранилище файлов ФГИС ЕИАС.</v>
      </c>
      <c r="K129" s="719"/>
      <c r="AF129" s="50">
        <v>0</v>
      </c>
    </row>
    <row r="130" ht="18.75" customHeight="1">
      <c r="A130" s="739"/>
      <c r="C130" s="57" t="s">
        <v>592</v>
      </c>
      <c r="D130" s="125"/>
      <c r="E130" s="717" t="str">
        <f>FHD_NUM_P_84</f>
        <v>19.2</v>
      </c>
      <c r="F130" s="682" t="str">
        <f>FHD_P_84</f>
        <v xml:space="preserve">Информация о показателях энергетической эффективности объектов теплоснабжения</v>
      </c>
      <c r="G130" s="157" t="s">
        <v>311</v>
      </c>
      <c r="H130" s="768"/>
      <c r="I130" s="768"/>
      <c r="J130" s="494" t="str">
        <f>FHD_NOTE_P_84</f>
        <v xml:space="preserve">Указывается ссылка на документ, предварительно загруженный в хранилище файлов ФГИС ЕИАС.</v>
      </c>
      <c r="K130" s="719"/>
      <c r="AF130" s="50">
        <v>0</v>
      </c>
    </row>
    <row r="131" ht="11.5" customHeight="1">
      <c r="D131" s="125"/>
      <c r="AF131" s="50">
        <v>11</v>
      </c>
    </row>
    <row r="132" ht="13.5" customHeight="1">
      <c r="D132" s="125"/>
      <c r="E132" s="485"/>
      <c r="F132" s="404"/>
      <c r="G132" s="404"/>
      <c r="H132" s="404"/>
      <c r="I132" s="583"/>
      <c r="J132" s="86"/>
      <c r="AF132" s="50">
        <v>13</v>
      </c>
    </row>
    <row r="133" s="131" customFormat="1" ht="11.5" customHeight="1">
      <c r="A133" s="715"/>
      <c r="B133" s="57"/>
      <c r="C133" s="57"/>
      <c r="D133" s="131"/>
      <c r="F133" s="152"/>
      <c r="G133" s="50"/>
      <c r="H133" s="50"/>
      <c r="I133" s="50"/>
      <c r="K133" s="53"/>
      <c r="L133" s="57"/>
      <c r="M133" s="57"/>
      <c r="N133" s="53"/>
      <c r="O133" s="53"/>
      <c r="P133" s="53"/>
      <c r="Q133" s="53"/>
      <c r="R133" s="57"/>
      <c r="S133" s="53"/>
      <c r="T133" s="53"/>
      <c r="U133" s="716"/>
      <c r="V133" s="53"/>
      <c r="W133" s="53"/>
      <c r="X133" s="53"/>
      <c r="Y133" s="53"/>
      <c r="Z133" s="53"/>
      <c r="AA133" s="56"/>
      <c r="AB133" s="54"/>
      <c r="AC133" s="54"/>
      <c r="AD133" s="54"/>
      <c r="AE133" s="54"/>
      <c r="AF133" s="131">
        <v>11</v>
      </c>
    </row>
    <row r="134" s="131" customFormat="1" ht="11.5" customHeight="1">
      <c r="A134" s="715"/>
      <c r="B134" s="57"/>
      <c r="C134" s="57"/>
      <c r="D134" s="131"/>
      <c r="K134" s="53"/>
      <c r="L134" s="57"/>
      <c r="M134" s="57"/>
      <c r="N134" s="53"/>
      <c r="O134" s="53"/>
      <c r="P134" s="53"/>
      <c r="Q134" s="53"/>
      <c r="R134" s="57"/>
      <c r="S134" s="53"/>
      <c r="T134" s="53"/>
      <c r="U134" s="716"/>
      <c r="V134" s="53"/>
      <c r="W134" s="53"/>
      <c r="X134" s="53"/>
      <c r="Y134" s="53"/>
      <c r="Z134" s="53"/>
      <c r="AA134" s="56"/>
      <c r="AB134" s="54"/>
      <c r="AC134" s="54"/>
      <c r="AD134" s="54"/>
      <c r="AE134" s="54"/>
      <c r="AF134" s="131">
        <v>11</v>
      </c>
    </row>
    <row r="135" s="131" customFormat="1" ht="11.5" customHeight="1">
      <c r="A135" s="715"/>
      <c r="B135" s="57"/>
      <c r="C135" s="57"/>
      <c r="D135" s="131"/>
      <c r="K135" s="53"/>
      <c r="L135" s="57"/>
      <c r="M135" s="57"/>
      <c r="N135" s="53"/>
      <c r="O135" s="53"/>
      <c r="P135" s="53"/>
      <c r="Q135" s="53"/>
      <c r="R135" s="57"/>
      <c r="S135" s="53"/>
      <c r="T135" s="53"/>
      <c r="U135" s="716"/>
      <c r="V135" s="53"/>
      <c r="W135" s="53"/>
      <c r="X135" s="53"/>
      <c r="Y135" s="53"/>
      <c r="Z135" s="53"/>
      <c r="AA135" s="56"/>
      <c r="AB135" s="54"/>
      <c r="AC135" s="54"/>
      <c r="AD135" s="54"/>
      <c r="AE135" s="54"/>
      <c r="AF135" s="131">
        <v>11</v>
      </c>
    </row>
    <row r="136" s="131" customFormat="1" ht="11.5" customHeight="1">
      <c r="A136" s="715"/>
      <c r="B136" s="57"/>
      <c r="C136" s="57"/>
      <c r="D136" s="131"/>
      <c r="H136" s="54" t="str">
        <f>IF(H30-H31&lt;&gt;H72,"WARNING","")</f>
        <v/>
      </c>
      <c r="I136" s="54" t="str">
        <f>IF(I30-I31&lt;&gt;I72,"WARNING","")</f>
        <v/>
      </c>
      <c r="K136" s="53"/>
      <c r="L136" s="57"/>
      <c r="M136" s="57"/>
      <c r="N136" s="53"/>
      <c r="O136" s="53"/>
      <c r="P136" s="53"/>
      <c r="Q136" s="53"/>
      <c r="R136" s="57"/>
      <c r="S136" s="53"/>
      <c r="T136" s="53"/>
      <c r="U136" s="716"/>
      <c r="V136" s="53"/>
      <c r="W136" s="53"/>
      <c r="X136" s="53"/>
      <c r="Y136" s="53"/>
      <c r="Z136" s="53"/>
      <c r="AA136" s="56"/>
      <c r="AB136" s="54"/>
      <c r="AC136" s="54"/>
      <c r="AD136" s="54"/>
      <c r="AE136" s="54"/>
      <c r="AF136" s="131">
        <v>11</v>
      </c>
    </row>
    <row r="137" s="131" customFormat="1" ht="11.5" customHeight="1">
      <c r="A137" s="715"/>
      <c r="B137" s="57"/>
      <c r="C137" s="57"/>
      <c r="D137" s="131"/>
      <c r="K137" s="53"/>
      <c r="L137" s="57"/>
      <c r="M137" s="57"/>
      <c r="N137" s="53"/>
      <c r="O137" s="53"/>
      <c r="P137" s="53"/>
      <c r="Q137" s="53"/>
      <c r="R137" s="57"/>
      <c r="S137" s="53"/>
      <c r="T137" s="53"/>
      <c r="U137" s="716"/>
      <c r="V137" s="53"/>
      <c r="W137" s="53"/>
      <c r="X137" s="53"/>
      <c r="Y137" s="53"/>
      <c r="Z137" s="53"/>
      <c r="AA137" s="56"/>
      <c r="AB137" s="54"/>
      <c r="AC137" s="54"/>
      <c r="AD137" s="54"/>
      <c r="AE137" s="54"/>
      <c r="AF137" s="131">
        <v>11</v>
      </c>
    </row>
    <row r="138" s="131" customFormat="1" ht="11.5" customHeight="1">
      <c r="A138" s="715"/>
      <c r="B138" s="57"/>
      <c r="C138" s="57"/>
      <c r="D138" s="131"/>
      <c r="K138" s="53"/>
      <c r="L138" s="57"/>
      <c r="M138" s="57"/>
      <c r="N138" s="53"/>
      <c r="O138" s="53"/>
      <c r="P138" s="53"/>
      <c r="Q138" s="53"/>
      <c r="R138" s="57"/>
      <c r="S138" s="53"/>
      <c r="T138" s="53"/>
      <c r="U138" s="716"/>
      <c r="V138" s="53"/>
      <c r="W138" s="53"/>
      <c r="X138" s="53"/>
      <c r="Y138" s="53"/>
      <c r="Z138" s="53"/>
      <c r="AA138" s="56"/>
      <c r="AB138" s="54"/>
      <c r="AC138" s="54"/>
      <c r="AD138" s="54"/>
      <c r="AE138" s="54"/>
      <c r="AF138" s="131">
        <v>11</v>
      </c>
    </row>
    <row r="139" s="131" customFormat="1" ht="11.5" customHeight="1">
      <c r="A139" s="715"/>
      <c r="B139" s="57"/>
      <c r="C139" s="57"/>
      <c r="D139" s="131"/>
      <c r="K139" s="53"/>
      <c r="L139" s="57"/>
      <c r="M139" s="57"/>
      <c r="N139" s="53"/>
      <c r="O139" s="53"/>
      <c r="P139" s="53"/>
      <c r="Q139" s="53"/>
      <c r="R139" s="57"/>
      <c r="S139" s="53"/>
      <c r="T139" s="53"/>
      <c r="U139" s="716"/>
      <c r="V139" s="53"/>
      <c r="W139" s="53"/>
      <c r="X139" s="53"/>
      <c r="Y139" s="53"/>
      <c r="Z139" s="53"/>
      <c r="AA139" s="56"/>
      <c r="AB139" s="54"/>
      <c r="AC139" s="54"/>
      <c r="AD139" s="54"/>
      <c r="AE139" s="54"/>
      <c r="AF139" s="131">
        <v>11</v>
      </c>
    </row>
    <row r="140" s="131" customFormat="1" ht="11.5" customHeight="1">
      <c r="A140" s="715"/>
      <c r="B140" s="57"/>
      <c r="C140" s="57"/>
      <c r="D140" s="131"/>
      <c r="K140" s="53"/>
      <c r="L140" s="57"/>
      <c r="M140" s="57"/>
      <c r="N140" s="53"/>
      <c r="O140" s="53"/>
      <c r="P140" s="53"/>
      <c r="Q140" s="53"/>
      <c r="R140" s="57"/>
      <c r="S140" s="53"/>
      <c r="T140" s="53"/>
      <c r="U140" s="716"/>
      <c r="V140" s="53"/>
      <c r="W140" s="53"/>
      <c r="X140" s="53"/>
      <c r="Y140" s="53"/>
      <c r="Z140" s="53"/>
      <c r="AA140" s="56"/>
      <c r="AB140" s="54"/>
      <c r="AC140" s="54"/>
      <c r="AD140" s="54"/>
      <c r="AE140" s="54"/>
      <c r="AF140" s="131">
        <v>11</v>
      </c>
    </row>
    <row r="141" s="131" customFormat="1" ht="11.5" customHeight="1">
      <c r="A141" s="715"/>
      <c r="B141" s="57"/>
      <c r="C141" s="57"/>
      <c r="D141" s="131"/>
      <c r="K141" s="53"/>
      <c r="L141" s="57"/>
      <c r="M141" s="57"/>
      <c r="N141" s="53"/>
      <c r="O141" s="53"/>
      <c r="P141" s="53"/>
      <c r="Q141" s="53"/>
      <c r="R141" s="57"/>
      <c r="S141" s="53"/>
      <c r="T141" s="53"/>
      <c r="U141" s="716"/>
      <c r="V141" s="53"/>
      <c r="W141" s="53"/>
      <c r="X141" s="53"/>
      <c r="Y141" s="53"/>
      <c r="Z141" s="53"/>
      <c r="AA141" s="56"/>
      <c r="AB141" s="54"/>
      <c r="AC141" s="54"/>
      <c r="AD141" s="54"/>
      <c r="AE141" s="54"/>
      <c r="AF141" s="131">
        <v>11</v>
      </c>
    </row>
    <row r="142" s="131" customFormat="1" ht="11.5" customHeight="1">
      <c r="A142" s="715"/>
      <c r="B142" s="57"/>
      <c r="C142" s="57"/>
      <c r="D142" s="131"/>
      <c r="K142" s="53"/>
      <c r="L142" s="57"/>
      <c r="M142" s="57"/>
      <c r="N142" s="53"/>
      <c r="O142" s="53"/>
      <c r="P142" s="53"/>
      <c r="Q142" s="53"/>
      <c r="R142" s="57"/>
      <c r="S142" s="53"/>
      <c r="T142" s="53"/>
      <c r="U142" s="716"/>
      <c r="V142" s="53"/>
      <c r="W142" s="53"/>
      <c r="X142" s="53"/>
      <c r="Y142" s="53"/>
      <c r="Z142" s="53"/>
      <c r="AA142" s="56"/>
      <c r="AB142" s="54"/>
      <c r="AC142" s="54"/>
      <c r="AD142" s="54"/>
      <c r="AE142" s="54"/>
      <c r="AF142" s="131">
        <v>11</v>
      </c>
    </row>
    <row r="143" s="131" customFormat="1" ht="11.5" customHeight="1">
      <c r="A143" s="715"/>
      <c r="B143" s="57"/>
      <c r="C143" s="57"/>
      <c r="D143" s="131"/>
      <c r="K143" s="53"/>
      <c r="L143" s="57"/>
      <c r="M143" s="57"/>
      <c r="N143" s="53"/>
      <c r="O143" s="53"/>
      <c r="P143" s="53"/>
      <c r="Q143" s="53"/>
      <c r="R143" s="57"/>
      <c r="S143" s="53"/>
      <c r="T143" s="53"/>
      <c r="U143" s="716"/>
      <c r="V143" s="53"/>
      <c r="W143" s="53"/>
      <c r="X143" s="53"/>
      <c r="Y143" s="53"/>
      <c r="Z143" s="53"/>
      <c r="AA143" s="56"/>
      <c r="AB143" s="54"/>
      <c r="AC143" s="54"/>
      <c r="AD143" s="54"/>
      <c r="AE143" s="54"/>
      <c r="AF143" s="131">
        <v>11</v>
      </c>
    </row>
    <row r="144" s="131" customFormat="1" ht="11.5" customHeight="1">
      <c r="A144" s="715"/>
      <c r="B144" s="57"/>
      <c r="C144" s="57"/>
      <c r="D144" s="131"/>
      <c r="K144" s="53"/>
      <c r="L144" s="57"/>
      <c r="M144" s="57"/>
      <c r="N144" s="53"/>
      <c r="O144" s="53"/>
      <c r="P144" s="53"/>
      <c r="Q144" s="53"/>
      <c r="R144" s="57"/>
      <c r="S144" s="53"/>
      <c r="T144" s="53"/>
      <c r="U144" s="716"/>
      <c r="V144" s="53"/>
      <c r="W144" s="53"/>
      <c r="X144" s="53"/>
      <c r="Y144" s="53"/>
      <c r="Z144" s="53"/>
      <c r="AA144" s="56"/>
      <c r="AB144" s="54"/>
      <c r="AC144" s="54"/>
      <c r="AD144" s="54"/>
      <c r="AE144" s="54"/>
      <c r="AF144" s="131">
        <v>11</v>
      </c>
    </row>
    <row r="145" s="131" customFormat="1" ht="11.5" customHeight="1">
      <c r="A145" s="715"/>
      <c r="B145" s="57"/>
      <c r="C145" s="57"/>
      <c r="D145" s="131"/>
      <c r="K145" s="53"/>
      <c r="L145" s="57"/>
      <c r="M145" s="57"/>
      <c r="N145" s="53"/>
      <c r="O145" s="53"/>
      <c r="P145" s="53"/>
      <c r="Q145" s="53"/>
      <c r="R145" s="57"/>
      <c r="S145" s="53"/>
      <c r="T145" s="53"/>
      <c r="U145" s="716"/>
      <c r="V145" s="53"/>
      <c r="W145" s="53"/>
      <c r="X145" s="53"/>
      <c r="Y145" s="53"/>
      <c r="Z145" s="53"/>
      <c r="AA145" s="56"/>
      <c r="AB145" s="54"/>
      <c r="AC145" s="54"/>
      <c r="AD145" s="54"/>
      <c r="AE145" s="54"/>
      <c r="AF145" s="131">
        <v>11</v>
      </c>
    </row>
    <row r="146" s="131" customFormat="1" ht="11.5" customHeight="1">
      <c r="A146" s="715"/>
      <c r="B146" s="57"/>
      <c r="C146" s="57"/>
      <c r="D146" s="131"/>
      <c r="K146" s="53"/>
      <c r="L146" s="57"/>
      <c r="M146" s="57"/>
      <c r="N146" s="53"/>
      <c r="O146" s="53"/>
      <c r="P146" s="53"/>
      <c r="Q146" s="53"/>
      <c r="R146" s="57"/>
      <c r="S146" s="53"/>
      <c r="T146" s="53"/>
      <c r="U146" s="716"/>
      <c r="V146" s="53"/>
      <c r="W146" s="53"/>
      <c r="X146" s="53"/>
      <c r="Y146" s="53"/>
      <c r="Z146" s="53"/>
      <c r="AA146" s="56"/>
      <c r="AB146" s="54"/>
      <c r="AC146" s="54"/>
      <c r="AD146" s="54"/>
      <c r="AE146" s="54"/>
      <c r="AF146" s="131">
        <v>11</v>
      </c>
    </row>
    <row r="147" s="131" customFormat="1" ht="11.5" customHeight="1">
      <c r="A147" s="715"/>
      <c r="B147" s="57"/>
      <c r="C147" s="57"/>
      <c r="D147" s="131"/>
      <c r="K147" s="53"/>
      <c r="L147" s="57"/>
      <c r="M147" s="57"/>
      <c r="N147" s="53"/>
      <c r="O147" s="53"/>
      <c r="P147" s="53"/>
      <c r="Q147" s="53"/>
      <c r="R147" s="57"/>
      <c r="S147" s="53"/>
      <c r="T147" s="53"/>
      <c r="U147" s="716"/>
      <c r="V147" s="53"/>
      <c r="W147" s="53"/>
      <c r="X147" s="53"/>
      <c r="Y147" s="53"/>
      <c r="Z147" s="53"/>
      <c r="AA147" s="56"/>
      <c r="AB147" s="54"/>
      <c r="AC147" s="54"/>
      <c r="AD147" s="54"/>
      <c r="AE147" s="54"/>
      <c r="AF147" s="131">
        <v>11</v>
      </c>
    </row>
    <row r="148" s="131" customFormat="1" ht="11.5" customHeight="1">
      <c r="A148" s="715"/>
      <c r="B148" s="57"/>
      <c r="C148" s="57"/>
      <c r="D148" s="131"/>
      <c r="K148" s="53"/>
      <c r="L148" s="57"/>
      <c r="M148" s="57"/>
      <c r="N148" s="53"/>
      <c r="O148" s="53"/>
      <c r="P148" s="53"/>
      <c r="Q148" s="53"/>
      <c r="R148" s="57"/>
      <c r="S148" s="53"/>
      <c r="T148" s="53"/>
      <c r="U148" s="716"/>
      <c r="V148" s="53"/>
      <c r="W148" s="53"/>
      <c r="X148" s="53"/>
      <c r="Y148" s="53"/>
      <c r="Z148" s="53"/>
      <c r="AA148" s="56"/>
      <c r="AB148" s="54"/>
      <c r="AC148" s="54"/>
      <c r="AD148" s="54"/>
      <c r="AE148" s="54"/>
      <c r="AF148" s="131">
        <v>11</v>
      </c>
    </row>
    <row r="149" s="131" customFormat="1" ht="11.5" customHeight="1">
      <c r="A149" s="715"/>
      <c r="B149" s="57"/>
      <c r="C149" s="57"/>
      <c r="D149" s="131"/>
      <c r="K149" s="53"/>
      <c r="L149" s="57"/>
      <c r="M149" s="57"/>
      <c r="N149" s="53"/>
      <c r="O149" s="53"/>
      <c r="P149" s="53"/>
      <c r="Q149" s="53"/>
      <c r="R149" s="57"/>
      <c r="S149" s="53"/>
      <c r="T149" s="53"/>
      <c r="U149" s="716"/>
      <c r="V149" s="53"/>
      <c r="W149" s="53"/>
      <c r="X149" s="53"/>
      <c r="Y149" s="53"/>
      <c r="Z149" s="53"/>
      <c r="AA149" s="56"/>
      <c r="AB149" s="54"/>
      <c r="AC149" s="54"/>
      <c r="AD149" s="54"/>
      <c r="AE149" s="54"/>
      <c r="AF149" s="131">
        <v>11</v>
      </c>
    </row>
    <row r="150" s="131" customFormat="1" ht="11.5" customHeight="1">
      <c r="A150" s="715"/>
      <c r="B150" s="57"/>
      <c r="C150" s="57"/>
      <c r="D150" s="131"/>
      <c r="K150" s="53"/>
      <c r="L150" s="57"/>
      <c r="M150" s="57"/>
      <c r="N150" s="53"/>
      <c r="O150" s="53"/>
      <c r="P150" s="53"/>
      <c r="Q150" s="53"/>
      <c r="R150" s="57"/>
      <c r="S150" s="53"/>
      <c r="T150" s="53"/>
      <c r="U150" s="716"/>
      <c r="V150" s="53"/>
      <c r="W150" s="53"/>
      <c r="X150" s="53"/>
      <c r="Y150" s="53"/>
      <c r="Z150" s="53"/>
      <c r="AA150" s="56"/>
      <c r="AB150" s="54"/>
      <c r="AC150" s="54"/>
      <c r="AD150" s="54"/>
      <c r="AE150" s="54"/>
      <c r="AF150" s="131">
        <v>11</v>
      </c>
    </row>
    <row r="151" s="131" customFormat="1" ht="11.5" customHeight="1">
      <c r="A151" s="715"/>
      <c r="B151" s="57"/>
      <c r="C151" s="57"/>
      <c r="D151" s="131"/>
      <c r="K151" s="53"/>
      <c r="L151" s="57"/>
      <c r="M151" s="57"/>
      <c r="N151" s="53"/>
      <c r="O151" s="53"/>
      <c r="P151" s="53"/>
      <c r="Q151" s="53"/>
      <c r="R151" s="57"/>
      <c r="S151" s="53"/>
      <c r="T151" s="53"/>
      <c r="U151" s="716"/>
      <c r="V151" s="53"/>
      <c r="W151" s="53"/>
      <c r="X151" s="53"/>
      <c r="Y151" s="53"/>
      <c r="Z151" s="53"/>
      <c r="AA151" s="56"/>
      <c r="AB151" s="54"/>
      <c r="AC151" s="54"/>
      <c r="AD151" s="54"/>
      <c r="AE151" s="54"/>
      <c r="AF151" s="131">
        <v>11</v>
      </c>
    </row>
    <row r="152" s="131" customFormat="1" ht="11.5" customHeight="1">
      <c r="A152" s="715"/>
      <c r="B152" s="57"/>
      <c r="C152" s="57"/>
      <c r="D152" s="131"/>
      <c r="K152" s="53"/>
      <c r="L152" s="57"/>
      <c r="M152" s="57"/>
      <c r="N152" s="53"/>
      <c r="O152" s="53"/>
      <c r="P152" s="53"/>
      <c r="Q152" s="53"/>
      <c r="R152" s="57"/>
      <c r="S152" s="53"/>
      <c r="T152" s="53"/>
      <c r="U152" s="716"/>
      <c r="V152" s="53"/>
      <c r="W152" s="53"/>
      <c r="X152" s="53"/>
      <c r="Y152" s="53"/>
      <c r="Z152" s="53"/>
      <c r="AA152" s="56"/>
      <c r="AB152" s="54"/>
      <c r="AC152" s="54"/>
      <c r="AD152" s="54"/>
      <c r="AE152" s="54"/>
      <c r="AF152" s="131">
        <v>11</v>
      </c>
    </row>
    <row r="153" s="131" customFormat="1" ht="11.5" customHeight="1">
      <c r="A153" s="715"/>
      <c r="B153" s="57"/>
      <c r="C153" s="57"/>
      <c r="D153" s="131"/>
      <c r="K153" s="53"/>
      <c r="L153" s="57"/>
      <c r="M153" s="57"/>
      <c r="N153" s="53"/>
      <c r="O153" s="53"/>
      <c r="P153" s="53"/>
      <c r="Q153" s="53"/>
      <c r="R153" s="57"/>
      <c r="S153" s="53"/>
      <c r="T153" s="53"/>
      <c r="U153" s="716"/>
      <c r="V153" s="53"/>
      <c r="W153" s="53"/>
      <c r="X153" s="53"/>
      <c r="Y153" s="53"/>
      <c r="Z153" s="53"/>
      <c r="AA153" s="56"/>
      <c r="AB153" s="54"/>
      <c r="AC153" s="54"/>
      <c r="AD153" s="54"/>
      <c r="AE153" s="54"/>
      <c r="AF153" s="131">
        <v>11</v>
      </c>
    </row>
    <row r="154" s="131" customFormat="1" ht="11.5" customHeight="1">
      <c r="A154" s="715"/>
      <c r="B154" s="57"/>
      <c r="C154" s="57"/>
      <c r="D154" s="131"/>
      <c r="K154" s="53"/>
      <c r="L154" s="57"/>
      <c r="M154" s="57"/>
      <c r="N154" s="53"/>
      <c r="O154" s="53"/>
      <c r="P154" s="53"/>
      <c r="Q154" s="53"/>
      <c r="R154" s="57"/>
      <c r="S154" s="53"/>
      <c r="T154" s="53"/>
      <c r="U154" s="716"/>
      <c r="V154" s="53"/>
      <c r="W154" s="53"/>
      <c r="X154" s="53"/>
      <c r="Y154" s="53"/>
      <c r="Z154" s="53"/>
      <c r="AA154" s="56"/>
      <c r="AB154" s="54"/>
      <c r="AC154" s="54"/>
      <c r="AD154" s="54"/>
      <c r="AE154" s="54"/>
      <c r="AF154" s="131">
        <v>11</v>
      </c>
    </row>
    <row r="155" s="131" customFormat="1" ht="11.5" customHeight="1">
      <c r="A155" s="715"/>
      <c r="B155" s="57"/>
      <c r="C155" s="57"/>
      <c r="D155" s="131"/>
      <c r="K155" s="53"/>
      <c r="L155" s="57"/>
      <c r="M155" s="57"/>
      <c r="N155" s="53"/>
      <c r="O155" s="53"/>
      <c r="P155" s="53"/>
      <c r="Q155" s="53"/>
      <c r="R155" s="57"/>
      <c r="S155" s="53"/>
      <c r="T155" s="53"/>
      <c r="U155" s="716"/>
      <c r="V155" s="53"/>
      <c r="W155" s="53"/>
      <c r="X155" s="53"/>
      <c r="Y155" s="53"/>
      <c r="Z155" s="53"/>
      <c r="AA155" s="56"/>
      <c r="AB155" s="54"/>
      <c r="AC155" s="54"/>
      <c r="AD155" s="54"/>
      <c r="AE155" s="54"/>
      <c r="AF155" s="131">
        <v>11</v>
      </c>
    </row>
    <row r="156" s="131" customFormat="1" ht="11.5" customHeight="1">
      <c r="A156" s="715"/>
      <c r="B156" s="57"/>
      <c r="C156" s="57"/>
      <c r="D156" s="131"/>
      <c r="K156" s="53"/>
      <c r="L156" s="57"/>
      <c r="M156" s="57"/>
      <c r="N156" s="53"/>
      <c r="O156" s="53"/>
      <c r="P156" s="53"/>
      <c r="Q156" s="53"/>
      <c r="R156" s="57"/>
      <c r="S156" s="53"/>
      <c r="T156" s="53"/>
      <c r="U156" s="716"/>
      <c r="V156" s="53"/>
      <c r="W156" s="53"/>
      <c r="X156" s="53"/>
      <c r="Y156" s="53"/>
      <c r="Z156" s="53"/>
      <c r="AA156" s="56"/>
      <c r="AB156" s="54"/>
      <c r="AC156" s="54"/>
      <c r="AD156" s="54"/>
      <c r="AE156" s="54"/>
      <c r="AF156" s="131">
        <v>11</v>
      </c>
    </row>
    <row r="157" s="131" customFormat="1" ht="11.5" customHeight="1">
      <c r="A157" s="715"/>
      <c r="B157" s="57"/>
      <c r="C157" s="57"/>
      <c r="D157" s="131"/>
      <c r="K157" s="53"/>
      <c r="L157" s="57"/>
      <c r="M157" s="57"/>
      <c r="N157" s="53"/>
      <c r="O157" s="53"/>
      <c r="P157" s="53"/>
      <c r="Q157" s="53"/>
      <c r="R157" s="57"/>
      <c r="S157" s="53"/>
      <c r="T157" s="53"/>
      <c r="U157" s="716"/>
      <c r="V157" s="53"/>
      <c r="W157" s="53"/>
      <c r="X157" s="53"/>
      <c r="Y157" s="53"/>
      <c r="Z157" s="53"/>
      <c r="AA157" s="56"/>
      <c r="AB157" s="54"/>
      <c r="AC157" s="54"/>
      <c r="AD157" s="54"/>
      <c r="AE157" s="54"/>
      <c r="AF157" s="131">
        <v>11</v>
      </c>
    </row>
    <row r="158" s="131" customFormat="1" ht="11.5" customHeight="1">
      <c r="A158" s="715"/>
      <c r="B158" s="57"/>
      <c r="C158" s="57"/>
      <c r="D158" s="131"/>
      <c r="K158" s="53"/>
      <c r="L158" s="57"/>
      <c r="M158" s="57"/>
      <c r="N158" s="53"/>
      <c r="O158" s="53"/>
      <c r="P158" s="53"/>
      <c r="Q158" s="53"/>
      <c r="R158" s="57"/>
      <c r="S158" s="53"/>
      <c r="T158" s="53"/>
      <c r="U158" s="716"/>
      <c r="V158" s="53"/>
      <c r="W158" s="53"/>
      <c r="X158" s="53"/>
      <c r="Y158" s="53"/>
      <c r="Z158" s="53"/>
      <c r="AA158" s="56"/>
      <c r="AB158" s="54"/>
      <c r="AC158" s="54"/>
      <c r="AD158" s="54"/>
      <c r="AE158" s="54"/>
      <c r="AF158" s="131">
        <v>11</v>
      </c>
    </row>
    <row r="159" s="131" customFormat="1" ht="11.5" customHeight="1">
      <c r="A159" s="715"/>
      <c r="B159" s="57"/>
      <c r="C159" s="57"/>
      <c r="D159" s="131"/>
      <c r="K159" s="53"/>
      <c r="L159" s="57"/>
      <c r="M159" s="57"/>
      <c r="N159" s="53"/>
      <c r="O159" s="53"/>
      <c r="P159" s="53"/>
      <c r="Q159" s="53"/>
      <c r="R159" s="57"/>
      <c r="S159" s="53"/>
      <c r="T159" s="53"/>
      <c r="U159" s="716"/>
      <c r="V159" s="53"/>
      <c r="W159" s="53"/>
      <c r="X159" s="53"/>
      <c r="Y159" s="53"/>
      <c r="Z159" s="53"/>
      <c r="AA159" s="56"/>
      <c r="AB159" s="54"/>
      <c r="AC159" s="54"/>
      <c r="AD159" s="54"/>
      <c r="AE159" s="54"/>
      <c r="AF159" s="131">
        <v>11</v>
      </c>
    </row>
    <row r="160" s="131" customFormat="1" ht="11.5" customHeight="1">
      <c r="A160" s="715"/>
      <c r="B160" s="57"/>
      <c r="C160" s="57"/>
      <c r="D160" s="131"/>
      <c r="K160" s="53"/>
      <c r="L160" s="57"/>
      <c r="M160" s="57"/>
      <c r="N160" s="53"/>
      <c r="O160" s="53"/>
      <c r="P160" s="53"/>
      <c r="Q160" s="53"/>
      <c r="R160" s="57"/>
      <c r="S160" s="53"/>
      <c r="T160" s="53"/>
      <c r="U160" s="716"/>
      <c r="V160" s="53"/>
      <c r="W160" s="53"/>
      <c r="X160" s="53"/>
      <c r="Y160" s="53"/>
      <c r="Z160" s="53"/>
      <c r="AA160" s="56"/>
      <c r="AB160" s="54"/>
      <c r="AC160" s="54"/>
      <c r="AD160" s="54"/>
      <c r="AE160" s="54"/>
      <c r="AF160" s="131">
        <v>11</v>
      </c>
    </row>
    <row r="161" s="131" customFormat="1" ht="11.5" customHeight="1">
      <c r="A161" s="715"/>
      <c r="B161" s="57"/>
      <c r="C161" s="57"/>
      <c r="D161" s="131"/>
      <c r="K161" s="53"/>
      <c r="L161" s="57"/>
      <c r="M161" s="57"/>
      <c r="N161" s="53"/>
      <c r="O161" s="53"/>
      <c r="P161" s="53"/>
      <c r="Q161" s="53"/>
      <c r="R161" s="57"/>
      <c r="S161" s="53"/>
      <c r="T161" s="53"/>
      <c r="U161" s="716"/>
      <c r="V161" s="53"/>
      <c r="W161" s="53"/>
      <c r="X161" s="53"/>
      <c r="Y161" s="53"/>
      <c r="Z161" s="53"/>
      <c r="AA161" s="56"/>
      <c r="AB161" s="54"/>
      <c r="AC161" s="54"/>
      <c r="AD161" s="54"/>
      <c r="AE161" s="54"/>
      <c r="AF161" s="131">
        <v>11</v>
      </c>
    </row>
    <row r="162" s="131" customFormat="1" ht="11.5" customHeight="1">
      <c r="A162" s="715"/>
      <c r="B162" s="57"/>
      <c r="C162" s="57"/>
      <c r="D162" s="131"/>
      <c r="K162" s="53"/>
      <c r="L162" s="57"/>
      <c r="M162" s="57"/>
      <c r="N162" s="53"/>
      <c r="O162" s="53"/>
      <c r="P162" s="53"/>
      <c r="Q162" s="53"/>
      <c r="R162" s="57"/>
      <c r="S162" s="53"/>
      <c r="T162" s="53"/>
      <c r="U162" s="716"/>
      <c r="V162" s="53"/>
      <c r="W162" s="53"/>
      <c r="X162" s="53"/>
      <c r="Y162" s="53"/>
      <c r="Z162" s="53"/>
      <c r="AA162" s="56"/>
      <c r="AB162" s="54"/>
      <c r="AC162" s="54"/>
      <c r="AD162" s="54"/>
      <c r="AE162" s="54"/>
      <c r="AF162" s="131">
        <v>11</v>
      </c>
    </row>
    <row r="163" s="131" customFormat="1" ht="11.5" customHeight="1">
      <c r="A163" s="715"/>
      <c r="B163" s="57"/>
      <c r="C163" s="57"/>
      <c r="D163" s="131"/>
      <c r="K163" s="53"/>
      <c r="L163" s="57"/>
      <c r="M163" s="57"/>
      <c r="N163" s="53"/>
      <c r="O163" s="53"/>
      <c r="P163" s="53"/>
      <c r="Q163" s="53"/>
      <c r="R163" s="57"/>
      <c r="S163" s="53"/>
      <c r="T163" s="53"/>
      <c r="U163" s="716"/>
      <c r="V163" s="53"/>
      <c r="W163" s="53"/>
      <c r="X163" s="53"/>
      <c r="Y163" s="53"/>
      <c r="Z163" s="53"/>
      <c r="AA163" s="56"/>
      <c r="AB163" s="54"/>
      <c r="AC163" s="54"/>
      <c r="AD163" s="54"/>
      <c r="AE163" s="54"/>
      <c r="AF163" s="131">
        <v>11</v>
      </c>
    </row>
    <row r="164" s="131" customFormat="1" ht="11.5" customHeight="1">
      <c r="A164" s="715"/>
      <c r="B164" s="57"/>
      <c r="C164" s="57"/>
      <c r="D164" s="131"/>
      <c r="K164" s="53"/>
      <c r="L164" s="57"/>
      <c r="M164" s="57"/>
      <c r="N164" s="53"/>
      <c r="O164" s="53"/>
      <c r="P164" s="53"/>
      <c r="Q164" s="53"/>
      <c r="R164" s="57"/>
      <c r="S164" s="53"/>
      <c r="T164" s="53"/>
      <c r="U164" s="716"/>
      <c r="V164" s="53"/>
      <c r="W164" s="53"/>
      <c r="X164" s="53"/>
      <c r="Y164" s="53"/>
      <c r="Z164" s="53"/>
      <c r="AA164" s="56"/>
      <c r="AB164" s="54"/>
      <c r="AC164" s="54"/>
      <c r="AD164" s="54"/>
      <c r="AE164" s="54"/>
      <c r="AF164" s="131">
        <v>11</v>
      </c>
    </row>
    <row r="165" s="131" customFormat="1" ht="11.5" customHeight="1">
      <c r="A165" s="715"/>
      <c r="B165" s="57"/>
      <c r="C165" s="57"/>
      <c r="D165" s="131"/>
      <c r="K165" s="53"/>
      <c r="L165" s="57"/>
      <c r="M165" s="57"/>
      <c r="N165" s="53"/>
      <c r="O165" s="53"/>
      <c r="P165" s="53"/>
      <c r="Q165" s="53"/>
      <c r="R165" s="57"/>
      <c r="S165" s="53"/>
      <c r="T165" s="53"/>
      <c r="U165" s="716"/>
      <c r="V165" s="53"/>
      <c r="W165" s="53"/>
      <c r="X165" s="53"/>
      <c r="Y165" s="53"/>
      <c r="Z165" s="53"/>
      <c r="AA165" s="56"/>
      <c r="AB165" s="54"/>
      <c r="AC165" s="54"/>
      <c r="AD165" s="54"/>
      <c r="AE165" s="54"/>
      <c r="AF165" s="131">
        <v>11</v>
      </c>
    </row>
    <row r="166" s="131" customFormat="1" ht="11.5" customHeight="1">
      <c r="A166" s="715"/>
      <c r="B166" s="57"/>
      <c r="C166" s="57"/>
      <c r="D166" s="131"/>
      <c r="K166" s="53"/>
      <c r="L166" s="57"/>
      <c r="M166" s="57"/>
      <c r="N166" s="53"/>
      <c r="O166" s="53"/>
      <c r="P166" s="53"/>
      <c r="Q166" s="53"/>
      <c r="R166" s="57"/>
      <c r="S166" s="53"/>
      <c r="T166" s="53"/>
      <c r="U166" s="716"/>
      <c r="V166" s="53"/>
      <c r="W166" s="53"/>
      <c r="X166" s="53"/>
      <c r="Y166" s="53"/>
      <c r="Z166" s="53"/>
      <c r="AA166" s="56"/>
      <c r="AB166" s="54"/>
      <c r="AC166" s="54"/>
      <c r="AD166" s="54"/>
      <c r="AE166" s="54"/>
      <c r="AF166" s="131">
        <v>11</v>
      </c>
    </row>
    <row r="167" s="131" customFormat="1" ht="11.5" customHeight="1">
      <c r="A167" s="715"/>
      <c r="B167" s="57"/>
      <c r="C167" s="57"/>
      <c r="D167" s="131"/>
      <c r="K167" s="53"/>
      <c r="L167" s="57"/>
      <c r="M167" s="57"/>
      <c r="N167" s="53"/>
      <c r="O167" s="53"/>
      <c r="P167" s="53"/>
      <c r="Q167" s="53"/>
      <c r="R167" s="57"/>
      <c r="S167" s="53"/>
      <c r="T167" s="53"/>
      <c r="U167" s="716"/>
      <c r="V167" s="53"/>
      <c r="W167" s="53"/>
      <c r="X167" s="53"/>
      <c r="Y167" s="53"/>
      <c r="Z167" s="53"/>
      <c r="AA167" s="56"/>
      <c r="AB167" s="54"/>
      <c r="AC167" s="54"/>
      <c r="AD167" s="54"/>
      <c r="AE167" s="54"/>
      <c r="AF167" s="131">
        <v>11</v>
      </c>
    </row>
    <row r="168" s="131" customFormat="1" ht="11.5" customHeight="1">
      <c r="A168" s="715"/>
      <c r="B168" s="57"/>
      <c r="C168" s="57"/>
      <c r="D168" s="131"/>
      <c r="K168" s="53"/>
      <c r="L168" s="57"/>
      <c r="M168" s="57"/>
      <c r="N168" s="53"/>
      <c r="O168" s="53"/>
      <c r="P168" s="53"/>
      <c r="Q168" s="53"/>
      <c r="R168" s="57"/>
      <c r="S168" s="53"/>
      <c r="T168" s="53"/>
      <c r="U168" s="716"/>
      <c r="V168" s="53"/>
      <c r="W168" s="53"/>
      <c r="X168" s="53"/>
      <c r="Y168" s="53"/>
      <c r="Z168" s="53"/>
      <c r="AA168" s="56"/>
      <c r="AB168" s="54"/>
      <c r="AC168" s="54"/>
      <c r="AD168" s="54"/>
      <c r="AE168" s="54"/>
      <c r="AF168" s="131">
        <v>11</v>
      </c>
    </row>
    <row r="169" s="131" customFormat="1" ht="11.5" customHeight="1">
      <c r="A169" s="715"/>
      <c r="B169" s="57"/>
      <c r="C169" s="57"/>
      <c r="D169" s="131"/>
      <c r="K169" s="53"/>
      <c r="L169" s="57"/>
      <c r="M169" s="57"/>
      <c r="N169" s="53"/>
      <c r="O169" s="53"/>
      <c r="P169" s="53"/>
      <c r="Q169" s="53"/>
      <c r="R169" s="57"/>
      <c r="S169" s="53"/>
      <c r="T169" s="53"/>
      <c r="U169" s="716"/>
      <c r="V169" s="53"/>
      <c r="W169" s="53"/>
      <c r="X169" s="53"/>
      <c r="Y169" s="53"/>
      <c r="Z169" s="53"/>
      <c r="AA169" s="56"/>
      <c r="AB169" s="54"/>
      <c r="AC169" s="54"/>
      <c r="AD169" s="54"/>
      <c r="AE169" s="54"/>
      <c r="AF169" s="131">
        <v>11</v>
      </c>
    </row>
    <row r="170" s="131" customFormat="1" ht="11.5" customHeight="1">
      <c r="A170" s="715"/>
      <c r="B170" s="57"/>
      <c r="C170" s="57"/>
      <c r="D170" s="131"/>
      <c r="K170" s="53"/>
      <c r="L170" s="57"/>
      <c r="M170" s="57"/>
      <c r="N170" s="53"/>
      <c r="O170" s="53"/>
      <c r="P170" s="53"/>
      <c r="Q170" s="53"/>
      <c r="R170" s="57"/>
      <c r="S170" s="53"/>
      <c r="T170" s="53"/>
      <c r="U170" s="716"/>
      <c r="V170" s="53"/>
      <c r="W170" s="53"/>
      <c r="X170" s="53"/>
      <c r="Y170" s="53"/>
      <c r="Z170" s="53"/>
      <c r="AA170" s="56"/>
      <c r="AB170" s="54"/>
      <c r="AC170" s="54"/>
      <c r="AD170" s="54"/>
      <c r="AE170" s="54"/>
      <c r="AF170" s="131">
        <v>11</v>
      </c>
    </row>
    <row r="171" s="131" customFormat="1" ht="11.5" customHeight="1">
      <c r="A171" s="715"/>
      <c r="B171" s="57"/>
      <c r="C171" s="57"/>
      <c r="D171" s="131"/>
      <c r="K171" s="53"/>
      <c r="L171" s="57"/>
      <c r="M171" s="57"/>
      <c r="N171" s="53"/>
      <c r="O171" s="53"/>
      <c r="P171" s="53"/>
      <c r="Q171" s="53"/>
      <c r="R171" s="57"/>
      <c r="S171" s="53"/>
      <c r="T171" s="53"/>
      <c r="U171" s="716"/>
      <c r="V171" s="53"/>
      <c r="W171" s="53"/>
      <c r="X171" s="53"/>
      <c r="Y171" s="53"/>
      <c r="Z171" s="53"/>
      <c r="AA171" s="56"/>
      <c r="AB171" s="54"/>
      <c r="AC171" s="54"/>
      <c r="AD171" s="54"/>
      <c r="AE171" s="54"/>
      <c r="AF171" s="131">
        <v>11</v>
      </c>
    </row>
    <row r="172" s="131" customFormat="1" ht="11.5" customHeight="1">
      <c r="A172" s="715"/>
      <c r="B172" s="57"/>
      <c r="C172" s="57"/>
      <c r="D172" s="131"/>
      <c r="K172" s="53"/>
      <c r="L172" s="57"/>
      <c r="M172" s="57"/>
      <c r="N172" s="53"/>
      <c r="O172" s="53"/>
      <c r="P172" s="53"/>
      <c r="Q172" s="53"/>
      <c r="R172" s="57"/>
      <c r="S172" s="53"/>
      <c r="T172" s="53"/>
      <c r="U172" s="716"/>
      <c r="V172" s="53"/>
      <c r="W172" s="53"/>
      <c r="X172" s="53"/>
      <c r="Y172" s="53"/>
      <c r="Z172" s="53"/>
      <c r="AA172" s="56"/>
      <c r="AB172" s="54"/>
      <c r="AC172" s="54"/>
      <c r="AD172" s="54"/>
      <c r="AE172" s="54"/>
      <c r="AF172" s="131">
        <v>11</v>
      </c>
    </row>
    <row r="173" s="131" customFormat="1" ht="11.5" customHeight="1">
      <c r="A173" s="715"/>
      <c r="B173" s="57"/>
      <c r="C173" s="57"/>
      <c r="D173" s="131"/>
      <c r="K173" s="53"/>
      <c r="L173" s="57"/>
      <c r="M173" s="57"/>
      <c r="N173" s="53"/>
      <c r="O173" s="53"/>
      <c r="P173" s="53"/>
      <c r="Q173" s="53"/>
      <c r="R173" s="57"/>
      <c r="S173" s="53"/>
      <c r="T173" s="53"/>
      <c r="U173" s="716"/>
      <c r="V173" s="53"/>
      <c r="W173" s="53"/>
      <c r="X173" s="53"/>
      <c r="Y173" s="53"/>
      <c r="Z173" s="53"/>
      <c r="AA173" s="56"/>
      <c r="AB173" s="54"/>
      <c r="AC173" s="54"/>
      <c r="AD173" s="54"/>
      <c r="AE173" s="54"/>
      <c r="AF173" s="131">
        <v>11</v>
      </c>
    </row>
    <row r="174" s="131" customFormat="1" ht="11.5" customHeight="1">
      <c r="A174" s="715"/>
      <c r="B174" s="57"/>
      <c r="C174" s="57"/>
      <c r="D174" s="131"/>
      <c r="K174" s="53"/>
      <c r="L174" s="57"/>
      <c r="M174" s="57"/>
      <c r="N174" s="53"/>
      <c r="O174" s="53"/>
      <c r="P174" s="53"/>
      <c r="Q174" s="53"/>
      <c r="R174" s="57"/>
      <c r="S174" s="53"/>
      <c r="T174" s="53"/>
      <c r="U174" s="716"/>
      <c r="V174" s="53"/>
      <c r="W174" s="53"/>
      <c r="X174" s="53"/>
      <c r="Y174" s="53"/>
      <c r="Z174" s="53"/>
      <c r="AA174" s="56"/>
      <c r="AB174" s="54"/>
      <c r="AC174" s="54"/>
      <c r="AD174" s="54"/>
      <c r="AE174" s="54"/>
      <c r="AF174" s="131">
        <v>11</v>
      </c>
    </row>
    <row r="175" s="131" customFormat="1" ht="11.5" customHeight="1">
      <c r="A175" s="715"/>
      <c r="B175" s="57"/>
      <c r="C175" s="57"/>
      <c r="D175" s="131"/>
      <c r="K175" s="53"/>
      <c r="L175" s="57"/>
      <c r="M175" s="57"/>
      <c r="N175" s="53"/>
      <c r="O175" s="53"/>
      <c r="P175" s="53"/>
      <c r="Q175" s="53"/>
      <c r="R175" s="57"/>
      <c r="S175" s="53"/>
      <c r="T175" s="53"/>
      <c r="U175" s="716"/>
      <c r="V175" s="53"/>
      <c r="W175" s="53"/>
      <c r="X175" s="53"/>
      <c r="Y175" s="53"/>
      <c r="Z175" s="53"/>
      <c r="AA175" s="56"/>
      <c r="AB175" s="54"/>
      <c r="AC175" s="54"/>
      <c r="AD175" s="54"/>
      <c r="AE175" s="54"/>
      <c r="AF175" s="131">
        <v>11</v>
      </c>
    </row>
    <row r="176" s="131" customFormat="1" ht="11.5" customHeight="1">
      <c r="A176" s="715"/>
      <c r="B176" s="57"/>
      <c r="C176" s="57"/>
      <c r="D176" s="131"/>
      <c r="K176" s="53"/>
      <c r="L176" s="57"/>
      <c r="M176" s="57"/>
      <c r="N176" s="53"/>
      <c r="O176" s="53"/>
      <c r="P176" s="53"/>
      <c r="Q176" s="53"/>
      <c r="R176" s="57"/>
      <c r="S176" s="53"/>
      <c r="T176" s="53"/>
      <c r="U176" s="716"/>
      <c r="V176" s="53"/>
      <c r="W176" s="53"/>
      <c r="X176" s="53"/>
      <c r="Y176" s="53"/>
      <c r="Z176" s="53"/>
      <c r="AA176" s="56"/>
      <c r="AB176" s="54"/>
      <c r="AC176" s="54"/>
      <c r="AD176" s="54"/>
      <c r="AE176" s="54"/>
      <c r="AF176" s="131">
        <v>11</v>
      </c>
    </row>
    <row r="177" s="131" customFormat="1" ht="11.5" customHeight="1">
      <c r="A177" s="715"/>
      <c r="B177" s="57"/>
      <c r="C177" s="57"/>
      <c r="D177" s="131"/>
      <c r="K177" s="53"/>
      <c r="L177" s="57"/>
      <c r="M177" s="57"/>
      <c r="N177" s="53"/>
      <c r="O177" s="53"/>
      <c r="P177" s="53"/>
      <c r="Q177" s="53"/>
      <c r="R177" s="57"/>
      <c r="S177" s="53"/>
      <c r="T177" s="53"/>
      <c r="U177" s="716"/>
      <c r="V177" s="53"/>
      <c r="W177" s="53"/>
      <c r="X177" s="53"/>
      <c r="Y177" s="53"/>
      <c r="Z177" s="53"/>
      <c r="AA177" s="56"/>
      <c r="AB177" s="54"/>
      <c r="AC177" s="54"/>
      <c r="AD177" s="54"/>
      <c r="AE177" s="54"/>
      <c r="AF177" s="131">
        <v>11</v>
      </c>
    </row>
    <row r="178" s="131" customFormat="1" ht="11.5" customHeight="1">
      <c r="A178" s="715"/>
      <c r="B178" s="57"/>
      <c r="C178" s="57"/>
      <c r="D178" s="131"/>
      <c r="K178" s="53"/>
      <c r="L178" s="57"/>
      <c r="M178" s="57"/>
      <c r="N178" s="53"/>
      <c r="O178" s="53"/>
      <c r="P178" s="53"/>
      <c r="Q178" s="53"/>
      <c r="R178" s="57"/>
      <c r="S178" s="53"/>
      <c r="T178" s="53"/>
      <c r="U178" s="716"/>
      <c r="V178" s="53"/>
      <c r="W178" s="53"/>
      <c r="X178" s="53"/>
      <c r="Y178" s="53"/>
      <c r="Z178" s="53"/>
      <c r="AA178" s="56"/>
      <c r="AB178" s="54"/>
      <c r="AC178" s="54"/>
      <c r="AD178" s="54"/>
      <c r="AE178" s="54"/>
      <c r="AF178" s="131">
        <v>11</v>
      </c>
    </row>
    <row r="179" s="131" customFormat="1" ht="11.5" customHeight="1">
      <c r="A179" s="715"/>
      <c r="B179" s="57"/>
      <c r="C179" s="57"/>
      <c r="D179" s="131"/>
      <c r="K179" s="53"/>
      <c r="L179" s="57"/>
      <c r="M179" s="57"/>
      <c r="N179" s="53"/>
      <c r="O179" s="53"/>
      <c r="P179" s="53"/>
      <c r="Q179" s="53"/>
      <c r="R179" s="57"/>
      <c r="S179" s="53"/>
      <c r="T179" s="53"/>
      <c r="U179" s="716"/>
      <c r="V179" s="53"/>
      <c r="W179" s="53"/>
      <c r="X179" s="53"/>
      <c r="Y179" s="53"/>
      <c r="Z179" s="53"/>
      <c r="AA179" s="56"/>
      <c r="AB179" s="54"/>
      <c r="AC179" s="54"/>
      <c r="AD179" s="54"/>
      <c r="AE179" s="54"/>
      <c r="AF179" s="131">
        <v>11</v>
      </c>
    </row>
    <row r="180" s="131" customFormat="1" ht="11.5" customHeight="1">
      <c r="A180" s="715"/>
      <c r="B180" s="57"/>
      <c r="C180" s="57"/>
      <c r="D180" s="131"/>
      <c r="K180" s="53"/>
      <c r="L180" s="57"/>
      <c r="M180" s="57"/>
      <c r="N180" s="53"/>
      <c r="O180" s="53"/>
      <c r="P180" s="53"/>
      <c r="Q180" s="53"/>
      <c r="R180" s="57"/>
      <c r="S180" s="53"/>
      <c r="T180" s="53"/>
      <c r="U180" s="716"/>
      <c r="V180" s="53"/>
      <c r="W180" s="53"/>
      <c r="X180" s="53"/>
      <c r="Y180" s="53"/>
      <c r="Z180" s="53"/>
      <c r="AA180" s="56"/>
      <c r="AB180" s="54"/>
      <c r="AC180" s="54"/>
      <c r="AD180" s="54"/>
      <c r="AE180" s="54"/>
      <c r="AF180" s="131">
        <v>11</v>
      </c>
    </row>
    <row r="181" s="131" customFormat="1" ht="11.5" customHeight="1">
      <c r="A181" s="715"/>
      <c r="B181" s="57"/>
      <c r="C181" s="57"/>
      <c r="D181" s="131"/>
      <c r="K181" s="53"/>
      <c r="L181" s="57"/>
      <c r="M181" s="57"/>
      <c r="N181" s="53"/>
      <c r="O181" s="53"/>
      <c r="P181" s="53"/>
      <c r="Q181" s="53"/>
      <c r="R181" s="57"/>
      <c r="S181" s="53"/>
      <c r="T181" s="53"/>
      <c r="U181" s="716"/>
      <c r="V181" s="53"/>
      <c r="W181" s="53"/>
      <c r="X181" s="53"/>
      <c r="Y181" s="53"/>
      <c r="Z181" s="53"/>
      <c r="AA181" s="56"/>
      <c r="AB181" s="54"/>
      <c r="AC181" s="54"/>
      <c r="AD181" s="54"/>
      <c r="AE181" s="54"/>
      <c r="AF181" s="131">
        <v>11</v>
      </c>
    </row>
    <row r="182" s="131" customFormat="1" ht="11.5" customHeight="1">
      <c r="A182" s="715"/>
      <c r="B182" s="57"/>
      <c r="C182" s="57"/>
      <c r="D182" s="131"/>
      <c r="K182" s="53"/>
      <c r="L182" s="57"/>
      <c r="M182" s="57"/>
      <c r="N182" s="53"/>
      <c r="O182" s="53"/>
      <c r="P182" s="53"/>
      <c r="Q182" s="53"/>
      <c r="R182" s="57"/>
      <c r="S182" s="53"/>
      <c r="T182" s="53"/>
      <c r="U182" s="716"/>
      <c r="V182" s="53"/>
      <c r="W182" s="53"/>
      <c r="X182" s="53"/>
      <c r="Y182" s="53"/>
      <c r="Z182" s="53"/>
      <c r="AA182" s="56"/>
      <c r="AB182" s="54"/>
      <c r="AC182" s="54"/>
      <c r="AD182" s="54"/>
      <c r="AE182" s="54"/>
      <c r="AF182" s="131">
        <v>11</v>
      </c>
    </row>
    <row r="183" s="131" customFormat="1" ht="11.5" customHeight="1">
      <c r="A183" s="715"/>
      <c r="B183" s="57"/>
      <c r="C183" s="57"/>
      <c r="D183" s="131"/>
      <c r="K183" s="53"/>
      <c r="L183" s="57"/>
      <c r="M183" s="57"/>
      <c r="N183" s="53"/>
      <c r="O183" s="53"/>
      <c r="P183" s="53"/>
      <c r="Q183" s="53"/>
      <c r="R183" s="57"/>
      <c r="S183" s="53"/>
      <c r="T183" s="53"/>
      <c r="U183" s="716"/>
      <c r="V183" s="53"/>
      <c r="W183" s="53"/>
      <c r="X183" s="53"/>
      <c r="Y183" s="53"/>
      <c r="Z183" s="53"/>
      <c r="AA183" s="56"/>
      <c r="AB183" s="54"/>
      <c r="AC183" s="54"/>
      <c r="AD183" s="54"/>
      <c r="AE183" s="54"/>
      <c r="AF183" s="131">
        <v>11</v>
      </c>
    </row>
    <row r="184" s="131" customFormat="1" ht="11.5" customHeight="1">
      <c r="A184" s="715"/>
      <c r="B184" s="57"/>
      <c r="C184" s="57"/>
      <c r="D184" s="131"/>
      <c r="K184" s="53"/>
      <c r="L184" s="57"/>
      <c r="M184" s="57"/>
      <c r="N184" s="53"/>
      <c r="O184" s="53"/>
      <c r="P184" s="53"/>
      <c r="Q184" s="53"/>
      <c r="R184" s="57"/>
      <c r="S184" s="53"/>
      <c r="T184" s="53"/>
      <c r="U184" s="716"/>
      <c r="V184" s="53"/>
      <c r="W184" s="53"/>
      <c r="X184" s="53"/>
      <c r="Y184" s="53"/>
      <c r="Z184" s="53"/>
      <c r="AA184" s="56"/>
      <c r="AB184" s="54"/>
      <c r="AC184" s="54"/>
      <c r="AD184" s="54"/>
      <c r="AE184" s="54"/>
      <c r="AF184" s="131">
        <v>11</v>
      </c>
    </row>
    <row r="185" s="131" customFormat="1" ht="11.5" customHeight="1">
      <c r="A185" s="715"/>
      <c r="B185" s="57"/>
      <c r="C185" s="57"/>
      <c r="D185" s="131"/>
      <c r="K185" s="53"/>
      <c r="L185" s="57"/>
      <c r="M185" s="57"/>
      <c r="N185" s="53"/>
      <c r="O185" s="53"/>
      <c r="P185" s="53"/>
      <c r="Q185" s="53"/>
      <c r="R185" s="57"/>
      <c r="S185" s="53"/>
      <c r="T185" s="53"/>
      <c r="U185" s="716"/>
      <c r="V185" s="53"/>
      <c r="W185" s="53"/>
      <c r="X185" s="53"/>
      <c r="Y185" s="53"/>
      <c r="Z185" s="53"/>
      <c r="AA185" s="56"/>
      <c r="AB185" s="54"/>
      <c r="AC185" s="54"/>
      <c r="AD185" s="54"/>
      <c r="AE185" s="54"/>
      <c r="AF185" s="131">
        <v>11</v>
      </c>
    </row>
    <row r="186" s="131" customFormat="1" ht="11.5" customHeight="1">
      <c r="A186" s="715"/>
      <c r="B186" s="57"/>
      <c r="C186" s="57"/>
      <c r="D186" s="131"/>
      <c r="K186" s="53"/>
      <c r="L186" s="57"/>
      <c r="M186" s="57"/>
      <c r="N186" s="53"/>
      <c r="O186" s="53"/>
      <c r="P186" s="53"/>
      <c r="Q186" s="53"/>
      <c r="R186" s="57"/>
      <c r="S186" s="53"/>
      <c r="T186" s="53"/>
      <c r="U186" s="716"/>
      <c r="V186" s="53"/>
      <c r="W186" s="53"/>
      <c r="X186" s="53"/>
      <c r="Y186" s="53"/>
      <c r="Z186" s="53"/>
      <c r="AA186" s="56"/>
      <c r="AB186" s="54"/>
      <c r="AC186" s="54"/>
      <c r="AD186" s="54"/>
      <c r="AE186" s="54"/>
      <c r="AF186" s="131">
        <v>11</v>
      </c>
    </row>
    <row r="187" s="131" customFormat="1" ht="11.5" customHeight="1">
      <c r="A187" s="715"/>
      <c r="B187" s="57"/>
      <c r="C187" s="57"/>
      <c r="D187" s="131"/>
      <c r="K187" s="53"/>
      <c r="L187" s="57"/>
      <c r="M187" s="57"/>
      <c r="N187" s="53"/>
      <c r="O187" s="53"/>
      <c r="P187" s="53"/>
      <c r="Q187" s="53"/>
      <c r="R187" s="57"/>
      <c r="S187" s="53"/>
      <c r="T187" s="53"/>
      <c r="U187" s="716"/>
      <c r="V187" s="53"/>
      <c r="W187" s="53"/>
      <c r="X187" s="53"/>
      <c r="Y187" s="53"/>
      <c r="Z187" s="53"/>
      <c r="AA187" s="56"/>
      <c r="AB187" s="54"/>
      <c r="AC187" s="54"/>
      <c r="AD187" s="54"/>
      <c r="AE187" s="54"/>
      <c r="AF187" s="131">
        <v>11</v>
      </c>
    </row>
    <row r="188" s="131" customFormat="1" ht="11.5" customHeight="1">
      <c r="A188" s="715"/>
      <c r="B188" s="57"/>
      <c r="C188" s="57"/>
      <c r="D188" s="131"/>
      <c r="K188" s="53"/>
      <c r="L188" s="57"/>
      <c r="M188" s="57"/>
      <c r="N188" s="53"/>
      <c r="O188" s="53"/>
      <c r="P188" s="53"/>
      <c r="Q188" s="53"/>
      <c r="R188" s="57"/>
      <c r="S188" s="53"/>
      <c r="T188" s="53"/>
      <c r="U188" s="716"/>
      <c r="V188" s="53"/>
      <c r="W188" s="53"/>
      <c r="X188" s="53"/>
      <c r="Y188" s="53"/>
      <c r="Z188" s="53"/>
      <c r="AA188" s="56"/>
      <c r="AB188" s="54"/>
      <c r="AC188" s="54"/>
      <c r="AD188" s="54"/>
      <c r="AE188" s="54"/>
      <c r="AF188" s="131">
        <v>11</v>
      </c>
    </row>
    <row r="189" s="131" customFormat="1" ht="11.5" customHeight="1">
      <c r="A189" s="715"/>
      <c r="B189" s="57"/>
      <c r="C189" s="57"/>
      <c r="D189" s="131"/>
      <c r="K189" s="53"/>
      <c r="L189" s="57"/>
      <c r="M189" s="57"/>
      <c r="N189" s="53"/>
      <c r="O189" s="53"/>
      <c r="P189" s="53"/>
      <c r="Q189" s="53"/>
      <c r="R189" s="57"/>
      <c r="S189" s="53"/>
      <c r="T189" s="53"/>
      <c r="U189" s="716"/>
      <c r="V189" s="53"/>
      <c r="W189" s="53"/>
      <c r="X189" s="53"/>
      <c r="Y189" s="53"/>
      <c r="Z189" s="53"/>
      <c r="AA189" s="56"/>
      <c r="AB189" s="54"/>
      <c r="AC189" s="54"/>
      <c r="AD189" s="54"/>
      <c r="AE189" s="54"/>
      <c r="AF189" s="131">
        <v>11</v>
      </c>
    </row>
    <row r="190" s="131" customFormat="1" ht="11.5" customHeight="1">
      <c r="A190" s="715"/>
      <c r="B190" s="57"/>
      <c r="C190" s="57"/>
      <c r="D190" s="131"/>
      <c r="K190" s="53"/>
      <c r="L190" s="57"/>
      <c r="M190" s="57"/>
      <c r="N190" s="53"/>
      <c r="O190" s="53"/>
      <c r="P190" s="53"/>
      <c r="Q190" s="53"/>
      <c r="R190" s="57"/>
      <c r="S190" s="53"/>
      <c r="T190" s="53"/>
      <c r="U190" s="716"/>
      <c r="V190" s="53"/>
      <c r="W190" s="53"/>
      <c r="X190" s="53"/>
      <c r="Y190" s="53"/>
      <c r="Z190" s="53"/>
      <c r="AA190" s="56"/>
      <c r="AB190" s="54"/>
      <c r="AC190" s="54"/>
      <c r="AD190" s="54"/>
      <c r="AE190" s="54"/>
      <c r="AF190" s="131">
        <v>11</v>
      </c>
    </row>
    <row r="191" s="131" customFormat="1" ht="11.5" customHeight="1">
      <c r="A191" s="715"/>
      <c r="B191" s="57"/>
      <c r="C191" s="57"/>
      <c r="D191" s="131"/>
      <c r="K191" s="53"/>
      <c r="L191" s="57"/>
      <c r="M191" s="57"/>
      <c r="N191" s="53"/>
      <c r="O191" s="53"/>
      <c r="P191" s="53"/>
      <c r="Q191" s="53"/>
      <c r="R191" s="57"/>
      <c r="S191" s="53"/>
      <c r="T191" s="53"/>
      <c r="U191" s="716"/>
      <c r="V191" s="53"/>
      <c r="W191" s="53"/>
      <c r="X191" s="53"/>
      <c r="Y191" s="53"/>
      <c r="Z191" s="53"/>
      <c r="AA191" s="56"/>
      <c r="AB191" s="54"/>
      <c r="AC191" s="54"/>
      <c r="AD191" s="54"/>
      <c r="AE191" s="54"/>
      <c r="AF191" s="131">
        <v>11</v>
      </c>
    </row>
    <row r="192" s="131" customFormat="1" ht="11.5" customHeight="1">
      <c r="A192" s="715"/>
      <c r="B192" s="57"/>
      <c r="C192" s="57"/>
      <c r="D192" s="131"/>
      <c r="K192" s="53"/>
      <c r="L192" s="57"/>
      <c r="M192" s="57"/>
      <c r="N192" s="53"/>
      <c r="O192" s="53"/>
      <c r="P192" s="53"/>
      <c r="Q192" s="53"/>
      <c r="R192" s="57"/>
      <c r="S192" s="53"/>
      <c r="T192" s="53"/>
      <c r="U192" s="716"/>
      <c r="V192" s="53"/>
      <c r="W192" s="53"/>
      <c r="X192" s="53"/>
      <c r="Y192" s="53"/>
      <c r="Z192" s="53"/>
      <c r="AA192" s="56"/>
      <c r="AB192" s="54"/>
      <c r="AC192" s="54"/>
      <c r="AD192" s="54"/>
      <c r="AE192" s="54"/>
      <c r="AF192" s="131">
        <v>11</v>
      </c>
    </row>
    <row r="193" s="131" customFormat="1" ht="11.5" customHeight="1">
      <c r="A193" s="715"/>
      <c r="B193" s="57"/>
      <c r="C193" s="57"/>
      <c r="D193" s="131"/>
      <c r="K193" s="53"/>
      <c r="L193" s="57"/>
      <c r="M193" s="57"/>
      <c r="N193" s="53"/>
      <c r="O193" s="53"/>
      <c r="P193" s="53"/>
      <c r="Q193" s="53"/>
      <c r="R193" s="57"/>
      <c r="S193" s="53"/>
      <c r="T193" s="53"/>
      <c r="U193" s="716"/>
      <c r="V193" s="53"/>
      <c r="W193" s="53"/>
      <c r="X193" s="53"/>
      <c r="Y193" s="53"/>
      <c r="Z193" s="53"/>
      <c r="AA193" s="56"/>
      <c r="AB193" s="54"/>
      <c r="AC193" s="54"/>
      <c r="AD193" s="54"/>
      <c r="AE193" s="54"/>
      <c r="AF193" s="131">
        <v>11</v>
      </c>
    </row>
    <row r="194" s="131" customFormat="1" ht="11.5" customHeight="1">
      <c r="A194" s="715"/>
      <c r="B194" s="57"/>
      <c r="C194" s="57"/>
      <c r="D194" s="131"/>
      <c r="K194" s="53"/>
      <c r="L194" s="57"/>
      <c r="M194" s="57"/>
      <c r="N194" s="53"/>
      <c r="O194" s="53"/>
      <c r="P194" s="53"/>
      <c r="Q194" s="53"/>
      <c r="R194" s="57"/>
      <c r="S194" s="53"/>
      <c r="T194" s="53"/>
      <c r="U194" s="716"/>
      <c r="V194" s="53"/>
      <c r="W194" s="53"/>
      <c r="X194" s="53"/>
      <c r="Y194" s="53"/>
      <c r="Z194" s="53"/>
      <c r="AA194" s="56"/>
      <c r="AB194" s="54"/>
      <c r="AC194" s="54"/>
      <c r="AD194" s="54"/>
      <c r="AE194" s="54"/>
      <c r="AF194" s="131">
        <v>11</v>
      </c>
    </row>
    <row r="195" s="131" customFormat="1" ht="11.5" customHeight="1">
      <c r="A195" s="715"/>
      <c r="B195" s="57"/>
      <c r="C195" s="57"/>
      <c r="D195" s="131"/>
      <c r="K195" s="53"/>
      <c r="L195" s="57"/>
      <c r="M195" s="57"/>
      <c r="N195" s="53"/>
      <c r="O195" s="53"/>
      <c r="P195" s="53"/>
      <c r="Q195" s="53"/>
      <c r="R195" s="57"/>
      <c r="S195" s="53"/>
      <c r="T195" s="53"/>
      <c r="U195" s="716"/>
      <c r="V195" s="53"/>
      <c r="W195" s="53"/>
      <c r="X195" s="53"/>
      <c r="Y195" s="53"/>
      <c r="Z195" s="53"/>
      <c r="AA195" s="56"/>
      <c r="AB195" s="54"/>
      <c r="AC195" s="54"/>
      <c r="AD195" s="54"/>
      <c r="AE195" s="54"/>
      <c r="AF195" s="131">
        <v>11</v>
      </c>
    </row>
    <row r="196" s="131" customFormat="1" ht="11.5" customHeight="1">
      <c r="A196" s="715"/>
      <c r="B196" s="57"/>
      <c r="C196" s="57"/>
      <c r="D196" s="131"/>
      <c r="K196" s="53"/>
      <c r="L196" s="57"/>
      <c r="M196" s="57"/>
      <c r="N196" s="53"/>
      <c r="O196" s="53"/>
      <c r="P196" s="53"/>
      <c r="Q196" s="53"/>
      <c r="R196" s="57"/>
      <c r="S196" s="53"/>
      <c r="T196" s="53"/>
      <c r="U196" s="716"/>
      <c r="V196" s="53"/>
      <c r="W196" s="53"/>
      <c r="X196" s="53"/>
      <c r="Y196" s="53"/>
      <c r="Z196" s="53"/>
      <c r="AA196" s="56"/>
      <c r="AB196" s="54"/>
      <c r="AC196" s="54"/>
      <c r="AD196" s="54"/>
      <c r="AE196" s="54"/>
      <c r="AF196" s="131">
        <v>11</v>
      </c>
    </row>
    <row r="197" s="131" customFormat="1" ht="11.5" customHeight="1">
      <c r="A197" s="715"/>
      <c r="B197" s="57"/>
      <c r="C197" s="57"/>
      <c r="D197" s="131"/>
      <c r="K197" s="53"/>
      <c r="L197" s="57"/>
      <c r="M197" s="57"/>
      <c r="N197" s="53"/>
      <c r="O197" s="53"/>
      <c r="P197" s="53"/>
      <c r="Q197" s="53"/>
      <c r="R197" s="57"/>
      <c r="S197" s="53"/>
      <c r="T197" s="53"/>
      <c r="U197" s="716"/>
      <c r="V197" s="53"/>
      <c r="W197" s="53"/>
      <c r="X197" s="53"/>
      <c r="Y197" s="53"/>
      <c r="Z197" s="53"/>
      <c r="AA197" s="56"/>
      <c r="AB197" s="54"/>
      <c r="AC197" s="54"/>
      <c r="AD197" s="54"/>
      <c r="AE197" s="54"/>
      <c r="AF197" s="131">
        <v>11</v>
      </c>
    </row>
    <row r="198" s="131" customFormat="1" ht="11.5" customHeight="1">
      <c r="A198" s="715"/>
      <c r="B198" s="57"/>
      <c r="C198" s="57"/>
      <c r="D198" s="131"/>
      <c r="K198" s="53"/>
      <c r="L198" s="57"/>
      <c r="M198" s="57"/>
      <c r="N198" s="53"/>
      <c r="O198" s="53"/>
      <c r="P198" s="53"/>
      <c r="Q198" s="53"/>
      <c r="R198" s="57"/>
      <c r="S198" s="53"/>
      <c r="T198" s="53"/>
      <c r="U198" s="716"/>
      <c r="V198" s="53"/>
      <c r="W198" s="53"/>
      <c r="X198" s="53"/>
      <c r="Y198" s="53"/>
      <c r="Z198" s="53"/>
      <c r="AA198" s="56"/>
      <c r="AB198" s="54"/>
      <c r="AC198" s="54"/>
      <c r="AD198" s="54"/>
      <c r="AE198" s="54"/>
      <c r="AF198" s="131">
        <v>11</v>
      </c>
    </row>
    <row r="199" s="131" customFormat="1" ht="11.5" customHeight="1">
      <c r="A199" s="715"/>
      <c r="B199" s="57"/>
      <c r="C199" s="57"/>
      <c r="D199" s="131"/>
      <c r="K199" s="53"/>
      <c r="L199" s="57"/>
      <c r="M199" s="57"/>
      <c r="N199" s="53"/>
      <c r="O199" s="53"/>
      <c r="P199" s="53"/>
      <c r="Q199" s="53"/>
      <c r="R199" s="57"/>
      <c r="S199" s="53"/>
      <c r="T199" s="53"/>
      <c r="U199" s="716"/>
      <c r="V199" s="53"/>
      <c r="W199" s="53"/>
      <c r="X199" s="53"/>
      <c r="Y199" s="53"/>
      <c r="Z199" s="53"/>
      <c r="AA199" s="56"/>
      <c r="AB199" s="54"/>
      <c r="AC199" s="54"/>
      <c r="AD199" s="54"/>
      <c r="AE199" s="54"/>
      <c r="AF199" s="131">
        <v>11</v>
      </c>
    </row>
    <row r="200" s="131" customFormat="1" ht="11.5" customHeight="1">
      <c r="A200" s="715"/>
      <c r="B200" s="57"/>
      <c r="C200" s="57"/>
      <c r="D200" s="131"/>
      <c r="K200" s="53"/>
      <c r="L200" s="57"/>
      <c r="M200" s="57"/>
      <c r="N200" s="53"/>
      <c r="O200" s="53"/>
      <c r="P200" s="53"/>
      <c r="Q200" s="53"/>
      <c r="R200" s="57"/>
      <c r="S200" s="53"/>
      <c r="T200" s="53"/>
      <c r="U200" s="716"/>
      <c r="V200" s="53"/>
      <c r="W200" s="53"/>
      <c r="X200" s="53"/>
      <c r="Y200" s="53"/>
      <c r="Z200" s="53"/>
      <c r="AA200" s="56"/>
      <c r="AB200" s="54"/>
      <c r="AC200" s="54"/>
      <c r="AD200" s="54"/>
      <c r="AE200" s="54"/>
      <c r="AF200" s="131">
        <v>11</v>
      </c>
    </row>
    <row r="201" s="131" customFormat="1" ht="11.5" customHeight="1">
      <c r="A201" s="715"/>
      <c r="B201" s="57"/>
      <c r="C201" s="57"/>
      <c r="D201" s="131"/>
      <c r="K201" s="53"/>
      <c r="L201" s="57"/>
      <c r="M201" s="57"/>
      <c r="N201" s="53"/>
      <c r="O201" s="53"/>
      <c r="P201" s="53"/>
      <c r="Q201" s="53"/>
      <c r="R201" s="57"/>
      <c r="S201" s="53"/>
      <c r="T201" s="53"/>
      <c r="U201" s="716"/>
      <c r="V201" s="53"/>
      <c r="W201" s="53"/>
      <c r="X201" s="53"/>
      <c r="Y201" s="53"/>
      <c r="Z201" s="53"/>
      <c r="AA201" s="56"/>
      <c r="AB201" s="54"/>
      <c r="AC201" s="54"/>
      <c r="AD201" s="54"/>
      <c r="AE201" s="54"/>
      <c r="AF201" s="131">
        <v>11</v>
      </c>
    </row>
    <row r="202" s="131" customFormat="1" ht="11.5" customHeight="1">
      <c r="A202" s="715"/>
      <c r="B202" s="57"/>
      <c r="C202" s="57"/>
      <c r="D202" s="131"/>
      <c r="K202" s="53"/>
      <c r="L202" s="57"/>
      <c r="M202" s="57"/>
      <c r="N202" s="53"/>
      <c r="O202" s="53"/>
      <c r="P202" s="53"/>
      <c r="Q202" s="53"/>
      <c r="R202" s="57"/>
      <c r="S202" s="53"/>
      <c r="T202" s="53"/>
      <c r="U202" s="716"/>
      <c r="V202" s="53"/>
      <c r="W202" s="53"/>
      <c r="X202" s="53"/>
      <c r="Y202" s="53"/>
      <c r="Z202" s="53"/>
      <c r="AA202" s="56"/>
      <c r="AB202" s="54"/>
      <c r="AC202" s="54"/>
      <c r="AD202" s="54"/>
      <c r="AE202" s="54"/>
      <c r="AF202" s="131">
        <v>11</v>
      </c>
    </row>
    <row r="203" s="131" customFormat="1" ht="11.5" customHeight="1">
      <c r="A203" s="715"/>
      <c r="B203" s="57"/>
      <c r="C203" s="57"/>
      <c r="D203" s="131"/>
      <c r="K203" s="53"/>
      <c r="L203" s="57"/>
      <c r="M203" s="57"/>
      <c r="N203" s="53"/>
      <c r="O203" s="53"/>
      <c r="P203" s="53"/>
      <c r="Q203" s="53"/>
      <c r="R203" s="57"/>
      <c r="S203" s="53"/>
      <c r="T203" s="53"/>
      <c r="U203" s="716"/>
      <c r="V203" s="53"/>
      <c r="W203" s="53"/>
      <c r="X203" s="53"/>
      <c r="Y203" s="53"/>
      <c r="Z203" s="53"/>
      <c r="AA203" s="56"/>
      <c r="AB203" s="54"/>
      <c r="AC203" s="54"/>
      <c r="AD203" s="54"/>
      <c r="AE203" s="54"/>
      <c r="AF203" s="131">
        <v>11</v>
      </c>
    </row>
    <row r="204" s="131" customFormat="1" ht="11.5" customHeight="1">
      <c r="A204" s="715"/>
      <c r="B204" s="57"/>
      <c r="C204" s="57"/>
      <c r="D204" s="131"/>
      <c r="K204" s="53"/>
      <c r="L204" s="57"/>
      <c r="M204" s="57"/>
      <c r="N204" s="53"/>
      <c r="O204" s="53"/>
      <c r="P204" s="53"/>
      <c r="Q204" s="53"/>
      <c r="R204" s="57"/>
      <c r="S204" s="53"/>
      <c r="T204" s="53"/>
      <c r="U204" s="716"/>
      <c r="V204" s="53"/>
      <c r="W204" s="53"/>
      <c r="X204" s="53"/>
      <c r="Y204" s="53"/>
      <c r="Z204" s="53"/>
      <c r="AA204" s="56"/>
      <c r="AB204" s="54"/>
      <c r="AC204" s="54"/>
      <c r="AD204" s="54"/>
      <c r="AE204" s="54"/>
      <c r="AF204" s="131">
        <v>11</v>
      </c>
    </row>
    <row r="205" s="131" customFormat="1" ht="11.5" customHeight="1">
      <c r="A205" s="715"/>
      <c r="B205" s="57"/>
      <c r="C205" s="57"/>
      <c r="D205" s="131"/>
      <c r="K205" s="53"/>
      <c r="L205" s="57"/>
      <c r="M205" s="57"/>
      <c r="N205" s="53"/>
      <c r="O205" s="53"/>
      <c r="P205" s="53"/>
      <c r="Q205" s="53"/>
      <c r="R205" s="57"/>
      <c r="S205" s="53"/>
      <c r="T205" s="53"/>
      <c r="U205" s="716"/>
      <c r="V205" s="53"/>
      <c r="W205" s="53"/>
      <c r="X205" s="53"/>
      <c r="Y205" s="53"/>
      <c r="Z205" s="53"/>
      <c r="AA205" s="56"/>
      <c r="AB205" s="54"/>
      <c r="AC205" s="54"/>
      <c r="AD205" s="54"/>
      <c r="AE205" s="54"/>
      <c r="AF205" s="131">
        <v>11</v>
      </c>
    </row>
    <row r="206" s="131" customFormat="1" ht="11.5" customHeight="1">
      <c r="A206" s="715"/>
      <c r="B206" s="57"/>
      <c r="C206" s="57"/>
      <c r="D206" s="131"/>
      <c r="K206" s="53"/>
      <c r="L206" s="57"/>
      <c r="M206" s="57"/>
      <c r="N206" s="53"/>
      <c r="O206" s="53"/>
      <c r="P206" s="53"/>
      <c r="Q206" s="53"/>
      <c r="R206" s="57"/>
      <c r="S206" s="53"/>
      <c r="T206" s="53"/>
      <c r="U206" s="716"/>
      <c r="V206" s="53"/>
      <c r="W206" s="53"/>
      <c r="X206" s="53"/>
      <c r="Y206" s="53"/>
      <c r="Z206" s="53"/>
      <c r="AA206" s="56"/>
      <c r="AB206" s="54"/>
      <c r="AC206" s="54"/>
      <c r="AD206" s="54"/>
      <c r="AE206" s="54"/>
      <c r="AF206" s="131">
        <v>11</v>
      </c>
    </row>
    <row r="207" s="131" customFormat="1" ht="11.5" customHeight="1">
      <c r="A207" s="715"/>
      <c r="B207" s="57"/>
      <c r="C207" s="57"/>
      <c r="D207" s="131"/>
      <c r="K207" s="53"/>
      <c r="L207" s="57"/>
      <c r="M207" s="57"/>
      <c r="N207" s="53"/>
      <c r="O207" s="53"/>
      <c r="P207" s="53"/>
      <c r="Q207" s="53"/>
      <c r="R207" s="57"/>
      <c r="S207" s="53"/>
      <c r="T207" s="53"/>
      <c r="U207" s="716"/>
      <c r="V207" s="53"/>
      <c r="W207" s="53"/>
      <c r="X207" s="53"/>
      <c r="Y207" s="53"/>
      <c r="Z207" s="53"/>
      <c r="AA207" s="56"/>
      <c r="AB207" s="54"/>
      <c r="AC207" s="54"/>
      <c r="AD207" s="54"/>
      <c r="AE207" s="54"/>
      <c r="AF207" s="131">
        <v>11</v>
      </c>
    </row>
    <row r="208" s="131" customFormat="1" ht="11.5" customHeight="1">
      <c r="A208" s="715"/>
      <c r="B208" s="57"/>
      <c r="C208" s="57"/>
      <c r="D208" s="131"/>
      <c r="K208" s="53"/>
      <c r="L208" s="57"/>
      <c r="M208" s="57"/>
      <c r="N208" s="53"/>
      <c r="O208" s="53"/>
      <c r="P208" s="53"/>
      <c r="Q208" s="53"/>
      <c r="R208" s="57"/>
      <c r="S208" s="53"/>
      <c r="T208" s="53"/>
      <c r="U208" s="716"/>
      <c r="V208" s="53"/>
      <c r="W208" s="53"/>
      <c r="X208" s="53"/>
      <c r="Y208" s="53"/>
      <c r="Z208" s="53"/>
      <c r="AA208" s="56"/>
      <c r="AB208" s="54"/>
      <c r="AC208" s="54"/>
      <c r="AD208" s="54"/>
      <c r="AE208" s="54"/>
      <c r="AF208" s="131">
        <v>11</v>
      </c>
    </row>
    <row r="209" s="131" customFormat="1" ht="11.5" customHeight="1">
      <c r="A209" s="715"/>
      <c r="B209" s="57"/>
      <c r="C209" s="57"/>
      <c r="D209" s="131"/>
      <c r="K209" s="53"/>
      <c r="L209" s="57"/>
      <c r="M209" s="57"/>
      <c r="N209" s="53"/>
      <c r="O209" s="53"/>
      <c r="P209" s="53"/>
      <c r="Q209" s="53"/>
      <c r="R209" s="57"/>
      <c r="S209" s="53"/>
      <c r="T209" s="53"/>
      <c r="U209" s="716"/>
      <c r="V209" s="53"/>
      <c r="W209" s="53"/>
      <c r="X209" s="53"/>
      <c r="Y209" s="53"/>
      <c r="Z209" s="53"/>
      <c r="AA209" s="56"/>
      <c r="AB209" s="54"/>
      <c r="AC209" s="54"/>
      <c r="AD209" s="54"/>
      <c r="AE209" s="54"/>
      <c r="AF209" s="131">
        <v>11</v>
      </c>
    </row>
    <row r="210" s="131" customFormat="1" ht="11.5" customHeight="1">
      <c r="A210" s="715"/>
      <c r="B210" s="57"/>
      <c r="C210" s="57"/>
      <c r="D210" s="131"/>
      <c r="K210" s="53"/>
      <c r="L210" s="57"/>
      <c r="M210" s="57"/>
      <c r="N210" s="53"/>
      <c r="O210" s="53"/>
      <c r="P210" s="53"/>
      <c r="Q210" s="53"/>
      <c r="R210" s="57"/>
      <c r="S210" s="53"/>
      <c r="T210" s="53"/>
      <c r="U210" s="716"/>
      <c r="V210" s="53"/>
      <c r="W210" s="53"/>
      <c r="X210" s="53"/>
      <c r="Y210" s="53"/>
      <c r="Z210" s="53"/>
      <c r="AA210" s="56"/>
      <c r="AB210" s="54"/>
      <c r="AC210" s="54"/>
      <c r="AD210" s="54"/>
      <c r="AE210" s="54"/>
      <c r="AF210" s="131">
        <v>11</v>
      </c>
    </row>
    <row r="211" s="131" customFormat="1" ht="11.5" customHeight="1">
      <c r="A211" s="715"/>
      <c r="B211" s="57"/>
      <c r="C211" s="57"/>
      <c r="D211" s="131"/>
      <c r="K211" s="53"/>
      <c r="L211" s="57"/>
      <c r="M211" s="57"/>
      <c r="N211" s="53"/>
      <c r="O211" s="53"/>
      <c r="P211" s="53"/>
      <c r="Q211" s="53"/>
      <c r="R211" s="57"/>
      <c r="S211" s="53"/>
      <c r="T211" s="53"/>
      <c r="U211" s="716"/>
      <c r="V211" s="53"/>
      <c r="W211" s="53"/>
      <c r="X211" s="53"/>
      <c r="Y211" s="53"/>
      <c r="Z211" s="53"/>
      <c r="AA211" s="56"/>
      <c r="AB211" s="54"/>
      <c r="AC211" s="54"/>
      <c r="AD211" s="54"/>
      <c r="AE211" s="54"/>
      <c r="AF211" s="131">
        <v>11</v>
      </c>
    </row>
    <row r="212" s="131" customFormat="1" ht="11.5" customHeight="1">
      <c r="A212" s="715"/>
      <c r="B212" s="57"/>
      <c r="C212" s="57"/>
      <c r="D212" s="131"/>
      <c r="K212" s="53"/>
      <c r="L212" s="57"/>
      <c r="M212" s="57"/>
      <c r="N212" s="53"/>
      <c r="O212" s="53"/>
      <c r="P212" s="53"/>
      <c r="Q212" s="53"/>
      <c r="R212" s="57"/>
      <c r="S212" s="53"/>
      <c r="T212" s="53"/>
      <c r="U212" s="716"/>
      <c r="V212" s="53"/>
      <c r="W212" s="53"/>
      <c r="X212" s="53"/>
      <c r="Y212" s="53"/>
      <c r="Z212" s="53"/>
      <c r="AA212" s="56"/>
      <c r="AB212" s="54"/>
      <c r="AC212" s="54"/>
      <c r="AD212" s="54"/>
      <c r="AE212" s="54"/>
      <c r="AF212" s="131">
        <v>11</v>
      </c>
    </row>
    <row r="213" s="131" customFormat="1" ht="11.5" customHeight="1">
      <c r="A213" s="715"/>
      <c r="B213" s="57"/>
      <c r="C213" s="57"/>
      <c r="D213" s="131"/>
      <c r="K213" s="53"/>
      <c r="L213" s="57"/>
      <c r="M213" s="57"/>
      <c r="N213" s="53"/>
      <c r="O213" s="53"/>
      <c r="P213" s="53"/>
      <c r="Q213" s="53"/>
      <c r="R213" s="57"/>
      <c r="S213" s="53"/>
      <c r="T213" s="53"/>
      <c r="U213" s="716"/>
      <c r="V213" s="53"/>
      <c r="W213" s="53"/>
      <c r="X213" s="53"/>
      <c r="Y213" s="53"/>
      <c r="Z213" s="53"/>
      <c r="AA213" s="56"/>
      <c r="AB213" s="54"/>
      <c r="AC213" s="54"/>
      <c r="AD213" s="54"/>
      <c r="AE213" s="54"/>
      <c r="AF213" s="131">
        <v>11</v>
      </c>
    </row>
    <row r="214" s="131" customFormat="1" ht="11.5" customHeight="1">
      <c r="A214" s="715"/>
      <c r="B214" s="57"/>
      <c r="C214" s="57"/>
      <c r="D214" s="131"/>
      <c r="K214" s="53"/>
      <c r="L214" s="57"/>
      <c r="M214" s="57"/>
      <c r="N214" s="53"/>
      <c r="O214" s="53"/>
      <c r="P214" s="53"/>
      <c r="Q214" s="53"/>
      <c r="R214" s="57"/>
      <c r="S214" s="53"/>
      <c r="T214" s="53"/>
      <c r="U214" s="716"/>
      <c r="V214" s="53"/>
      <c r="W214" s="53"/>
      <c r="X214" s="53"/>
      <c r="Y214" s="53"/>
      <c r="Z214" s="53"/>
      <c r="AA214" s="56"/>
      <c r="AB214" s="54"/>
      <c r="AC214" s="54"/>
      <c r="AD214" s="54"/>
      <c r="AE214" s="54"/>
      <c r="AF214" s="131">
        <v>11</v>
      </c>
    </row>
    <row r="215" s="131" customFormat="1" ht="11.5" customHeight="1">
      <c r="A215" s="715"/>
      <c r="B215" s="57"/>
      <c r="C215" s="57"/>
      <c r="D215" s="131"/>
      <c r="K215" s="53"/>
      <c r="L215" s="57"/>
      <c r="M215" s="57"/>
      <c r="N215" s="53"/>
      <c r="O215" s="53"/>
      <c r="P215" s="53"/>
      <c r="Q215" s="53"/>
      <c r="R215" s="57"/>
      <c r="S215" s="53"/>
      <c r="T215" s="53"/>
      <c r="U215" s="716"/>
      <c r="V215" s="53"/>
      <c r="W215" s="53"/>
      <c r="X215" s="53"/>
      <c r="Y215" s="53"/>
      <c r="Z215" s="53"/>
      <c r="AA215" s="56"/>
      <c r="AB215" s="54"/>
      <c r="AC215" s="54"/>
      <c r="AD215" s="54"/>
      <c r="AE215" s="54"/>
      <c r="AF215" s="131">
        <v>11</v>
      </c>
    </row>
    <row r="216" s="131" customFormat="1" ht="11.5" customHeight="1">
      <c r="A216" s="715"/>
      <c r="B216" s="57"/>
      <c r="C216" s="57"/>
      <c r="D216" s="131"/>
      <c r="K216" s="53"/>
      <c r="L216" s="57"/>
      <c r="M216" s="57"/>
      <c r="N216" s="53"/>
      <c r="O216" s="53"/>
      <c r="P216" s="53"/>
      <c r="Q216" s="53"/>
      <c r="R216" s="57"/>
      <c r="S216" s="53"/>
      <c r="T216" s="53"/>
      <c r="U216" s="716"/>
      <c r="V216" s="53"/>
      <c r="W216" s="53"/>
      <c r="X216" s="53"/>
      <c r="Y216" s="53"/>
      <c r="Z216" s="53"/>
      <c r="AA216" s="56"/>
      <c r="AB216" s="54"/>
      <c r="AC216" s="54"/>
      <c r="AD216" s="54"/>
      <c r="AE216" s="54"/>
      <c r="AF216" s="131">
        <v>11</v>
      </c>
    </row>
    <row r="217" s="131" customFormat="1" ht="11.5" customHeight="1">
      <c r="A217" s="715"/>
      <c r="B217" s="57"/>
      <c r="C217" s="57"/>
      <c r="D217" s="131"/>
      <c r="K217" s="53"/>
      <c r="L217" s="57"/>
      <c r="M217" s="57"/>
      <c r="N217" s="53"/>
      <c r="O217" s="53"/>
      <c r="P217" s="53"/>
      <c r="Q217" s="53"/>
      <c r="R217" s="57"/>
      <c r="S217" s="53"/>
      <c r="T217" s="53"/>
      <c r="U217" s="716"/>
      <c r="V217" s="53"/>
      <c r="W217" s="53"/>
      <c r="X217" s="53"/>
      <c r="Y217" s="53"/>
      <c r="Z217" s="53"/>
      <c r="AA217" s="56"/>
      <c r="AB217" s="54"/>
      <c r="AC217" s="54"/>
      <c r="AD217" s="54"/>
      <c r="AE217" s="54"/>
      <c r="AF217" s="131">
        <v>11</v>
      </c>
    </row>
    <row r="218" s="131" customFormat="1" ht="11.5" customHeight="1">
      <c r="A218" s="715"/>
      <c r="B218" s="57"/>
      <c r="C218" s="57"/>
      <c r="D218" s="131"/>
      <c r="K218" s="53"/>
      <c r="L218" s="57"/>
      <c r="M218" s="57"/>
      <c r="N218" s="53"/>
      <c r="O218" s="53"/>
      <c r="P218" s="53"/>
      <c r="Q218" s="53"/>
      <c r="R218" s="57"/>
      <c r="S218" s="53"/>
      <c r="T218" s="53"/>
      <c r="U218" s="716"/>
      <c r="V218" s="53"/>
      <c r="W218" s="53"/>
      <c r="X218" s="53"/>
      <c r="Y218" s="53"/>
      <c r="Z218" s="53"/>
      <c r="AA218" s="56"/>
      <c r="AB218" s="54"/>
      <c r="AC218" s="54"/>
      <c r="AD218" s="54"/>
      <c r="AE218" s="54"/>
      <c r="AF218" s="131">
        <v>11</v>
      </c>
    </row>
    <row r="219" s="131" customFormat="1" ht="11.5" customHeight="1">
      <c r="A219" s="715"/>
      <c r="B219" s="57"/>
      <c r="C219" s="57"/>
      <c r="D219" s="131"/>
      <c r="K219" s="53"/>
      <c r="L219" s="57"/>
      <c r="M219" s="57"/>
      <c r="N219" s="53"/>
      <c r="O219" s="53"/>
      <c r="P219" s="53"/>
      <c r="Q219" s="53"/>
      <c r="R219" s="57"/>
      <c r="S219" s="53"/>
      <c r="T219" s="53"/>
      <c r="U219" s="716"/>
      <c r="V219" s="53"/>
      <c r="W219" s="53"/>
      <c r="X219" s="53"/>
      <c r="Y219" s="53"/>
      <c r="Z219" s="53"/>
      <c r="AA219" s="56"/>
      <c r="AB219" s="54"/>
      <c r="AC219" s="54"/>
      <c r="AD219" s="54"/>
      <c r="AE219" s="54"/>
      <c r="AF219" s="131">
        <v>11</v>
      </c>
    </row>
    <row r="220" s="131" customFormat="1" ht="11.5" customHeight="1">
      <c r="A220" s="715"/>
      <c r="B220" s="57"/>
      <c r="C220" s="57"/>
      <c r="D220" s="131"/>
      <c r="K220" s="53"/>
      <c r="L220" s="57"/>
      <c r="M220" s="57"/>
      <c r="N220" s="53"/>
      <c r="O220" s="53"/>
      <c r="P220" s="53"/>
      <c r="Q220" s="53"/>
      <c r="R220" s="57"/>
      <c r="S220" s="53"/>
      <c r="T220" s="53"/>
      <c r="U220" s="716"/>
      <c r="V220" s="53"/>
      <c r="W220" s="53"/>
      <c r="X220" s="53"/>
      <c r="Y220" s="53"/>
      <c r="Z220" s="53"/>
      <c r="AA220" s="56"/>
      <c r="AB220" s="54"/>
      <c r="AC220" s="54"/>
      <c r="AD220" s="54"/>
      <c r="AE220" s="54"/>
      <c r="AF220" s="131">
        <v>11</v>
      </c>
    </row>
    <row r="221" s="131" customFormat="1" ht="11.5" customHeight="1">
      <c r="A221" s="715"/>
      <c r="B221" s="57"/>
      <c r="C221" s="57"/>
      <c r="D221" s="131"/>
      <c r="K221" s="53"/>
      <c r="L221" s="57"/>
      <c r="M221" s="57"/>
      <c r="N221" s="53"/>
      <c r="O221" s="53"/>
      <c r="P221" s="53"/>
      <c r="Q221" s="53"/>
      <c r="R221" s="57"/>
      <c r="S221" s="53"/>
      <c r="T221" s="53"/>
      <c r="U221" s="716"/>
      <c r="V221" s="53"/>
      <c r="W221" s="53"/>
      <c r="X221" s="53"/>
      <c r="Y221" s="53"/>
      <c r="Z221" s="53"/>
      <c r="AA221" s="56"/>
      <c r="AB221" s="54"/>
      <c r="AC221" s="54"/>
      <c r="AD221" s="54"/>
      <c r="AE221" s="54"/>
      <c r="AF221" s="131">
        <v>11</v>
      </c>
    </row>
    <row r="222" s="131" customFormat="1" ht="11.5" customHeight="1">
      <c r="A222" s="715"/>
      <c r="B222" s="57"/>
      <c r="C222" s="57"/>
      <c r="D222" s="131"/>
      <c r="K222" s="53"/>
      <c r="L222" s="57"/>
      <c r="M222" s="57"/>
      <c r="N222" s="53"/>
      <c r="O222" s="53"/>
      <c r="P222" s="53"/>
      <c r="Q222" s="53"/>
      <c r="R222" s="57"/>
      <c r="S222" s="53"/>
      <c r="T222" s="53"/>
      <c r="U222" s="716"/>
      <c r="V222" s="53"/>
      <c r="W222" s="53"/>
      <c r="X222" s="53"/>
      <c r="Y222" s="53"/>
      <c r="Z222" s="53"/>
      <c r="AA222" s="56"/>
      <c r="AB222" s="54"/>
      <c r="AC222" s="54"/>
      <c r="AD222" s="54"/>
      <c r="AE222" s="54"/>
      <c r="AF222" s="131">
        <v>11</v>
      </c>
    </row>
    <row r="223" s="131" customFormat="1" ht="11.5" customHeight="1">
      <c r="A223" s="715"/>
      <c r="B223" s="57"/>
      <c r="C223" s="57"/>
      <c r="D223" s="131"/>
      <c r="K223" s="53"/>
      <c r="L223" s="57"/>
      <c r="M223" s="57"/>
      <c r="N223" s="53"/>
      <c r="O223" s="53"/>
      <c r="P223" s="53"/>
      <c r="Q223" s="53"/>
      <c r="R223" s="57"/>
      <c r="S223" s="53"/>
      <c r="T223" s="53"/>
      <c r="U223" s="716"/>
      <c r="V223" s="53"/>
      <c r="W223" s="53"/>
      <c r="X223" s="53"/>
      <c r="Y223" s="53"/>
      <c r="Z223" s="53"/>
      <c r="AA223" s="56"/>
      <c r="AB223" s="54"/>
      <c r="AC223" s="54"/>
      <c r="AD223" s="54"/>
      <c r="AE223" s="54"/>
      <c r="AF223" s="131">
        <v>11</v>
      </c>
    </row>
    <row r="224" s="131" customFormat="1" ht="11.5" customHeight="1">
      <c r="A224" s="715"/>
      <c r="B224" s="57"/>
      <c r="C224" s="57"/>
      <c r="D224" s="131"/>
      <c r="K224" s="53"/>
      <c r="L224" s="57"/>
      <c r="M224" s="57"/>
      <c r="N224" s="53"/>
      <c r="O224" s="53"/>
      <c r="P224" s="53"/>
      <c r="Q224" s="53"/>
      <c r="R224" s="57"/>
      <c r="S224" s="53"/>
      <c r="T224" s="53"/>
      <c r="U224" s="716"/>
      <c r="V224" s="53"/>
      <c r="W224" s="53"/>
      <c r="X224" s="53"/>
      <c r="Y224" s="53"/>
      <c r="Z224" s="53"/>
      <c r="AA224" s="56"/>
      <c r="AB224" s="54"/>
      <c r="AC224" s="54"/>
      <c r="AD224" s="54"/>
      <c r="AE224" s="54"/>
      <c r="AF224" s="131">
        <v>11</v>
      </c>
    </row>
    <row r="225" s="131" customFormat="1" ht="11.5" customHeight="1">
      <c r="A225" s="715"/>
      <c r="B225" s="57"/>
      <c r="C225" s="57"/>
      <c r="D225" s="131"/>
      <c r="K225" s="53"/>
      <c r="L225" s="57"/>
      <c r="M225" s="57"/>
      <c r="N225" s="53"/>
      <c r="O225" s="53"/>
      <c r="P225" s="53"/>
      <c r="Q225" s="53"/>
      <c r="R225" s="57"/>
      <c r="S225" s="53"/>
      <c r="T225" s="53"/>
      <c r="U225" s="716"/>
      <c r="V225" s="53"/>
      <c r="W225" s="53"/>
      <c r="X225" s="53"/>
      <c r="Y225" s="53"/>
      <c r="Z225" s="53"/>
      <c r="AA225" s="56"/>
      <c r="AB225" s="54"/>
      <c r="AC225" s="54"/>
      <c r="AD225" s="54"/>
      <c r="AE225" s="54"/>
      <c r="AF225" s="131">
        <v>11</v>
      </c>
    </row>
    <row r="226" s="131" customFormat="1" ht="11.5" customHeight="1">
      <c r="A226" s="715"/>
      <c r="B226" s="57"/>
      <c r="C226" s="57"/>
      <c r="D226" s="131"/>
      <c r="K226" s="53"/>
      <c r="L226" s="57"/>
      <c r="M226" s="57"/>
      <c r="N226" s="53"/>
      <c r="O226" s="53"/>
      <c r="P226" s="53"/>
      <c r="Q226" s="53"/>
      <c r="R226" s="57"/>
      <c r="S226" s="53"/>
      <c r="T226" s="53"/>
      <c r="U226" s="716"/>
      <c r="V226" s="53"/>
      <c r="W226" s="53"/>
      <c r="X226" s="53"/>
      <c r="Y226" s="53"/>
      <c r="Z226" s="53"/>
      <c r="AA226" s="56"/>
      <c r="AB226" s="54"/>
      <c r="AC226" s="54"/>
      <c r="AD226" s="54"/>
      <c r="AE226" s="54"/>
      <c r="AF226" s="131">
        <v>11</v>
      </c>
    </row>
    <row r="227" s="131" customFormat="1" ht="11.5" customHeight="1">
      <c r="A227" s="715"/>
      <c r="B227" s="57"/>
      <c r="C227" s="57"/>
      <c r="D227" s="131"/>
      <c r="K227" s="53"/>
      <c r="L227" s="57"/>
      <c r="M227" s="57"/>
      <c r="N227" s="53"/>
      <c r="O227" s="53"/>
      <c r="P227" s="53"/>
      <c r="Q227" s="53"/>
      <c r="R227" s="57"/>
      <c r="S227" s="53"/>
      <c r="T227" s="53"/>
      <c r="U227" s="716"/>
      <c r="V227" s="53"/>
      <c r="W227" s="53"/>
      <c r="X227" s="53"/>
      <c r="Y227" s="53"/>
      <c r="Z227" s="53"/>
      <c r="AA227" s="56"/>
      <c r="AB227" s="54"/>
      <c r="AC227" s="54"/>
      <c r="AD227" s="54"/>
      <c r="AE227" s="54"/>
      <c r="AF227" s="131">
        <v>11</v>
      </c>
    </row>
    <row r="228" s="131" customFormat="1" ht="11.5" customHeight="1">
      <c r="A228" s="715"/>
      <c r="B228" s="57"/>
      <c r="C228" s="57"/>
      <c r="D228" s="131"/>
      <c r="K228" s="53"/>
      <c r="L228" s="57"/>
      <c r="M228" s="57"/>
      <c r="N228" s="53"/>
      <c r="O228" s="53"/>
      <c r="P228" s="53"/>
      <c r="Q228" s="53"/>
      <c r="R228" s="57"/>
      <c r="S228" s="53"/>
      <c r="T228" s="53"/>
      <c r="U228" s="716"/>
      <c r="V228" s="53"/>
      <c r="W228" s="53"/>
      <c r="X228" s="53"/>
      <c r="Y228" s="53"/>
      <c r="Z228" s="53"/>
      <c r="AA228" s="56"/>
      <c r="AB228" s="54"/>
      <c r="AC228" s="54"/>
      <c r="AD228" s="54"/>
      <c r="AE228" s="54"/>
      <c r="AF228" s="131">
        <v>11</v>
      </c>
    </row>
    <row r="229" s="131" customFormat="1" ht="11.5" customHeight="1">
      <c r="A229" s="715"/>
      <c r="B229" s="57"/>
      <c r="C229" s="57"/>
      <c r="D229" s="131"/>
      <c r="K229" s="53"/>
      <c r="L229" s="57"/>
      <c r="M229" s="57"/>
      <c r="N229" s="53"/>
      <c r="O229" s="53"/>
      <c r="P229" s="53"/>
      <c r="Q229" s="53"/>
      <c r="R229" s="57"/>
      <c r="S229" s="53"/>
      <c r="T229" s="53"/>
      <c r="U229" s="716"/>
      <c r="V229" s="53"/>
      <c r="W229" s="53"/>
      <c r="X229" s="53"/>
      <c r="Y229" s="53"/>
      <c r="Z229" s="53"/>
      <c r="AA229" s="56"/>
      <c r="AB229" s="54"/>
      <c r="AC229" s="54"/>
      <c r="AD229" s="54"/>
      <c r="AE229" s="54"/>
      <c r="AF229" s="131">
        <v>11</v>
      </c>
    </row>
    <row r="230" s="131" customFormat="1" ht="11.5" customHeight="1">
      <c r="A230" s="715"/>
      <c r="B230" s="57"/>
      <c r="C230" s="57"/>
      <c r="D230" s="131"/>
      <c r="K230" s="53"/>
      <c r="L230" s="57"/>
      <c r="M230" s="57"/>
      <c r="N230" s="53"/>
      <c r="O230" s="53"/>
      <c r="P230" s="53"/>
      <c r="Q230" s="53"/>
      <c r="R230" s="57"/>
      <c r="S230" s="53"/>
      <c r="T230" s="53"/>
      <c r="U230" s="716"/>
      <c r="V230" s="53"/>
      <c r="W230" s="53"/>
      <c r="X230" s="53"/>
      <c r="Y230" s="53"/>
      <c r="Z230" s="53"/>
      <c r="AA230" s="56"/>
      <c r="AB230" s="54"/>
      <c r="AC230" s="54"/>
      <c r="AD230" s="54"/>
      <c r="AE230" s="54"/>
      <c r="AF230" s="131">
        <v>11</v>
      </c>
    </row>
    <row r="231" s="131" customFormat="1" ht="11.5" customHeight="1">
      <c r="A231" s="715"/>
      <c r="B231" s="57"/>
      <c r="C231" s="57"/>
      <c r="D231" s="131"/>
      <c r="K231" s="53"/>
      <c r="L231" s="57"/>
      <c r="M231" s="57"/>
      <c r="N231" s="53"/>
      <c r="O231" s="53"/>
      <c r="P231" s="53"/>
      <c r="Q231" s="53"/>
      <c r="R231" s="57"/>
      <c r="S231" s="53"/>
      <c r="T231" s="53"/>
      <c r="U231" s="716"/>
      <c r="V231" s="53"/>
      <c r="W231" s="53"/>
      <c r="X231" s="53"/>
      <c r="Y231" s="53"/>
      <c r="Z231" s="53"/>
      <c r="AA231" s="56"/>
      <c r="AB231" s="54"/>
      <c r="AC231" s="54"/>
      <c r="AD231" s="54"/>
      <c r="AE231" s="54"/>
      <c r="AF231" s="131">
        <v>11</v>
      </c>
    </row>
    <row r="232" s="131" customFormat="1" ht="11.5" customHeight="1">
      <c r="A232" s="715"/>
      <c r="B232" s="57"/>
      <c r="C232" s="57"/>
      <c r="D232" s="131"/>
      <c r="K232" s="53"/>
      <c r="L232" s="57"/>
      <c r="M232" s="57"/>
      <c r="N232" s="53"/>
      <c r="O232" s="53"/>
      <c r="P232" s="53"/>
      <c r="Q232" s="53"/>
      <c r="R232" s="57"/>
      <c r="S232" s="53"/>
      <c r="T232" s="53"/>
      <c r="U232" s="716"/>
      <c r="V232" s="53"/>
      <c r="W232" s="53"/>
      <c r="X232" s="53"/>
      <c r="Y232" s="53"/>
      <c r="Z232" s="53"/>
      <c r="AA232" s="56"/>
      <c r="AB232" s="54"/>
      <c r="AC232" s="54"/>
      <c r="AD232" s="54"/>
      <c r="AE232" s="54"/>
      <c r="AF232" s="131">
        <v>11</v>
      </c>
    </row>
    <row r="233" s="131" customFormat="1" ht="11.5" customHeight="1">
      <c r="A233" s="715"/>
      <c r="B233" s="57"/>
      <c r="C233" s="57"/>
      <c r="D233" s="131"/>
      <c r="K233" s="53"/>
      <c r="L233" s="57"/>
      <c r="M233" s="57"/>
      <c r="N233" s="53"/>
      <c r="O233" s="53"/>
      <c r="P233" s="53"/>
      <c r="Q233" s="53"/>
      <c r="R233" s="57"/>
      <c r="S233" s="53"/>
      <c r="T233" s="53"/>
      <c r="U233" s="716"/>
      <c r="V233" s="53"/>
      <c r="W233" s="53"/>
      <c r="X233" s="53"/>
      <c r="Y233" s="53"/>
      <c r="Z233" s="53"/>
      <c r="AA233" s="56"/>
      <c r="AB233" s="54"/>
      <c r="AC233" s="54"/>
      <c r="AD233" s="54"/>
      <c r="AE233" s="54"/>
      <c r="AF233" s="131">
        <v>11</v>
      </c>
    </row>
    <row r="234" s="131" customFormat="1" ht="11.5" customHeight="1">
      <c r="A234" s="715"/>
      <c r="B234" s="57"/>
      <c r="C234" s="57"/>
      <c r="D234" s="131"/>
      <c r="K234" s="53"/>
      <c r="L234" s="57"/>
      <c r="M234" s="57"/>
      <c r="N234" s="53"/>
      <c r="O234" s="53"/>
      <c r="P234" s="53"/>
      <c r="Q234" s="53"/>
      <c r="R234" s="57"/>
      <c r="S234" s="53"/>
      <c r="T234" s="53"/>
      <c r="U234" s="716"/>
      <c r="V234" s="53"/>
      <c r="W234" s="53"/>
      <c r="X234" s="53"/>
      <c r="Y234" s="53"/>
      <c r="Z234" s="53"/>
      <c r="AA234" s="56"/>
      <c r="AB234" s="54"/>
      <c r="AC234" s="54"/>
      <c r="AD234" s="54"/>
      <c r="AE234" s="54"/>
      <c r="AF234" s="131">
        <v>11</v>
      </c>
    </row>
    <row r="235" s="131" customFormat="1" ht="11.5" customHeight="1">
      <c r="A235" s="715"/>
      <c r="B235" s="57"/>
      <c r="C235" s="57"/>
      <c r="D235" s="131"/>
      <c r="K235" s="53"/>
      <c r="L235" s="57"/>
      <c r="M235" s="57"/>
      <c r="N235" s="53"/>
      <c r="O235" s="53"/>
      <c r="P235" s="53"/>
      <c r="Q235" s="53"/>
      <c r="R235" s="57"/>
      <c r="S235" s="53"/>
      <c r="T235" s="53"/>
      <c r="U235" s="716"/>
      <c r="V235" s="53"/>
      <c r="W235" s="53"/>
      <c r="X235" s="53"/>
      <c r="Y235" s="53"/>
      <c r="Z235" s="53"/>
      <c r="AA235" s="56"/>
      <c r="AB235" s="54"/>
      <c r="AC235" s="54"/>
      <c r="AD235" s="54"/>
      <c r="AE235" s="54"/>
      <c r="AF235" s="131">
        <v>11</v>
      </c>
    </row>
    <row r="236" s="131" customFormat="1" ht="11.5" customHeight="1">
      <c r="A236" s="715"/>
      <c r="B236" s="57"/>
      <c r="C236" s="57"/>
      <c r="D236" s="131"/>
      <c r="K236" s="53"/>
      <c r="L236" s="57"/>
      <c r="M236" s="57"/>
      <c r="N236" s="53"/>
      <c r="O236" s="53"/>
      <c r="P236" s="53"/>
      <c r="Q236" s="53"/>
      <c r="R236" s="57"/>
      <c r="S236" s="53"/>
      <c r="T236" s="53"/>
      <c r="U236" s="716"/>
      <c r="V236" s="53"/>
      <c r="W236" s="53"/>
      <c r="X236" s="53"/>
      <c r="Y236" s="53"/>
      <c r="Z236" s="53"/>
      <c r="AA236" s="56"/>
      <c r="AB236" s="54"/>
      <c r="AC236" s="54"/>
      <c r="AD236" s="54"/>
      <c r="AE236" s="54"/>
      <c r="AF236" s="131">
        <v>11</v>
      </c>
    </row>
    <row r="237" s="131" customFormat="1" ht="11.5" customHeight="1">
      <c r="A237" s="715"/>
      <c r="B237" s="57"/>
      <c r="C237" s="57"/>
      <c r="D237" s="131"/>
      <c r="K237" s="53"/>
      <c r="L237" s="57"/>
      <c r="M237" s="57"/>
      <c r="N237" s="53"/>
      <c r="O237" s="53"/>
      <c r="P237" s="53"/>
      <c r="Q237" s="53"/>
      <c r="R237" s="57"/>
      <c r="S237" s="53"/>
      <c r="T237" s="53"/>
      <c r="U237" s="716"/>
      <c r="V237" s="53"/>
      <c r="W237" s="53"/>
      <c r="X237" s="53"/>
      <c r="Y237" s="53"/>
      <c r="Z237" s="53"/>
      <c r="AA237" s="56"/>
      <c r="AB237" s="54"/>
      <c r="AC237" s="54"/>
      <c r="AD237" s="54"/>
      <c r="AE237" s="54"/>
      <c r="AF237" s="131">
        <v>11</v>
      </c>
    </row>
    <row r="238" s="131" customFormat="1" ht="11.5" customHeight="1">
      <c r="A238" s="715"/>
      <c r="B238" s="57"/>
      <c r="C238" s="57"/>
      <c r="D238" s="131"/>
      <c r="K238" s="53"/>
      <c r="L238" s="57"/>
      <c r="M238" s="57"/>
      <c r="N238" s="53"/>
      <c r="O238" s="53"/>
      <c r="P238" s="53"/>
      <c r="Q238" s="53"/>
      <c r="R238" s="57"/>
      <c r="S238" s="53"/>
      <c r="T238" s="53"/>
      <c r="U238" s="716"/>
      <c r="V238" s="53"/>
      <c r="W238" s="53"/>
      <c r="X238" s="53"/>
      <c r="Y238" s="53"/>
      <c r="Z238" s="53"/>
      <c r="AA238" s="56"/>
      <c r="AB238" s="54"/>
      <c r="AC238" s="54"/>
      <c r="AD238" s="54"/>
      <c r="AE238" s="54"/>
      <c r="AF238" s="131">
        <v>11</v>
      </c>
    </row>
    <row r="239" s="131" customFormat="1" ht="11.5" customHeight="1">
      <c r="A239" s="715"/>
      <c r="B239" s="57"/>
      <c r="C239" s="57"/>
      <c r="D239" s="131"/>
      <c r="K239" s="53"/>
      <c r="L239" s="57"/>
      <c r="M239" s="57"/>
      <c r="N239" s="53"/>
      <c r="O239" s="53"/>
      <c r="P239" s="53"/>
      <c r="Q239" s="53"/>
      <c r="R239" s="57"/>
      <c r="S239" s="53"/>
      <c r="T239" s="53"/>
      <c r="U239" s="716"/>
      <c r="V239" s="53"/>
      <c r="W239" s="53"/>
      <c r="X239" s="53"/>
      <c r="Y239" s="53"/>
      <c r="Z239" s="53"/>
      <c r="AA239" s="56"/>
      <c r="AB239" s="54"/>
      <c r="AC239" s="54"/>
      <c r="AD239" s="54"/>
      <c r="AE239" s="54"/>
      <c r="AF239" s="131">
        <v>11</v>
      </c>
    </row>
    <row r="240" s="131" customFormat="1" ht="11.5" customHeight="1">
      <c r="A240" s="715"/>
      <c r="B240" s="57"/>
      <c r="C240" s="57"/>
      <c r="D240" s="131"/>
      <c r="K240" s="53"/>
      <c r="L240" s="57"/>
      <c r="M240" s="57"/>
      <c r="N240" s="53"/>
      <c r="O240" s="53"/>
      <c r="P240" s="53"/>
      <c r="Q240" s="53"/>
      <c r="R240" s="57"/>
      <c r="S240" s="53"/>
      <c r="T240" s="53"/>
      <c r="U240" s="716"/>
      <c r="V240" s="53"/>
      <c r="W240" s="53"/>
      <c r="X240" s="53"/>
      <c r="Y240" s="53"/>
      <c r="Z240" s="53"/>
      <c r="AA240" s="56"/>
      <c r="AB240" s="54"/>
      <c r="AC240" s="54"/>
      <c r="AD240" s="54"/>
      <c r="AE240" s="54"/>
      <c r="AF240" s="131">
        <v>11</v>
      </c>
    </row>
    <row r="241" s="131" customFormat="1" ht="11.5" customHeight="1">
      <c r="A241" s="715"/>
      <c r="B241" s="57"/>
      <c r="C241" s="57"/>
      <c r="D241" s="131"/>
      <c r="K241" s="53"/>
      <c r="L241" s="57"/>
      <c r="M241" s="57"/>
      <c r="N241" s="53"/>
      <c r="O241" s="53"/>
      <c r="P241" s="53"/>
      <c r="Q241" s="53"/>
      <c r="R241" s="57"/>
      <c r="S241" s="53"/>
      <c r="T241" s="53"/>
      <c r="U241" s="716"/>
      <c r="V241" s="53"/>
      <c r="W241" s="53"/>
      <c r="X241" s="53"/>
      <c r="Y241" s="53"/>
      <c r="Z241" s="53"/>
      <c r="AA241" s="56"/>
      <c r="AB241" s="54"/>
      <c r="AC241" s="54"/>
      <c r="AD241" s="54"/>
      <c r="AE241" s="54"/>
      <c r="AF241" s="131">
        <v>11</v>
      </c>
    </row>
    <row r="242" s="131" customFormat="1" ht="11.5" customHeight="1">
      <c r="A242" s="715"/>
      <c r="B242" s="57"/>
      <c r="C242" s="57"/>
      <c r="D242" s="131"/>
      <c r="K242" s="53"/>
      <c r="L242" s="57"/>
      <c r="M242" s="57"/>
      <c r="N242" s="53"/>
      <c r="O242" s="53"/>
      <c r="P242" s="53"/>
      <c r="Q242" s="53"/>
      <c r="R242" s="57"/>
      <c r="S242" s="53"/>
      <c r="T242" s="53"/>
      <c r="U242" s="716"/>
      <c r="V242" s="53"/>
      <c r="W242" s="53"/>
      <c r="X242" s="53"/>
      <c r="Y242" s="53"/>
      <c r="Z242" s="53"/>
      <c r="AA242" s="56"/>
      <c r="AB242" s="54"/>
      <c r="AC242" s="54"/>
      <c r="AD242" s="54"/>
      <c r="AE242" s="54"/>
      <c r="AF242" s="131">
        <v>11</v>
      </c>
    </row>
    <row r="243" s="131" customFormat="1" ht="11.5" customHeight="1">
      <c r="A243" s="715"/>
      <c r="B243" s="57"/>
      <c r="C243" s="57"/>
      <c r="D243" s="131"/>
      <c r="K243" s="53"/>
      <c r="L243" s="57"/>
      <c r="M243" s="57"/>
      <c r="N243" s="53"/>
      <c r="O243" s="53"/>
      <c r="P243" s="53"/>
      <c r="Q243" s="53"/>
      <c r="R243" s="57"/>
      <c r="S243" s="53"/>
      <c r="T243" s="53"/>
      <c r="U243" s="716"/>
      <c r="V243" s="53"/>
      <c r="W243" s="53"/>
      <c r="X243" s="53"/>
      <c r="Y243" s="53"/>
      <c r="Z243" s="53"/>
      <c r="AA243" s="56"/>
      <c r="AB243" s="54"/>
      <c r="AC243" s="54"/>
      <c r="AD243" s="54"/>
      <c r="AE243" s="54"/>
      <c r="AF243" s="131">
        <v>11</v>
      </c>
    </row>
    <row r="244" s="131" customFormat="1" ht="11.5" customHeight="1">
      <c r="A244" s="715"/>
      <c r="B244" s="57"/>
      <c r="C244" s="57"/>
      <c r="D244" s="131"/>
      <c r="K244" s="53"/>
      <c r="L244" s="57"/>
      <c r="M244" s="57"/>
      <c r="N244" s="53"/>
      <c r="O244" s="53"/>
      <c r="P244" s="53"/>
      <c r="Q244" s="53"/>
      <c r="R244" s="57"/>
      <c r="S244" s="53"/>
      <c r="T244" s="53"/>
      <c r="U244" s="716"/>
      <c r="V244" s="53"/>
      <c r="W244" s="53"/>
      <c r="X244" s="53"/>
      <c r="Y244" s="53"/>
      <c r="Z244" s="53"/>
      <c r="AA244" s="56"/>
      <c r="AB244" s="54"/>
      <c r="AC244" s="54"/>
      <c r="AD244" s="54"/>
      <c r="AE244" s="54"/>
      <c r="AF244" s="131">
        <v>11</v>
      </c>
    </row>
    <row r="245" s="131" customFormat="1" ht="11.5" customHeight="1">
      <c r="A245" s="715"/>
      <c r="B245" s="57"/>
      <c r="C245" s="57"/>
      <c r="D245" s="131"/>
      <c r="K245" s="53"/>
      <c r="L245" s="57"/>
      <c r="M245" s="57"/>
      <c r="N245" s="53"/>
      <c r="O245" s="53"/>
      <c r="P245" s="53"/>
      <c r="Q245" s="53"/>
      <c r="R245" s="57"/>
      <c r="S245" s="53"/>
      <c r="T245" s="53"/>
      <c r="U245" s="716"/>
      <c r="V245" s="53"/>
      <c r="W245" s="53"/>
      <c r="X245" s="53"/>
      <c r="Y245" s="53"/>
      <c r="Z245" s="53"/>
      <c r="AA245" s="56"/>
      <c r="AB245" s="54"/>
      <c r="AC245" s="54"/>
      <c r="AD245" s="54"/>
      <c r="AE245" s="54"/>
      <c r="AF245" s="131">
        <v>11</v>
      </c>
    </row>
    <row r="246" s="131" customFormat="1" ht="11.5" customHeight="1">
      <c r="A246" s="715"/>
      <c r="B246" s="57"/>
      <c r="C246" s="57"/>
      <c r="D246" s="131"/>
      <c r="K246" s="53"/>
      <c r="L246" s="57"/>
      <c r="M246" s="57"/>
      <c r="N246" s="53"/>
      <c r="O246" s="53"/>
      <c r="P246" s="53"/>
      <c r="Q246" s="53"/>
      <c r="R246" s="57"/>
      <c r="S246" s="53"/>
      <c r="T246" s="53"/>
      <c r="U246" s="716"/>
      <c r="V246" s="53"/>
      <c r="W246" s="53"/>
      <c r="X246" s="53"/>
      <c r="Y246" s="53"/>
      <c r="Z246" s="53"/>
      <c r="AA246" s="56"/>
      <c r="AB246" s="54"/>
      <c r="AC246" s="54"/>
      <c r="AD246" s="54"/>
      <c r="AE246" s="54"/>
      <c r="AF246" s="131">
        <v>11</v>
      </c>
    </row>
    <row r="247" s="131" customFormat="1" ht="11.5" customHeight="1">
      <c r="A247" s="715"/>
      <c r="B247" s="57"/>
      <c r="C247" s="57"/>
      <c r="D247" s="131"/>
      <c r="K247" s="53"/>
      <c r="L247" s="57"/>
      <c r="M247" s="57"/>
      <c r="N247" s="53"/>
      <c r="O247" s="53"/>
      <c r="P247" s="53"/>
      <c r="Q247" s="53"/>
      <c r="R247" s="57"/>
      <c r="S247" s="53"/>
      <c r="T247" s="53"/>
      <c r="U247" s="716"/>
      <c r="V247" s="53"/>
      <c r="W247" s="53"/>
      <c r="X247" s="53"/>
      <c r="Y247" s="53"/>
      <c r="Z247" s="53"/>
      <c r="AA247" s="56"/>
      <c r="AB247" s="54"/>
      <c r="AC247" s="54"/>
      <c r="AD247" s="54"/>
      <c r="AE247" s="54"/>
      <c r="AF247" s="131">
        <v>11</v>
      </c>
    </row>
    <row r="248" s="131" customFormat="1" ht="11.5" customHeight="1">
      <c r="A248" s="715"/>
      <c r="B248" s="57"/>
      <c r="C248" s="57"/>
      <c r="D248" s="131"/>
      <c r="K248" s="53"/>
      <c r="L248" s="57"/>
      <c r="M248" s="57"/>
      <c r="N248" s="53"/>
      <c r="O248" s="53"/>
      <c r="P248" s="53"/>
      <c r="Q248" s="53"/>
      <c r="R248" s="57"/>
      <c r="S248" s="53"/>
      <c r="T248" s="53"/>
      <c r="U248" s="716"/>
      <c r="V248" s="53"/>
      <c r="W248" s="53"/>
      <c r="X248" s="53"/>
      <c r="Y248" s="53"/>
      <c r="Z248" s="53"/>
      <c r="AA248" s="56"/>
      <c r="AB248" s="54"/>
      <c r="AC248" s="54"/>
      <c r="AD248" s="54"/>
      <c r="AE248" s="54"/>
      <c r="AF248" s="131">
        <v>11</v>
      </c>
    </row>
    <row r="249" s="131" customFormat="1" ht="11.5" customHeight="1">
      <c r="A249" s="715"/>
      <c r="B249" s="57"/>
      <c r="C249" s="57"/>
      <c r="D249" s="131"/>
      <c r="K249" s="53"/>
      <c r="L249" s="57"/>
      <c r="M249" s="57"/>
      <c r="N249" s="53"/>
      <c r="O249" s="53"/>
      <c r="P249" s="53"/>
      <c r="Q249" s="53"/>
      <c r="R249" s="57"/>
      <c r="S249" s="53"/>
      <c r="T249" s="53"/>
      <c r="U249" s="716"/>
      <c r="V249" s="53"/>
      <c r="W249" s="53"/>
      <c r="X249" s="53"/>
      <c r="Y249" s="53"/>
      <c r="Z249" s="53"/>
      <c r="AA249" s="56"/>
      <c r="AB249" s="54"/>
      <c r="AC249" s="54"/>
      <c r="AD249" s="54"/>
      <c r="AE249" s="54"/>
      <c r="AF249" s="131">
        <v>11</v>
      </c>
    </row>
    <row r="250" s="131" customFormat="1" ht="11.5" customHeight="1">
      <c r="A250" s="715"/>
      <c r="B250" s="57"/>
      <c r="C250" s="57"/>
      <c r="D250" s="131"/>
      <c r="K250" s="53"/>
      <c r="L250" s="57"/>
      <c r="M250" s="57"/>
      <c r="N250" s="53"/>
      <c r="O250" s="53"/>
      <c r="P250" s="53"/>
      <c r="Q250" s="53"/>
      <c r="R250" s="57"/>
      <c r="S250" s="53"/>
      <c r="T250" s="53"/>
      <c r="U250" s="716"/>
      <c r="V250" s="53"/>
      <c r="W250" s="53"/>
      <c r="X250" s="53"/>
      <c r="Y250" s="53"/>
      <c r="Z250" s="53"/>
      <c r="AA250" s="56"/>
      <c r="AB250" s="54"/>
      <c r="AC250" s="54"/>
      <c r="AD250" s="54"/>
      <c r="AE250" s="54"/>
      <c r="AF250" s="131">
        <v>11</v>
      </c>
    </row>
    <row r="251" s="131" customFormat="1" ht="11.5" customHeight="1">
      <c r="A251" s="715"/>
      <c r="B251" s="57"/>
      <c r="C251" s="57"/>
      <c r="D251" s="131"/>
      <c r="K251" s="53"/>
      <c r="L251" s="57"/>
      <c r="M251" s="57"/>
      <c r="N251" s="53"/>
      <c r="O251" s="53"/>
      <c r="P251" s="53"/>
      <c r="Q251" s="53"/>
      <c r="R251" s="57"/>
      <c r="S251" s="53"/>
      <c r="T251" s="53"/>
      <c r="U251" s="716"/>
      <c r="V251" s="53"/>
      <c r="W251" s="53"/>
      <c r="X251" s="53"/>
      <c r="Y251" s="53"/>
      <c r="Z251" s="53"/>
      <c r="AA251" s="56"/>
      <c r="AB251" s="54"/>
      <c r="AC251" s="54"/>
      <c r="AD251" s="54"/>
      <c r="AE251" s="54"/>
      <c r="AF251" s="131">
        <v>11</v>
      </c>
    </row>
    <row r="252" s="131" customFormat="1" ht="11.5" customHeight="1">
      <c r="A252" s="715"/>
      <c r="B252" s="57"/>
      <c r="C252" s="57"/>
      <c r="D252" s="131"/>
      <c r="K252" s="53"/>
      <c r="L252" s="57"/>
      <c r="M252" s="57"/>
      <c r="N252" s="53"/>
      <c r="O252" s="53"/>
      <c r="P252" s="53"/>
      <c r="Q252" s="53"/>
      <c r="R252" s="57"/>
      <c r="S252" s="53"/>
      <c r="T252" s="53"/>
      <c r="U252" s="716"/>
      <c r="V252" s="53"/>
      <c r="W252" s="53"/>
      <c r="X252" s="53"/>
      <c r="Y252" s="53"/>
      <c r="Z252" s="53"/>
      <c r="AA252" s="56"/>
      <c r="AB252" s="54"/>
      <c r="AC252" s="54"/>
      <c r="AD252" s="54"/>
      <c r="AE252" s="54"/>
      <c r="AF252" s="131">
        <v>11</v>
      </c>
    </row>
    <row r="253" s="131" customFormat="1" ht="11.5" customHeight="1">
      <c r="A253" s="715"/>
      <c r="B253" s="57"/>
      <c r="C253" s="57"/>
      <c r="D253" s="131"/>
      <c r="K253" s="53"/>
      <c r="L253" s="57"/>
      <c r="M253" s="57"/>
      <c r="N253" s="53"/>
      <c r="O253" s="53"/>
      <c r="P253" s="53"/>
      <c r="Q253" s="53"/>
      <c r="R253" s="57"/>
      <c r="S253" s="53"/>
      <c r="T253" s="53"/>
      <c r="U253" s="716"/>
      <c r="V253" s="53"/>
      <c r="W253" s="53"/>
      <c r="X253" s="53"/>
      <c r="Y253" s="53"/>
      <c r="Z253" s="53"/>
      <c r="AA253" s="56"/>
      <c r="AB253" s="54"/>
      <c r="AC253" s="54"/>
      <c r="AD253" s="54"/>
      <c r="AE253" s="54"/>
      <c r="AF253" s="131">
        <v>11</v>
      </c>
    </row>
    <row r="254" s="131" customFormat="1" ht="11.5" customHeight="1">
      <c r="A254" s="715"/>
      <c r="B254" s="57"/>
      <c r="C254" s="57"/>
      <c r="D254" s="131"/>
      <c r="K254" s="53"/>
      <c r="L254" s="57"/>
      <c r="M254" s="57"/>
      <c r="N254" s="53"/>
      <c r="O254" s="53"/>
      <c r="P254" s="53"/>
      <c r="Q254" s="53"/>
      <c r="R254" s="57"/>
      <c r="S254" s="53"/>
      <c r="T254" s="53"/>
      <c r="U254" s="716"/>
      <c r="V254" s="53"/>
      <c r="W254" s="53"/>
      <c r="X254" s="53"/>
      <c r="Y254" s="53"/>
      <c r="Z254" s="53"/>
      <c r="AA254" s="56"/>
      <c r="AB254" s="54"/>
      <c r="AC254" s="54"/>
      <c r="AD254" s="54"/>
      <c r="AE254" s="54"/>
      <c r="AF254" s="131">
        <v>11</v>
      </c>
    </row>
    <row r="255" s="131" customFormat="1" ht="11.5" customHeight="1">
      <c r="A255" s="715"/>
      <c r="B255" s="57"/>
      <c r="C255" s="57"/>
      <c r="D255" s="131"/>
      <c r="K255" s="53"/>
      <c r="L255" s="57"/>
      <c r="M255" s="57"/>
      <c r="N255" s="53"/>
      <c r="O255" s="53"/>
      <c r="P255" s="53"/>
      <c r="Q255" s="53"/>
      <c r="R255" s="57"/>
      <c r="S255" s="53"/>
      <c r="T255" s="53"/>
      <c r="U255" s="716"/>
      <c r="V255" s="53"/>
      <c r="W255" s="53"/>
      <c r="X255" s="53"/>
      <c r="Y255" s="53"/>
      <c r="Z255" s="53"/>
      <c r="AA255" s="56"/>
      <c r="AB255" s="54"/>
      <c r="AC255" s="54"/>
      <c r="AD255" s="54"/>
      <c r="AE255" s="54"/>
      <c r="AF255" s="131">
        <v>11</v>
      </c>
    </row>
    <row r="256" s="131" customFormat="1" ht="11.5" customHeight="1">
      <c r="A256" s="715"/>
      <c r="B256" s="57"/>
      <c r="C256" s="57"/>
      <c r="D256" s="131"/>
      <c r="K256" s="53"/>
      <c r="L256" s="57"/>
      <c r="M256" s="57"/>
      <c r="N256" s="53"/>
      <c r="O256" s="53"/>
      <c r="P256" s="53"/>
      <c r="Q256" s="53"/>
      <c r="R256" s="57"/>
      <c r="S256" s="53"/>
      <c r="T256" s="53"/>
      <c r="U256" s="716"/>
      <c r="V256" s="53"/>
      <c r="W256" s="53"/>
      <c r="X256" s="53"/>
      <c r="Y256" s="53"/>
      <c r="Z256" s="53"/>
      <c r="AA256" s="56"/>
      <c r="AB256" s="54"/>
      <c r="AC256" s="54"/>
      <c r="AD256" s="54"/>
      <c r="AE256" s="54"/>
      <c r="AF256" s="131">
        <v>11</v>
      </c>
    </row>
    <row r="257" s="131" customFormat="1" ht="11.5" customHeight="1">
      <c r="A257" s="715"/>
      <c r="B257" s="57"/>
      <c r="C257" s="57"/>
      <c r="D257" s="131"/>
      <c r="K257" s="53"/>
      <c r="L257" s="57"/>
      <c r="M257" s="57"/>
      <c r="N257" s="53"/>
      <c r="O257" s="53"/>
      <c r="P257" s="53"/>
      <c r="Q257" s="53"/>
      <c r="R257" s="57"/>
      <c r="S257" s="53"/>
      <c r="T257" s="53"/>
      <c r="U257" s="716"/>
      <c r="V257" s="53"/>
      <c r="W257" s="53"/>
      <c r="X257" s="53"/>
      <c r="Y257" s="53"/>
      <c r="Z257" s="53"/>
      <c r="AA257" s="56"/>
      <c r="AB257" s="54"/>
      <c r="AC257" s="54"/>
      <c r="AD257" s="54"/>
      <c r="AE257" s="54"/>
      <c r="AF257" s="131">
        <v>11</v>
      </c>
    </row>
    <row r="258" s="131" customFormat="1" ht="11.5" customHeight="1">
      <c r="A258" s="715"/>
      <c r="B258" s="57"/>
      <c r="C258" s="57"/>
      <c r="D258" s="131"/>
      <c r="K258" s="53"/>
      <c r="L258" s="57"/>
      <c r="M258" s="57"/>
      <c r="N258" s="53"/>
      <c r="O258" s="53"/>
      <c r="P258" s="53"/>
      <c r="Q258" s="53"/>
      <c r="R258" s="57"/>
      <c r="S258" s="53"/>
      <c r="T258" s="53"/>
      <c r="U258" s="716"/>
      <c r="V258" s="53"/>
      <c r="W258" s="53"/>
      <c r="X258" s="53"/>
      <c r="Y258" s="53"/>
      <c r="Z258" s="53"/>
      <c r="AA258" s="56"/>
      <c r="AB258" s="54"/>
      <c r="AC258" s="54"/>
      <c r="AD258" s="54"/>
      <c r="AE258" s="54"/>
      <c r="AF258" s="131">
        <v>11</v>
      </c>
    </row>
    <row r="259" s="131" customFormat="1" ht="11.5" customHeight="1">
      <c r="A259" s="715"/>
      <c r="B259" s="57"/>
      <c r="C259" s="57"/>
      <c r="D259" s="131"/>
      <c r="K259" s="53"/>
      <c r="L259" s="57"/>
      <c r="M259" s="57"/>
      <c r="N259" s="53"/>
      <c r="O259" s="53"/>
      <c r="P259" s="53"/>
      <c r="Q259" s="53"/>
      <c r="R259" s="57"/>
      <c r="S259" s="53"/>
      <c r="T259" s="53"/>
      <c r="U259" s="716"/>
      <c r="V259" s="53"/>
      <c r="W259" s="53"/>
      <c r="X259" s="53"/>
      <c r="Y259" s="53"/>
      <c r="Z259" s="53"/>
      <c r="AA259" s="56"/>
      <c r="AB259" s="54"/>
      <c r="AC259" s="54"/>
      <c r="AD259" s="54"/>
      <c r="AE259" s="54"/>
      <c r="AF259" s="131">
        <v>11</v>
      </c>
    </row>
    <row r="260" s="131" customFormat="1" ht="11.5" customHeight="1">
      <c r="A260" s="715"/>
      <c r="B260" s="57"/>
      <c r="C260" s="57"/>
      <c r="D260" s="131"/>
      <c r="K260" s="53"/>
      <c r="L260" s="57"/>
      <c r="M260" s="57"/>
      <c r="N260" s="53"/>
      <c r="O260" s="53"/>
      <c r="P260" s="53"/>
      <c r="Q260" s="53"/>
      <c r="R260" s="57"/>
      <c r="S260" s="53"/>
      <c r="T260" s="53"/>
      <c r="U260" s="716"/>
      <c r="V260" s="53"/>
      <c r="W260" s="53"/>
      <c r="X260" s="53"/>
      <c r="Y260" s="53"/>
      <c r="Z260" s="53"/>
      <c r="AA260" s="56"/>
      <c r="AB260" s="54"/>
      <c r="AC260" s="54"/>
      <c r="AD260" s="54"/>
      <c r="AE260" s="54"/>
      <c r="AF260" s="131">
        <v>11</v>
      </c>
    </row>
    <row r="261" s="131" customFormat="1" ht="11.5" customHeight="1">
      <c r="A261" s="715"/>
      <c r="B261" s="57"/>
      <c r="C261" s="57"/>
      <c r="D261" s="131"/>
      <c r="K261" s="53"/>
      <c r="L261" s="57"/>
      <c r="M261" s="57"/>
      <c r="N261" s="53"/>
      <c r="O261" s="53"/>
      <c r="P261" s="53"/>
      <c r="Q261" s="53"/>
      <c r="R261" s="57"/>
      <c r="S261" s="53"/>
      <c r="T261" s="53"/>
      <c r="U261" s="716"/>
      <c r="V261" s="53"/>
      <c r="W261" s="53"/>
      <c r="X261" s="53"/>
      <c r="Y261" s="53"/>
      <c r="Z261" s="53"/>
      <c r="AA261" s="56"/>
      <c r="AB261" s="54"/>
      <c r="AC261" s="54"/>
      <c r="AD261" s="54"/>
      <c r="AE261" s="54"/>
      <c r="AF261" s="131">
        <v>11</v>
      </c>
    </row>
    <row r="262" s="131" customFormat="1" ht="11.5" customHeight="1">
      <c r="A262" s="715"/>
      <c r="B262" s="57"/>
      <c r="C262" s="57"/>
      <c r="D262" s="131"/>
      <c r="K262" s="53"/>
      <c r="L262" s="57"/>
      <c r="M262" s="57"/>
      <c r="N262" s="53"/>
      <c r="O262" s="53"/>
      <c r="P262" s="53"/>
      <c r="Q262" s="53"/>
      <c r="R262" s="57"/>
      <c r="S262" s="53"/>
      <c r="T262" s="53"/>
      <c r="U262" s="716"/>
      <c r="V262" s="53"/>
      <c r="W262" s="53"/>
      <c r="X262" s="53"/>
      <c r="Y262" s="53"/>
      <c r="Z262" s="53"/>
      <c r="AA262" s="56"/>
      <c r="AB262" s="54"/>
      <c r="AC262" s="54"/>
      <c r="AD262" s="54"/>
      <c r="AE262" s="54"/>
      <c r="AF262" s="131">
        <v>11</v>
      </c>
    </row>
    <row r="263" s="131" customFormat="1" ht="11.5" customHeight="1">
      <c r="A263" s="715"/>
      <c r="B263" s="57"/>
      <c r="C263" s="57"/>
      <c r="D263" s="131"/>
      <c r="K263" s="53"/>
      <c r="L263" s="57"/>
      <c r="M263" s="57"/>
      <c r="N263" s="53"/>
      <c r="O263" s="53"/>
      <c r="P263" s="53"/>
      <c r="Q263" s="53"/>
      <c r="R263" s="57"/>
      <c r="S263" s="53"/>
      <c r="T263" s="53"/>
      <c r="U263" s="716"/>
      <c r="V263" s="53"/>
      <c r="W263" s="53"/>
      <c r="X263" s="53"/>
      <c r="Y263" s="53"/>
      <c r="Z263" s="53"/>
      <c r="AA263" s="56"/>
      <c r="AB263" s="54"/>
      <c r="AC263" s="54"/>
      <c r="AD263" s="54"/>
      <c r="AE263" s="54"/>
      <c r="AF263" s="131">
        <v>11</v>
      </c>
    </row>
    <row r="264" s="131" customFormat="1" ht="11.5" customHeight="1">
      <c r="A264" s="715"/>
      <c r="B264" s="57"/>
      <c r="C264" s="57"/>
      <c r="D264" s="131"/>
      <c r="K264" s="53"/>
      <c r="L264" s="57"/>
      <c r="M264" s="57"/>
      <c r="N264" s="53"/>
      <c r="O264" s="53"/>
      <c r="P264" s="53"/>
      <c r="Q264" s="53"/>
      <c r="R264" s="57"/>
      <c r="S264" s="53"/>
      <c r="T264" s="53"/>
      <c r="U264" s="716"/>
      <c r="V264" s="53"/>
      <c r="W264" s="53"/>
      <c r="X264" s="53"/>
      <c r="Y264" s="53"/>
      <c r="Z264" s="53"/>
      <c r="AA264" s="56"/>
      <c r="AB264" s="54"/>
      <c r="AC264" s="54"/>
      <c r="AD264" s="54"/>
      <c r="AE264" s="54"/>
      <c r="AF264" s="131">
        <v>11</v>
      </c>
    </row>
    <row r="265" s="131" customFormat="1" ht="11.5" customHeight="1">
      <c r="A265" s="715"/>
      <c r="B265" s="57"/>
      <c r="C265" s="57"/>
      <c r="D265" s="131"/>
      <c r="K265" s="53"/>
      <c r="L265" s="57"/>
      <c r="M265" s="57"/>
      <c r="N265" s="53"/>
      <c r="O265" s="53"/>
      <c r="P265" s="53"/>
      <c r="Q265" s="53"/>
      <c r="R265" s="57"/>
      <c r="S265" s="53"/>
      <c r="T265" s="53"/>
      <c r="U265" s="716"/>
      <c r="V265" s="53"/>
      <c r="W265" s="53"/>
      <c r="X265" s="53"/>
      <c r="Y265" s="53"/>
      <c r="Z265" s="53"/>
      <c r="AA265" s="56"/>
      <c r="AB265" s="54"/>
      <c r="AC265" s="54"/>
      <c r="AD265" s="54"/>
      <c r="AE265" s="54"/>
      <c r="AF265" s="131">
        <v>11</v>
      </c>
    </row>
    <row r="266" s="131" customFormat="1" ht="11.5" customHeight="1">
      <c r="A266" s="715"/>
      <c r="B266" s="57"/>
      <c r="C266" s="57"/>
      <c r="D266" s="131"/>
      <c r="K266" s="53"/>
      <c r="L266" s="57"/>
      <c r="M266" s="57"/>
      <c r="N266" s="53"/>
      <c r="O266" s="53"/>
      <c r="P266" s="53"/>
      <c r="Q266" s="53"/>
      <c r="R266" s="57"/>
      <c r="S266" s="53"/>
      <c r="T266" s="53"/>
      <c r="U266" s="716"/>
      <c r="V266" s="53"/>
      <c r="W266" s="53"/>
      <c r="X266" s="53"/>
      <c r="Y266" s="53"/>
      <c r="Z266" s="53"/>
      <c r="AA266" s="56"/>
      <c r="AB266" s="54"/>
      <c r="AC266" s="54"/>
      <c r="AD266" s="54"/>
      <c r="AE266" s="54"/>
      <c r="AF266" s="131">
        <v>11</v>
      </c>
    </row>
    <row r="267" s="131" customFormat="1" ht="11.5" customHeight="1">
      <c r="A267" s="715"/>
      <c r="B267" s="57"/>
      <c r="C267" s="57"/>
      <c r="D267" s="131"/>
      <c r="K267" s="53"/>
      <c r="L267" s="57"/>
      <c r="M267" s="57"/>
      <c r="N267" s="53"/>
      <c r="O267" s="53"/>
      <c r="P267" s="53"/>
      <c r="Q267" s="53"/>
      <c r="R267" s="57"/>
      <c r="S267" s="53"/>
      <c r="T267" s="53"/>
      <c r="U267" s="716"/>
      <c r="V267" s="53"/>
      <c r="W267" s="53"/>
      <c r="X267" s="53"/>
      <c r="Y267" s="53"/>
      <c r="Z267" s="53"/>
      <c r="AA267" s="56"/>
      <c r="AB267" s="54"/>
      <c r="AC267" s="54"/>
      <c r="AD267" s="54"/>
      <c r="AE267" s="54"/>
      <c r="AF267" s="131">
        <v>11</v>
      </c>
    </row>
    <row r="268" s="131" customFormat="1" ht="11.5" customHeight="1">
      <c r="A268" s="715"/>
      <c r="B268" s="57"/>
      <c r="C268" s="57"/>
      <c r="D268" s="131"/>
      <c r="K268" s="53"/>
      <c r="L268" s="57"/>
      <c r="M268" s="57"/>
      <c r="N268" s="53"/>
      <c r="O268" s="53"/>
      <c r="P268" s="53"/>
      <c r="Q268" s="53"/>
      <c r="R268" s="57"/>
      <c r="S268" s="53"/>
      <c r="T268" s="53"/>
      <c r="U268" s="716"/>
      <c r="V268" s="53"/>
      <c r="W268" s="53"/>
      <c r="X268" s="53"/>
      <c r="Y268" s="53"/>
      <c r="Z268" s="53"/>
      <c r="AA268" s="56"/>
      <c r="AB268" s="54"/>
      <c r="AC268" s="54"/>
      <c r="AD268" s="54"/>
      <c r="AE268" s="54"/>
      <c r="AF268" s="131">
        <v>11</v>
      </c>
    </row>
    <row r="269" s="131" customFormat="1" ht="11.5" customHeight="1">
      <c r="A269" s="715"/>
      <c r="B269" s="57"/>
      <c r="C269" s="57"/>
      <c r="D269" s="131"/>
      <c r="K269" s="53"/>
      <c r="L269" s="57"/>
      <c r="M269" s="57"/>
      <c r="N269" s="53"/>
      <c r="O269" s="53"/>
      <c r="P269" s="53"/>
      <c r="Q269" s="53"/>
      <c r="R269" s="57"/>
      <c r="S269" s="53"/>
      <c r="T269" s="53"/>
      <c r="U269" s="716"/>
      <c r="V269" s="53"/>
      <c r="W269" s="53"/>
      <c r="X269" s="53"/>
      <c r="Y269" s="53"/>
      <c r="Z269" s="53"/>
      <c r="AA269" s="56"/>
      <c r="AB269" s="54"/>
      <c r="AC269" s="54"/>
      <c r="AD269" s="54"/>
      <c r="AE269" s="54"/>
      <c r="AF269" s="131">
        <v>11</v>
      </c>
    </row>
    <row r="270" s="131" customFormat="1" ht="11.5" customHeight="1">
      <c r="A270" s="715"/>
      <c r="B270" s="57"/>
      <c r="C270" s="57"/>
      <c r="D270" s="131"/>
      <c r="K270" s="53"/>
      <c r="L270" s="57"/>
      <c r="M270" s="57"/>
      <c r="N270" s="53"/>
      <c r="O270" s="53"/>
      <c r="P270" s="53"/>
      <c r="Q270" s="53"/>
      <c r="R270" s="57"/>
      <c r="S270" s="53"/>
      <c r="T270" s="53"/>
      <c r="U270" s="716"/>
      <c r="V270" s="53"/>
      <c r="W270" s="53"/>
      <c r="X270" s="53"/>
      <c r="Y270" s="53"/>
      <c r="Z270" s="53"/>
      <c r="AA270" s="56"/>
      <c r="AB270" s="54"/>
      <c r="AC270" s="54"/>
      <c r="AD270" s="54"/>
      <c r="AE270" s="54"/>
      <c r="AF270" s="131">
        <v>11</v>
      </c>
    </row>
    <row r="271" s="131" customFormat="1" ht="11.5" customHeight="1">
      <c r="A271" s="715"/>
      <c r="B271" s="57"/>
      <c r="C271" s="57"/>
      <c r="D271" s="131"/>
      <c r="K271" s="53"/>
      <c r="L271" s="57"/>
      <c r="M271" s="57"/>
      <c r="N271" s="53"/>
      <c r="O271" s="53"/>
      <c r="P271" s="53"/>
      <c r="Q271" s="53"/>
      <c r="R271" s="57"/>
      <c r="S271" s="53"/>
      <c r="T271" s="53"/>
      <c r="U271" s="716"/>
      <c r="V271" s="53"/>
      <c r="W271" s="53"/>
      <c r="X271" s="53"/>
      <c r="Y271" s="53"/>
      <c r="Z271" s="53"/>
      <c r="AA271" s="56"/>
      <c r="AB271" s="54"/>
      <c r="AC271" s="54"/>
      <c r="AD271" s="54"/>
      <c r="AE271" s="54"/>
      <c r="AF271" s="131">
        <v>11</v>
      </c>
    </row>
    <row r="272" s="131" customFormat="1" ht="11.5" customHeight="1">
      <c r="A272" s="715"/>
      <c r="B272" s="57"/>
      <c r="C272" s="57"/>
      <c r="D272" s="131"/>
      <c r="K272" s="53"/>
      <c r="L272" s="57"/>
      <c r="M272" s="57"/>
      <c r="N272" s="53"/>
      <c r="O272" s="53"/>
      <c r="P272" s="53"/>
      <c r="Q272" s="53"/>
      <c r="R272" s="57"/>
      <c r="S272" s="53"/>
      <c r="T272" s="53"/>
      <c r="U272" s="716"/>
      <c r="V272" s="53"/>
      <c r="W272" s="53"/>
      <c r="X272" s="53"/>
      <c r="Y272" s="53"/>
      <c r="Z272" s="53"/>
      <c r="AA272" s="56"/>
      <c r="AB272" s="54"/>
      <c r="AC272" s="54"/>
      <c r="AD272" s="54"/>
      <c r="AE272" s="54"/>
      <c r="AF272" s="131">
        <v>11</v>
      </c>
    </row>
    <row r="273" s="131" customFormat="1" ht="11.5" customHeight="1">
      <c r="A273" s="715"/>
      <c r="B273" s="57"/>
      <c r="C273" s="57"/>
      <c r="D273" s="131"/>
      <c r="K273" s="53"/>
      <c r="L273" s="57"/>
      <c r="M273" s="57"/>
      <c r="N273" s="53"/>
      <c r="O273" s="53"/>
      <c r="P273" s="53"/>
      <c r="Q273" s="53"/>
      <c r="R273" s="57"/>
      <c r="S273" s="53"/>
      <c r="T273" s="53"/>
      <c r="U273" s="716"/>
      <c r="V273" s="53"/>
      <c r="W273" s="53"/>
      <c r="X273" s="53"/>
      <c r="Y273" s="53"/>
      <c r="Z273" s="53"/>
      <c r="AA273" s="56"/>
      <c r="AB273" s="54"/>
      <c r="AC273" s="54"/>
      <c r="AD273" s="54"/>
      <c r="AE273" s="54"/>
      <c r="AF273" s="131">
        <v>11</v>
      </c>
    </row>
    <row r="274" s="131" customFormat="1" ht="11.5" customHeight="1">
      <c r="A274" s="715"/>
      <c r="B274" s="57"/>
      <c r="C274" s="57"/>
      <c r="D274" s="131"/>
      <c r="K274" s="53"/>
      <c r="L274" s="57"/>
      <c r="M274" s="57"/>
      <c r="N274" s="53"/>
      <c r="O274" s="53"/>
      <c r="P274" s="53"/>
      <c r="Q274" s="53"/>
      <c r="R274" s="57"/>
      <c r="S274" s="53"/>
      <c r="T274" s="53"/>
      <c r="U274" s="716"/>
      <c r="V274" s="53"/>
      <c r="W274" s="53"/>
      <c r="X274" s="53"/>
      <c r="Y274" s="53"/>
      <c r="Z274" s="53"/>
      <c r="AA274" s="56"/>
      <c r="AB274" s="54"/>
      <c r="AC274" s="54"/>
      <c r="AD274" s="54"/>
      <c r="AE274" s="54"/>
      <c r="AF274" s="131">
        <v>11</v>
      </c>
    </row>
    <row r="275" s="131" customFormat="1" ht="11.5" customHeight="1">
      <c r="A275" s="715"/>
      <c r="B275" s="57"/>
      <c r="C275" s="57"/>
      <c r="D275" s="131"/>
      <c r="K275" s="53"/>
      <c r="L275" s="57"/>
      <c r="M275" s="57"/>
      <c r="N275" s="53"/>
      <c r="O275" s="53"/>
      <c r="P275" s="53"/>
      <c r="Q275" s="53"/>
      <c r="R275" s="57"/>
      <c r="S275" s="53"/>
      <c r="T275" s="53"/>
      <c r="U275" s="716"/>
      <c r="V275" s="53"/>
      <c r="W275" s="53"/>
      <c r="X275" s="53"/>
      <c r="Y275" s="53"/>
      <c r="Z275" s="53"/>
      <c r="AA275" s="56"/>
      <c r="AB275" s="54"/>
      <c r="AC275" s="54"/>
      <c r="AD275" s="54"/>
      <c r="AE275" s="54"/>
      <c r="AF275" s="131">
        <v>11</v>
      </c>
    </row>
    <row r="276" s="131" customFormat="1" ht="11.5" customHeight="1">
      <c r="A276" s="715"/>
      <c r="B276" s="57"/>
      <c r="C276" s="57"/>
      <c r="D276" s="131"/>
      <c r="K276" s="53"/>
      <c r="L276" s="57"/>
      <c r="M276" s="57"/>
      <c r="N276" s="53"/>
      <c r="O276" s="53"/>
      <c r="P276" s="53"/>
      <c r="Q276" s="53"/>
      <c r="R276" s="57"/>
      <c r="S276" s="53"/>
      <c r="T276" s="53"/>
      <c r="U276" s="716"/>
      <c r="V276" s="53"/>
      <c r="W276" s="53"/>
      <c r="X276" s="53"/>
      <c r="Y276" s="53"/>
      <c r="Z276" s="53"/>
      <c r="AA276" s="56"/>
      <c r="AB276" s="54"/>
      <c r="AC276" s="54"/>
      <c r="AD276" s="54"/>
      <c r="AE276" s="54"/>
      <c r="AF276" s="131">
        <v>11</v>
      </c>
    </row>
    <row r="277" s="131" customFormat="1" ht="11.5" customHeight="1">
      <c r="A277" s="715"/>
      <c r="B277" s="57"/>
      <c r="C277" s="57"/>
      <c r="D277" s="131"/>
      <c r="K277" s="53"/>
      <c r="L277" s="57"/>
      <c r="M277" s="57"/>
      <c r="N277" s="53"/>
      <c r="O277" s="53"/>
      <c r="P277" s="53"/>
      <c r="Q277" s="53"/>
      <c r="R277" s="57"/>
      <c r="S277" s="53"/>
      <c r="T277" s="53"/>
      <c r="U277" s="716"/>
      <c r="V277" s="53"/>
      <c r="W277" s="53"/>
      <c r="X277" s="53"/>
      <c r="Y277" s="53"/>
      <c r="Z277" s="53"/>
      <c r="AA277" s="56"/>
      <c r="AB277" s="54"/>
      <c r="AC277" s="54"/>
      <c r="AD277" s="54"/>
      <c r="AE277" s="54"/>
      <c r="AF277" s="131">
        <v>11</v>
      </c>
    </row>
    <row r="278" s="131" customFormat="1" ht="11.5" customHeight="1">
      <c r="A278" s="715"/>
      <c r="B278" s="57"/>
      <c r="C278" s="57"/>
      <c r="D278" s="131"/>
      <c r="K278" s="53"/>
      <c r="L278" s="57"/>
      <c r="M278" s="57"/>
      <c r="N278" s="53"/>
      <c r="O278" s="53"/>
      <c r="P278" s="53"/>
      <c r="Q278" s="53"/>
      <c r="R278" s="57"/>
      <c r="S278" s="53"/>
      <c r="T278" s="53"/>
      <c r="U278" s="716"/>
      <c r="V278" s="53"/>
      <c r="W278" s="53"/>
      <c r="X278" s="53"/>
      <c r="Y278" s="53"/>
      <c r="Z278" s="53"/>
      <c r="AA278" s="56"/>
      <c r="AB278" s="54"/>
      <c r="AC278" s="54"/>
      <c r="AD278" s="54"/>
      <c r="AE278" s="54"/>
      <c r="AF278" s="131">
        <v>11</v>
      </c>
    </row>
    <row r="279" s="131" customFormat="1" ht="11.5" customHeight="1">
      <c r="A279" s="715"/>
      <c r="B279" s="57"/>
      <c r="C279" s="57"/>
      <c r="D279" s="131"/>
      <c r="K279" s="53"/>
      <c r="L279" s="57"/>
      <c r="M279" s="57"/>
      <c r="N279" s="53"/>
      <c r="O279" s="53"/>
      <c r="P279" s="53"/>
      <c r="Q279" s="53"/>
      <c r="R279" s="57"/>
      <c r="S279" s="53"/>
      <c r="T279" s="53"/>
      <c r="U279" s="716"/>
      <c r="V279" s="53"/>
      <c r="W279" s="53"/>
      <c r="X279" s="53"/>
      <c r="Y279" s="53"/>
      <c r="Z279" s="53"/>
      <c r="AA279" s="56"/>
      <c r="AB279" s="54"/>
      <c r="AC279" s="54"/>
      <c r="AD279" s="54"/>
      <c r="AE279" s="54"/>
      <c r="AF279" s="131">
        <v>11</v>
      </c>
    </row>
    <row r="280" s="131" customFormat="1" ht="11.5" customHeight="1">
      <c r="A280" s="715"/>
      <c r="B280" s="57"/>
      <c r="C280" s="57"/>
      <c r="D280" s="131"/>
      <c r="K280" s="53"/>
      <c r="L280" s="57"/>
      <c r="M280" s="57"/>
      <c r="N280" s="53"/>
      <c r="O280" s="53"/>
      <c r="P280" s="53"/>
      <c r="Q280" s="53"/>
      <c r="R280" s="57"/>
      <c r="S280" s="53"/>
      <c r="T280" s="53"/>
      <c r="U280" s="716"/>
      <c r="V280" s="53"/>
      <c r="W280" s="53"/>
      <c r="X280" s="53"/>
      <c r="Y280" s="53"/>
      <c r="Z280" s="53"/>
      <c r="AA280" s="56"/>
      <c r="AB280" s="54"/>
      <c r="AC280" s="54"/>
      <c r="AD280" s="54"/>
      <c r="AE280" s="54"/>
      <c r="AF280" s="131">
        <v>11</v>
      </c>
    </row>
    <row r="281" s="131" customFormat="1" ht="11.5" customHeight="1">
      <c r="A281" s="715"/>
      <c r="B281" s="57"/>
      <c r="C281" s="57"/>
      <c r="D281" s="131"/>
      <c r="K281" s="53"/>
      <c r="L281" s="57"/>
      <c r="M281" s="57"/>
      <c r="N281" s="53"/>
      <c r="O281" s="53"/>
      <c r="P281" s="53"/>
      <c r="Q281" s="53"/>
      <c r="R281" s="57"/>
      <c r="S281" s="53"/>
      <c r="T281" s="53"/>
      <c r="U281" s="716"/>
      <c r="V281" s="53"/>
      <c r="W281" s="53"/>
      <c r="X281" s="53"/>
      <c r="Y281" s="53"/>
      <c r="Z281" s="53"/>
      <c r="AA281" s="56"/>
      <c r="AB281" s="54"/>
      <c r="AC281" s="54"/>
      <c r="AD281" s="54"/>
      <c r="AE281" s="54"/>
      <c r="AF281" s="131">
        <v>11</v>
      </c>
    </row>
    <row r="282" s="131" customFormat="1" ht="11.5" customHeight="1">
      <c r="A282" s="715"/>
      <c r="B282" s="57"/>
      <c r="C282" s="57"/>
      <c r="D282" s="131"/>
      <c r="K282" s="53"/>
      <c r="L282" s="57"/>
      <c r="M282" s="57"/>
      <c r="N282" s="53"/>
      <c r="O282" s="53"/>
      <c r="P282" s="53"/>
      <c r="Q282" s="53"/>
      <c r="R282" s="57"/>
      <c r="S282" s="53"/>
      <c r="T282" s="53"/>
      <c r="U282" s="716"/>
      <c r="V282" s="53"/>
      <c r="W282" s="53"/>
      <c r="X282" s="53"/>
      <c r="Y282" s="53"/>
      <c r="Z282" s="53"/>
      <c r="AA282" s="56"/>
      <c r="AB282" s="54"/>
      <c r="AC282" s="54"/>
      <c r="AD282" s="54"/>
      <c r="AE282" s="54"/>
      <c r="AF282" s="131">
        <v>11</v>
      </c>
    </row>
    <row r="283" s="131" customFormat="1" ht="11.5" customHeight="1">
      <c r="A283" s="715"/>
      <c r="B283" s="57"/>
      <c r="C283" s="57"/>
      <c r="D283" s="131"/>
      <c r="K283" s="53"/>
      <c r="L283" s="57"/>
      <c r="M283" s="57"/>
      <c r="N283" s="53"/>
      <c r="O283" s="53"/>
      <c r="P283" s="53"/>
      <c r="Q283" s="53"/>
      <c r="R283" s="57"/>
      <c r="S283" s="53"/>
      <c r="T283" s="53"/>
      <c r="U283" s="716"/>
      <c r="V283" s="53"/>
      <c r="W283" s="53"/>
      <c r="X283" s="53"/>
      <c r="Y283" s="53"/>
      <c r="Z283" s="53"/>
      <c r="AA283" s="56"/>
      <c r="AB283" s="54"/>
      <c r="AC283" s="54"/>
      <c r="AD283" s="54"/>
      <c r="AE283" s="54"/>
      <c r="AF283" s="131">
        <v>11</v>
      </c>
    </row>
    <row r="284" s="131" customFormat="1" ht="11.5" customHeight="1">
      <c r="A284" s="715"/>
      <c r="B284" s="57"/>
      <c r="C284" s="57"/>
      <c r="D284" s="131"/>
      <c r="K284" s="53"/>
      <c r="L284" s="57"/>
      <c r="M284" s="57"/>
      <c r="N284" s="53"/>
      <c r="O284" s="53"/>
      <c r="P284" s="53"/>
      <c r="Q284" s="53"/>
      <c r="R284" s="57"/>
      <c r="S284" s="53"/>
      <c r="T284" s="53"/>
      <c r="U284" s="716"/>
      <c r="V284" s="53"/>
      <c r="W284" s="53"/>
      <c r="X284" s="53"/>
      <c r="Y284" s="53"/>
      <c r="Z284" s="53"/>
      <c r="AA284" s="56"/>
      <c r="AB284" s="54"/>
      <c r="AC284" s="54"/>
      <c r="AD284" s="54"/>
      <c r="AE284" s="54"/>
      <c r="AF284" s="131">
        <v>11</v>
      </c>
    </row>
    <row r="285" s="131" customFormat="1" ht="11.5" customHeight="1">
      <c r="A285" s="715"/>
      <c r="B285" s="57"/>
      <c r="C285" s="57"/>
      <c r="D285" s="131"/>
      <c r="K285" s="53"/>
      <c r="L285" s="57"/>
      <c r="M285" s="57"/>
      <c r="N285" s="53"/>
      <c r="O285" s="53"/>
      <c r="P285" s="53"/>
      <c r="Q285" s="53"/>
      <c r="R285" s="57"/>
      <c r="S285" s="53"/>
      <c r="T285" s="53"/>
      <c r="U285" s="716"/>
      <c r="V285" s="53"/>
      <c r="W285" s="53"/>
      <c r="X285" s="53"/>
      <c r="Y285" s="53"/>
      <c r="Z285" s="53"/>
      <c r="AA285" s="56"/>
      <c r="AB285" s="54"/>
      <c r="AC285" s="54"/>
      <c r="AD285" s="54"/>
      <c r="AE285" s="54"/>
      <c r="AF285" s="131">
        <v>11</v>
      </c>
    </row>
    <row r="286" s="131" customFormat="1" ht="11.5" customHeight="1">
      <c r="A286" s="715"/>
      <c r="B286" s="57"/>
      <c r="C286" s="57"/>
      <c r="D286" s="131"/>
      <c r="K286" s="53"/>
      <c r="L286" s="57"/>
      <c r="M286" s="57"/>
      <c r="N286" s="53"/>
      <c r="O286" s="53"/>
      <c r="P286" s="53"/>
      <c r="Q286" s="53"/>
      <c r="R286" s="57"/>
      <c r="S286" s="53"/>
      <c r="T286" s="53"/>
      <c r="U286" s="716"/>
      <c r="V286" s="53"/>
      <c r="W286" s="53"/>
      <c r="X286" s="53"/>
      <c r="Y286" s="53"/>
      <c r="Z286" s="53"/>
      <c r="AA286" s="56"/>
      <c r="AB286" s="54"/>
      <c r="AC286" s="54"/>
      <c r="AD286" s="54"/>
      <c r="AE286" s="54"/>
      <c r="AF286" s="131">
        <v>11</v>
      </c>
    </row>
    <row r="287" s="131" customFormat="1" ht="11.5" customHeight="1">
      <c r="A287" s="715"/>
      <c r="B287" s="57"/>
      <c r="C287" s="57"/>
      <c r="D287" s="131"/>
      <c r="K287" s="53"/>
      <c r="L287" s="57"/>
      <c r="M287" s="57"/>
      <c r="N287" s="53"/>
      <c r="O287" s="53"/>
      <c r="P287" s="53"/>
      <c r="Q287" s="53"/>
      <c r="R287" s="57"/>
      <c r="S287" s="53"/>
      <c r="T287" s="53"/>
      <c r="U287" s="716"/>
      <c r="V287" s="53"/>
      <c r="W287" s="53"/>
      <c r="X287" s="53"/>
      <c r="Y287" s="53"/>
      <c r="Z287" s="53"/>
      <c r="AA287" s="56"/>
      <c r="AB287" s="54"/>
      <c r="AC287" s="54"/>
      <c r="AD287" s="54"/>
      <c r="AE287" s="54"/>
      <c r="AF287" s="131">
        <v>11</v>
      </c>
    </row>
    <row r="288" s="131" customFormat="1" ht="11.5" customHeight="1">
      <c r="A288" s="715"/>
      <c r="B288" s="57"/>
      <c r="C288" s="57"/>
      <c r="D288" s="131"/>
      <c r="K288" s="53"/>
      <c r="L288" s="57"/>
      <c r="M288" s="57"/>
      <c r="N288" s="53"/>
      <c r="O288" s="53"/>
      <c r="P288" s="53"/>
      <c r="Q288" s="53"/>
      <c r="R288" s="57"/>
      <c r="S288" s="53"/>
      <c r="T288" s="53"/>
      <c r="U288" s="716"/>
      <c r="V288" s="53"/>
      <c r="W288" s="53"/>
      <c r="X288" s="53"/>
      <c r="Y288" s="53"/>
      <c r="Z288" s="53"/>
      <c r="AA288" s="56"/>
      <c r="AB288" s="54"/>
      <c r="AC288" s="54"/>
      <c r="AD288" s="54"/>
      <c r="AE288" s="54"/>
      <c r="AF288" s="131">
        <v>11</v>
      </c>
    </row>
    <row r="289" ht="11.5" customHeight="1">
      <c r="AF289" s="50">
        <v>11</v>
      </c>
    </row>
    <row r="290" ht="11.5" customHeight="1">
      <c r="AF290" s="50">
        <v>11</v>
      </c>
    </row>
    <row r="291" ht="11.5" customHeight="1">
      <c r="AF291" s="50">
        <v>11</v>
      </c>
    </row>
    <row r="292" ht="11.5" customHeight="1">
      <c r="A292" s="783"/>
      <c r="B292" s="50"/>
      <c r="D292" s="50"/>
      <c r="K292" s="50"/>
      <c r="N292" s="50"/>
      <c r="O292" s="50"/>
      <c r="P292" s="50"/>
      <c r="Q292" s="50"/>
      <c r="S292" s="50"/>
      <c r="T292" s="50"/>
      <c r="U292" s="50"/>
      <c r="V292" s="50"/>
      <c r="W292" s="50"/>
      <c r="X292" s="50"/>
      <c r="Y292" s="50"/>
      <c r="Z292" s="50"/>
      <c r="AA292" s="50"/>
      <c r="AB292" s="50"/>
      <c r="AC292" s="50"/>
      <c r="AD292" s="50"/>
      <c r="AE292" s="50"/>
      <c r="AF292" s="50">
        <v>11</v>
      </c>
    </row>
    <row r="293" ht="11.5" customHeight="1">
      <c r="A293" s="783"/>
      <c r="B293" s="50"/>
      <c r="D293" s="50"/>
      <c r="K293" s="50"/>
      <c r="N293" s="50"/>
      <c r="O293" s="50"/>
      <c r="P293" s="50"/>
      <c r="Q293" s="50"/>
      <c r="S293" s="50"/>
      <c r="T293" s="50"/>
      <c r="U293" s="50"/>
      <c r="V293" s="50"/>
      <c r="W293" s="50"/>
      <c r="X293" s="50"/>
      <c r="Y293" s="50"/>
      <c r="Z293" s="50"/>
      <c r="AA293" s="50"/>
      <c r="AB293" s="50"/>
      <c r="AC293" s="50"/>
      <c r="AD293" s="50"/>
      <c r="AE293" s="50"/>
      <c r="AF293" s="50">
        <v>11</v>
      </c>
    </row>
    <row r="294" ht="11.5" customHeight="1">
      <c r="A294" s="783"/>
      <c r="B294" s="50"/>
      <c r="D294" s="50"/>
      <c r="K294" s="50"/>
      <c r="N294" s="50"/>
      <c r="O294" s="50"/>
      <c r="P294" s="50"/>
      <c r="Q294" s="50"/>
      <c r="S294" s="50"/>
      <c r="T294" s="50"/>
      <c r="U294" s="50"/>
      <c r="V294" s="50"/>
      <c r="W294" s="50"/>
      <c r="X294" s="50"/>
      <c r="Y294" s="50"/>
      <c r="Z294" s="50"/>
      <c r="AA294" s="50"/>
      <c r="AB294" s="50"/>
      <c r="AC294" s="50"/>
      <c r="AD294" s="50"/>
      <c r="AE294" s="50"/>
      <c r="AF294" s="50">
        <v>11</v>
      </c>
    </row>
    <row r="295" ht="11.5" customHeight="1">
      <c r="A295" s="783"/>
      <c r="B295" s="50"/>
      <c r="D295" s="50"/>
      <c r="K295" s="50"/>
      <c r="N295" s="50"/>
      <c r="O295" s="50"/>
      <c r="P295" s="50"/>
      <c r="Q295" s="50"/>
      <c r="S295" s="50"/>
      <c r="T295" s="50"/>
      <c r="U295" s="50"/>
      <c r="V295" s="50"/>
      <c r="W295" s="50"/>
      <c r="X295" s="50"/>
      <c r="Y295" s="50"/>
      <c r="Z295" s="50"/>
      <c r="AA295" s="50"/>
      <c r="AB295" s="50"/>
      <c r="AC295" s="50"/>
      <c r="AD295" s="50"/>
      <c r="AE295" s="50"/>
      <c r="AF295" s="50">
        <v>11</v>
      </c>
    </row>
    <row r="296" ht="11.5" customHeight="1">
      <c r="A296" s="783"/>
      <c r="B296" s="50"/>
      <c r="D296" s="50"/>
      <c r="K296" s="50"/>
      <c r="N296" s="50"/>
      <c r="O296" s="50"/>
      <c r="P296" s="50"/>
      <c r="Q296" s="50"/>
      <c r="S296" s="50"/>
      <c r="T296" s="50"/>
      <c r="U296" s="50"/>
      <c r="V296" s="50"/>
      <c r="W296" s="50"/>
      <c r="X296" s="50"/>
      <c r="Y296" s="50"/>
      <c r="Z296" s="50"/>
      <c r="AA296" s="50"/>
      <c r="AB296" s="50"/>
      <c r="AC296" s="50"/>
      <c r="AD296" s="50"/>
      <c r="AE296" s="50"/>
      <c r="AF296" s="50">
        <v>11</v>
      </c>
    </row>
    <row r="297" ht="11.5" customHeight="1">
      <c r="A297" s="783"/>
      <c r="B297" s="50"/>
      <c r="D297" s="50"/>
      <c r="K297" s="50"/>
      <c r="N297" s="50"/>
      <c r="O297" s="50"/>
      <c r="P297" s="50"/>
      <c r="Q297" s="50"/>
      <c r="S297" s="50"/>
      <c r="T297" s="50"/>
      <c r="U297" s="50"/>
      <c r="V297" s="50"/>
      <c r="W297" s="50"/>
      <c r="X297" s="50"/>
      <c r="Y297" s="50"/>
      <c r="Z297" s="50"/>
      <c r="AA297" s="50"/>
      <c r="AB297" s="50"/>
      <c r="AC297" s="50"/>
      <c r="AD297" s="50"/>
      <c r="AE297" s="50"/>
      <c r="AF297" s="50">
        <v>11</v>
      </c>
    </row>
    <row r="298" ht="11.5" customHeight="1">
      <c r="A298" s="783"/>
      <c r="B298" s="50"/>
      <c r="D298" s="50"/>
      <c r="K298" s="50"/>
      <c r="N298" s="50"/>
      <c r="O298" s="50"/>
      <c r="P298" s="50"/>
      <c r="Q298" s="50"/>
      <c r="S298" s="50"/>
      <c r="T298" s="50"/>
      <c r="U298" s="50"/>
      <c r="V298" s="50"/>
      <c r="W298" s="50"/>
      <c r="X298" s="50"/>
      <c r="Y298" s="50"/>
      <c r="Z298" s="50"/>
      <c r="AA298" s="50"/>
      <c r="AB298" s="50"/>
      <c r="AC298" s="50"/>
      <c r="AD298" s="50"/>
      <c r="AE298" s="50"/>
      <c r="AF298" s="50">
        <v>11</v>
      </c>
    </row>
    <row r="299" ht="11.5" customHeight="1">
      <c r="A299" s="783"/>
      <c r="B299" s="50"/>
      <c r="D299" s="50"/>
      <c r="K299" s="50"/>
      <c r="N299" s="50"/>
      <c r="O299" s="50"/>
      <c r="P299" s="50"/>
      <c r="Q299" s="50"/>
      <c r="S299" s="50"/>
      <c r="T299" s="50"/>
      <c r="U299" s="50"/>
      <c r="V299" s="50"/>
      <c r="W299" s="50"/>
      <c r="X299" s="50"/>
      <c r="Y299" s="50"/>
      <c r="Z299" s="50"/>
      <c r="AA299" s="50"/>
      <c r="AB299" s="50"/>
      <c r="AC299" s="50"/>
      <c r="AD299" s="50"/>
      <c r="AE299" s="50"/>
      <c r="AF299" s="50">
        <v>11</v>
      </c>
    </row>
    <row r="300" ht="11.5" customHeight="1">
      <c r="A300" s="783"/>
      <c r="B300" s="50"/>
      <c r="D300" s="50"/>
      <c r="K300" s="50"/>
      <c r="N300" s="50"/>
      <c r="O300" s="50"/>
      <c r="P300" s="50"/>
      <c r="Q300" s="50"/>
      <c r="S300" s="50"/>
      <c r="T300" s="50"/>
      <c r="U300" s="50"/>
      <c r="V300" s="50"/>
      <c r="W300" s="50"/>
      <c r="X300" s="50"/>
      <c r="Y300" s="50"/>
      <c r="Z300" s="50"/>
      <c r="AA300" s="50"/>
      <c r="AB300" s="50"/>
      <c r="AC300" s="50"/>
      <c r="AD300" s="50"/>
      <c r="AE300" s="50"/>
      <c r="AF300" s="50">
        <v>11</v>
      </c>
    </row>
    <row r="301" ht="11.5" customHeight="1">
      <c r="A301" s="783"/>
      <c r="B301" s="50"/>
      <c r="D301" s="50"/>
      <c r="K301" s="50"/>
      <c r="N301" s="50"/>
      <c r="O301" s="50"/>
      <c r="P301" s="50"/>
      <c r="Q301" s="50"/>
      <c r="S301" s="50"/>
      <c r="T301" s="50"/>
      <c r="U301" s="50"/>
      <c r="V301" s="50"/>
      <c r="W301" s="50"/>
      <c r="X301" s="50"/>
      <c r="Y301" s="50"/>
      <c r="Z301" s="50"/>
      <c r="AA301" s="50"/>
      <c r="AB301" s="50"/>
      <c r="AC301" s="50"/>
      <c r="AD301" s="50"/>
      <c r="AE301" s="50"/>
      <c r="AF301" s="50">
        <v>11</v>
      </c>
    </row>
    <row r="302" ht="11.5" customHeight="1">
      <c r="A302" s="783"/>
      <c r="B302" s="50"/>
      <c r="D302" s="50"/>
      <c r="K302" s="50"/>
      <c r="N302" s="50"/>
      <c r="O302" s="50"/>
      <c r="P302" s="50"/>
      <c r="Q302" s="50"/>
      <c r="S302" s="50"/>
      <c r="T302" s="50"/>
      <c r="U302" s="50"/>
      <c r="V302" s="50"/>
      <c r="W302" s="50"/>
      <c r="X302" s="50"/>
      <c r="Y302" s="50"/>
      <c r="Z302" s="50"/>
      <c r="AA302" s="50"/>
      <c r="AB302" s="50"/>
      <c r="AC302" s="50"/>
      <c r="AD302" s="50"/>
      <c r="AE302" s="50"/>
      <c r="AF302" s="50">
        <v>11</v>
      </c>
    </row>
    <row r="303" ht="11.25" hidden="1" customHeight="1">
      <c r="A303" s="715" t="s">
        <v>83</v>
      </c>
      <c r="B303" s="53">
        <v>0</v>
      </c>
      <c r="C303" s="57">
        <v>0</v>
      </c>
      <c r="D303" s="50">
        <v>3</v>
      </c>
      <c r="E303" s="50">
        <v>7</v>
      </c>
      <c r="F303" s="50">
        <v>54</v>
      </c>
      <c r="G303" s="50">
        <v>10</v>
      </c>
      <c r="H303" s="50">
        <v>0</v>
      </c>
      <c r="I303" s="50">
        <v>40</v>
      </c>
      <c r="J303" s="50">
        <v>102</v>
      </c>
      <c r="K303" s="53">
        <v>9</v>
      </c>
      <c r="L303" s="57">
        <v>5</v>
      </c>
      <c r="M303" s="57">
        <v>3</v>
      </c>
      <c r="N303" s="53">
        <v>3</v>
      </c>
      <c r="O303" s="53">
        <v>3</v>
      </c>
      <c r="P303" s="53">
        <v>3</v>
      </c>
      <c r="Q303" s="53">
        <v>3</v>
      </c>
      <c r="R303" s="57">
        <v>10</v>
      </c>
      <c r="S303" s="53">
        <v>34</v>
      </c>
      <c r="T303" s="53">
        <v>9</v>
      </c>
      <c r="U303" s="716">
        <v>8</v>
      </c>
      <c r="V303" s="53">
        <v>8</v>
      </c>
      <c r="W303" s="53">
        <v>8</v>
      </c>
      <c r="X303" s="53">
        <v>8</v>
      </c>
      <c r="Y303" s="53">
        <v>8</v>
      </c>
      <c r="Z303" s="53">
        <v>8</v>
      </c>
      <c r="AA303" s="56">
        <v>8</v>
      </c>
      <c r="AB303" s="56">
        <v>8</v>
      </c>
      <c r="AC303" s="56">
        <v>8</v>
      </c>
      <c r="AD303" s="56">
        <v>8</v>
      </c>
      <c r="AE303" s="56">
        <v>8</v>
      </c>
      <c r="AF303" s="50">
        <v>11</v>
      </c>
    </row>
  </sheetData>
  <sheetProtection autoFilter="0" deleteColumns="1" deleteRows="1" formatCells="1" formatColumns="0" formatRows="0" insertColumns="1" insertHyperlinks="1" insertRows="1" objects="0" pivotTables="1" scenarios="0" selectLockedCells="0" selectUnlockedCells="0" sheet="1" sort="1"/>
  <mergeCells count="18">
    <mergeCell ref="B2:B7"/>
    <mergeCell ref="E21:I21"/>
    <mergeCell ref="E22:I22"/>
    <mergeCell ref="F25:G25"/>
    <mergeCell ref="J25:J29"/>
    <mergeCell ref="F26:G26"/>
    <mergeCell ref="F27:G27"/>
    <mergeCell ref="E28:G28"/>
    <mergeCell ref="A33:A40"/>
    <mergeCell ref="B34:B39"/>
    <mergeCell ref="A41:A43"/>
    <mergeCell ref="A67:A68"/>
    <mergeCell ref="A82:A90"/>
    <mergeCell ref="A91:A95"/>
    <mergeCell ref="A96:A98"/>
    <mergeCell ref="A99:A111"/>
    <mergeCell ref="A115:A119"/>
    <mergeCell ref="A120:A130"/>
  </mergeCells>
  <dataValidations count="1" disablePrompts="0">
    <dataValidation sqref="H68:I68 H66:I66"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11" disablePrompts="0">
        <x14:dataValidation xr:uid="{00170060-0010-40C8-87ED-00CD00E20051}" type="decimal" allowBlank="1" error="Введите значение от 0 до 100%" errorStyle="stop" errorTitle="Ошибка" imeMode="noControl" operator="between" showDropDown="0" showErrorMessage="1" showInputMessage="0">
          <x14:formula1>
            <xm:f>0</xm:f>
          </x14:formula1>
          <x14:formula2>
            <xm:f>100</xm:f>
          </x14:formula2>
          <xm:sqref>H90:I90 H95:I95</xm:sqref>
        </x14:dataValidation>
        <x14:dataValidation xr:uid="{00CD0061-0047-4766-BFC5-00A700880046}" type="decimal" allowBlank="1" error="Допускается ввод только действительных чисел!" errorStyle="stop" errorTitle="Ошибка" imeMode="noControl" operator="between" showDropDown="0" showErrorMessage="1" showInputMessage="0">
          <x14:formula1>
            <xm:f>-9.99999999999999E+37</xm:f>
          </x14:formula1>
          <x14:formula2>
            <xm:f>9.99999999999999E+37</xm:f>
          </x14:formula2>
          <xm:sqref>H123:I123 H120:I120 H126:I126 H75:I80</xm:sqref>
        </x14:dataValidation>
        <x14:dataValidation xr:uid="{00FB00F1-00A4-4322-B637-00A7002E00A1}" type="decimal" allowBlank="1" error="Допускается ввод только действительных чисел!" errorStyle="stop" errorTitle="Ошибка" imeMode="noControl" operator="between" showDropDown="0" showErrorMessage="1" showInputMessage="0">
          <x14:formula1>
            <xm:f>-9.99999999999999E+23</xm:f>
          </x14:formula1>
          <x14:formula2>
            <xm:f>9.99999999999999E+23</xm:f>
          </x14:formula2>
          <xm:sqref>H72:I73</xm:sqref>
        </x14:dataValidation>
        <x14:dataValidation xr:uid="{00120004-00AD-47C1-AE95-0068006C00A0}"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H128:I130 H81:I81</xm:sqref>
        </x14:dataValidation>
        <x14:dataValidation xr:uid="{0028006F-00FE-4CE2-AE56-009E00D1008F}" type="list" allowBlank="1" error="Выберите значение из списка" errorStyle="stop" errorTitle="Ошибка" imeMode="noControl" operator="between" prompt="Выберите значение из списка" showDropDown="0" showErrorMessage="1" showInputMessage="1">
          <x14:formula1>
            <xm:f>kind_of_volume_te_unit</xm:f>
          </x14:formula1>
          <xm:sqref>G93</xm:sqref>
        </x14:dataValidation>
        <x14:dataValidation xr:uid="{00FE00BA-0073-4E5D-9044-001100160086}" type="list" allowBlank="1" error="Выберите значение из списка" errorStyle="stop" errorTitle="Ошибка" imeMode="noControl" operator="between" prompt="Выберите значение из списка" showDropDown="0" showErrorMessage="1" showInputMessage="1">
          <x14:formula1>
            <xm:f>kind_of_fuels</xm:f>
          </x14:formula1>
          <xm:sqref>F2</xm:sqref>
        </x14:dataValidation>
        <x14:dataValidation xr:uid="{00A600BE-005E-4406-9375-006D006100A1}" type="textLength" allowBlank="1" error="Допускается ввод не более 900 символов!" errorStyle="stop" errorTitle="Ошибка" imeMode="noControl" operator="lessThanOrEqual" prompt="Введите источник тепловой энергии" showDropDown="0" showErrorMessage="1" showInputMessage="1">
          <x14:formula1>
            <xm:f>900</xm:f>
          </x14:formula1>
          <xm:sqref>1:1</xm:sqref>
        </x14:dataValidation>
        <x14:dataValidation xr:uid="{0063009E-0042-48D4-AD2B-003E002700CA}" type="decimal" allowBlank="1" error="Допускается ввод только неотрицательных чисел!" errorStyle="stop" errorTitle="Ошибка" imeMode="noControl" operator="between" showDropDown="0" showErrorMessage="1" showInputMessage="0">
          <x14:formula1>
            <xm:f>0</xm:f>
          </x14:formula1>
          <x14:formula2>
            <xm:f>9.99999999999999E+23</xm:f>
          </x14:formula2>
          <xm:sqref>H67:I67 H69:I69 H91:I94 H127:I127 H30:I30 H32:I33 H35:I38 H40:I65 H82:I86 H17:I17 H9:I13 H15:I15 H96:I119 H74:I74 H88:I89 H4:I6</xm:sqref>
        </x14:dataValidation>
        <x14:dataValidation xr:uid="{00C0001E-002A-463A-AA26-00BB003C0014}" type="textLength" allowBlank="1" error="Допускается ввод не более 900 символов!" errorStyle="stop" errorTitle="Ошибка" imeMode="noControl" operator="lessThanOrEqual" showDropDown="0" showErrorMessage="1" showInputMessage="1">
          <x14:formula1>
            <xm:f>900</xm:f>
          </x14:formula1>
          <xm:sqref>G4 H34:I34 H39:I39</xm:sqref>
        </x14:dataValidation>
        <x14:dataValidation xr:uid="{0044009D-0067-46A2-9D6B-00AD002F0041}" type="textLength" allowBlank="1" error="Допускается ввод не более 900 символов!" errorStyle="stop" errorTitle="Ошибка" imeMode="noControl" operator="lessThanOrEqual" prompt="Введите наименование прочих расходов" showDropDown="0" showErrorMessage="1" showInputMessage="1">
          <x14:formula1>
            <xm:f>900</xm:f>
          </x14:formula1>
          <xm:sqref>F12 F10 H70:I70</xm:sqref>
        </x14:dataValidation>
        <x14:dataValidation xr:uid="{00330075-00C6-4669-A07C-0007000A00C9}" type="list" allowBlank="1" error="Выберите значение из списка" errorStyle="stop" errorTitle="Ошибка" imeMode="noControl" operator="between" prompt="Выберите значение из списка" showDropDown="0" showErrorMessage="1" showInputMessage="1">
          <x14:formula1>
            <xm:f>kind_of_purchase_method</xm:f>
          </x14:formula1>
          <xm:sqref>H7:I7</xm:sqref>
        </x14:dataValidation>
      </x14:dataValidations>
    </ext>
  </extLst>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outlinePr applyStyles="0" summaryBelow="1" summaryRight="1" showOutlineSymbols="1"/>
    <pageSetUpPr autoPageBreaks="1" fitToPage="0"/>
  </sheetPr>
  <sheetViews>
    <sheetView showGridLines="0" topLeftCell="C4" zoomScale="90" workbookViewId="0">
      <selection activeCell="A1" activeCellId="0" sqref="A1"/>
    </sheetView>
  </sheetViews>
  <sheetFormatPr defaultColWidth="9.140625" defaultRowHeight="11.25" customHeight="1"/>
  <cols>
    <col customWidth="1" hidden="1" min="1" max="1" style="784" width="14.7109375"/>
    <col customWidth="1" hidden="1" min="2" max="2" style="56" width="17.00390625"/>
    <col customWidth="1" min="3" max="3" style="50" width="3.00390625"/>
    <col customWidth="1" hidden="1" min="4" max="4" style="50" width="1.8515625"/>
    <col customWidth="1" min="5" max="6" style="50" width="7.00390625"/>
    <col customWidth="1" min="7" max="7" style="50" width="29.00390625"/>
    <col customWidth="1" min="8" max="8" style="50" width="3.7109375"/>
    <col customWidth="1" min="9" max="9" style="50" width="5.00390625"/>
    <col customWidth="1" min="10" max="11" style="50" width="24.00390625"/>
    <col customWidth="1" min="12" max="12" style="50" width="3.00390625"/>
    <col customWidth="1" min="13" max="13" style="50" width="6.00390625"/>
    <col customWidth="1" min="14" max="14" style="50" width="25.00390625"/>
    <col customWidth="1" min="15" max="18" style="50" width="18.00390625"/>
    <col customWidth="1" min="19" max="19" style="50" width="93.00390625"/>
    <col customWidth="1" min="20" max="20" style="50" width="10.00390625"/>
    <col customWidth="1" min="21" max="21" style="57" width="10.00390625"/>
    <col customWidth="1" min="22" max="22" style="57" width="11.00390625"/>
    <col customWidth="1" min="23" max="27" style="56" width="10.00390625"/>
    <col customWidth="1" min="28" max="83" style="50" width="8.00390625"/>
    <col hidden="1" min="84" max="84" style="50" width="9.140625"/>
  </cols>
  <sheetData>
    <row r="1" ht="22.5" hidden="1" customHeight="1">
      <c r="CF1" s="50" t="s">
        <v>14</v>
      </c>
    </row>
    <row r="2" ht="11.25" hidden="1" customHeight="1">
      <c r="CF2" s="50">
        <v>0</v>
      </c>
    </row>
    <row r="3" ht="11.25" hidden="1" customHeight="1">
      <c r="CF3" s="50">
        <v>0</v>
      </c>
    </row>
    <row r="4" ht="3" customHeight="1">
      <c r="C4" s="50"/>
      <c r="D4" s="50"/>
      <c r="E4" s="50"/>
      <c r="F4" s="50"/>
      <c r="G4" s="50"/>
      <c r="H4" s="50"/>
      <c r="I4" s="50"/>
      <c r="J4" s="50"/>
      <c r="K4" s="140"/>
      <c r="L4" s="140"/>
      <c r="M4" s="140"/>
      <c r="CF4" s="50">
        <v>3</v>
      </c>
    </row>
    <row r="5" ht="29.25" customHeight="1">
      <c r="C5" s="50"/>
      <c r="D5" s="785"/>
      <c r="E5" s="461" t="str">
        <f>FHD20_NAME_FORM</f>
        <v xml:space="preserve">Форма 11. Информация о расходах на капитальный и текущий ремонт основных средств</v>
      </c>
      <c r="F5" s="461"/>
      <c r="G5" s="461"/>
      <c r="H5" s="461"/>
      <c r="I5" s="461"/>
      <c r="J5" s="461"/>
      <c r="K5" s="461"/>
      <c r="L5" s="51"/>
      <c r="M5" s="51"/>
      <c r="CF5" s="50">
        <v>28</v>
      </c>
    </row>
    <row r="6" s="50" customFormat="1" ht="16.800000000000001" customHeight="1">
      <c r="A6" s="784"/>
      <c r="B6" s="56"/>
      <c r="C6" s="50"/>
      <c r="D6" s="786"/>
      <c r="E6" s="316" t="str">
        <f>IF(org=0,"Не определено",org)</f>
        <v xml:space="preserve">АО "ДГК"</v>
      </c>
      <c r="F6" s="316"/>
      <c r="G6" s="316"/>
      <c r="H6" s="316"/>
      <c r="I6" s="316"/>
      <c r="J6" s="316"/>
      <c r="K6" s="316"/>
      <c r="L6" s="51"/>
      <c r="M6" s="51"/>
      <c r="U6" s="57"/>
      <c r="V6" s="57"/>
      <c r="W6" s="56"/>
      <c r="X6" s="56"/>
      <c r="Y6" s="56"/>
      <c r="Z6" s="56"/>
      <c r="AA6" s="56"/>
      <c r="CF6" s="50">
        <v>16</v>
      </c>
    </row>
    <row r="7" ht="11.5" customHeight="1">
      <c r="C7" s="50"/>
      <c r="D7" s="50"/>
      <c r="E7" s="50"/>
      <c r="F7" s="50"/>
      <c r="G7" s="51"/>
      <c r="H7" s="51"/>
      <c r="I7" s="51"/>
      <c r="J7" s="51"/>
      <c r="K7" s="787"/>
      <c r="L7" s="787"/>
      <c r="M7" s="787"/>
      <c r="R7" s="352"/>
      <c r="CF7" s="50">
        <v>11</v>
      </c>
    </row>
    <row r="8" s="131" customFormat="1" ht="4.2000000000000002" customHeight="1">
      <c r="A8" s="788"/>
      <c r="B8" s="54"/>
      <c r="C8" s="131"/>
      <c r="D8" s="131"/>
      <c r="E8" s="131"/>
      <c r="F8" s="131"/>
      <c r="G8" s="740"/>
      <c r="H8" s="740"/>
      <c r="I8" s="740"/>
      <c r="J8" s="740"/>
      <c r="K8" s="789"/>
      <c r="L8" s="789"/>
      <c r="M8" s="789"/>
      <c r="R8" s="790"/>
      <c r="U8" s="57"/>
      <c r="V8" s="57"/>
      <c r="W8" s="54"/>
      <c r="X8" s="54"/>
      <c r="Y8" s="54"/>
      <c r="Z8" s="54"/>
      <c r="AA8" s="54"/>
      <c r="CF8" s="131">
        <v>4</v>
      </c>
    </row>
    <row r="9" ht="19.949999999999999" customHeight="1">
      <c r="D9" s="494"/>
      <c r="E9" s="73" t="s">
        <v>305</v>
      </c>
      <c r="F9" s="145"/>
      <c r="G9" s="145"/>
      <c r="H9" s="145"/>
      <c r="I9" s="145"/>
      <c r="J9" s="145"/>
      <c r="K9" s="145"/>
      <c r="L9" s="145"/>
      <c r="M9" s="145"/>
      <c r="N9" s="145"/>
      <c r="O9" s="145"/>
      <c r="P9" s="145"/>
      <c r="Q9" s="145"/>
      <c r="R9" s="72"/>
      <c r="S9" s="157" t="s">
        <v>306</v>
      </c>
      <c r="T9" s="791"/>
      <c r="CF9" s="50">
        <v>19</v>
      </c>
    </row>
    <row r="10" ht="48.25" customHeight="1">
      <c r="D10" s="158" t="s">
        <v>89</v>
      </c>
      <c r="E10" s="157" t="s">
        <v>89</v>
      </c>
      <c r="F10" s="157"/>
      <c r="G10" s="157" t="s">
        <v>307</v>
      </c>
      <c r="H10" s="157" t="s">
        <v>89</v>
      </c>
      <c r="I10" s="157"/>
      <c r="J10" s="157" t="s">
        <v>606</v>
      </c>
      <c r="K10" s="157" t="s">
        <v>607</v>
      </c>
      <c r="L10" s="157" t="s">
        <v>89</v>
      </c>
      <c r="M10" s="157"/>
      <c r="N10" s="157" t="s">
        <v>608</v>
      </c>
      <c r="O10" s="157" t="s">
        <v>609</v>
      </c>
      <c r="P10" s="157" t="s">
        <v>610</v>
      </c>
      <c r="Q10" s="157" t="s">
        <v>611</v>
      </c>
      <c r="R10" s="157" t="s">
        <v>612</v>
      </c>
      <c r="S10" s="157"/>
      <c r="T10" s="791"/>
      <c r="CF10" s="50">
        <v>46</v>
      </c>
    </row>
    <row r="11" s="57" customFormat="1" ht="15" hidden="1" customHeight="1">
      <c r="A11" s="540"/>
      <c r="D11" s="540" t="s">
        <v>109</v>
      </c>
      <c r="E11" s="540"/>
      <c r="F11" s="540" t="s">
        <v>110</v>
      </c>
      <c r="G11" s="540" t="s">
        <v>91</v>
      </c>
      <c r="H11" s="540"/>
      <c r="I11" s="540" t="s">
        <v>92</v>
      </c>
      <c r="J11" s="540" t="s">
        <v>111</v>
      </c>
      <c r="K11" s="540" t="s">
        <v>93</v>
      </c>
      <c r="L11" s="540"/>
      <c r="M11" s="540" t="s">
        <v>94</v>
      </c>
      <c r="N11" s="540" t="s">
        <v>112</v>
      </c>
      <c r="O11" s="540" t="s">
        <v>148</v>
      </c>
      <c r="P11" s="540" t="s">
        <v>149</v>
      </c>
      <c r="Q11" s="540" t="s">
        <v>150</v>
      </c>
      <c r="R11" s="540" t="s">
        <v>151</v>
      </c>
      <c r="S11" s="540" t="s">
        <v>152</v>
      </c>
      <c r="U11" s="57"/>
      <c r="V11" s="57"/>
      <c r="W11" s="57"/>
      <c r="CF11" s="57">
        <v>0</v>
      </c>
    </row>
    <row r="12" s="50" customFormat="1" ht="1.05" customHeight="1">
      <c r="A12" s="784"/>
      <c r="B12" s="56"/>
      <c r="D12" s="540"/>
      <c r="E12" s="125"/>
      <c r="F12" s="125"/>
      <c r="Q12" s="142"/>
      <c r="R12" s="792"/>
      <c r="T12" s="791"/>
      <c r="U12" s="57"/>
      <c r="V12" s="57"/>
      <c r="W12" s="56"/>
      <c r="X12" s="56"/>
      <c r="Y12" s="56"/>
      <c r="Z12" s="56"/>
      <c r="AA12" s="56"/>
      <c r="CF12" s="50">
        <v>1</v>
      </c>
    </row>
    <row r="13" s="131" customFormat="1" ht="1.05" customHeight="1">
      <c r="A13" s="788"/>
      <c r="B13" s="54"/>
      <c r="D13" s="540" t="s">
        <v>381</v>
      </c>
      <c r="E13" s="741"/>
      <c r="F13" s="741"/>
      <c r="G13" s="741"/>
      <c r="H13" s="741"/>
      <c r="I13" s="741"/>
      <c r="J13" s="741"/>
      <c r="K13" s="741"/>
      <c r="L13" s="741"/>
      <c r="M13" s="741"/>
      <c r="N13" s="741"/>
      <c r="O13" s="741"/>
      <c r="P13" s="741"/>
      <c r="Q13" s="741"/>
      <c r="R13" s="741"/>
      <c r="T13" s="791"/>
      <c r="U13" s="57"/>
      <c r="V13" s="57"/>
      <c r="W13" s="54"/>
      <c r="X13" s="54"/>
      <c r="Y13" s="54"/>
      <c r="Z13" s="54"/>
      <c r="AA13" s="54"/>
      <c r="CF13" s="131">
        <v>1</v>
      </c>
    </row>
    <row r="14" s="63" customFormat="1" ht="15" hidden="1" customHeight="1">
      <c r="A14" s="793" t="s">
        <v>117</v>
      </c>
      <c r="B14" s="63"/>
      <c r="C14" s="63"/>
      <c r="D14" s="794" t="s">
        <v>109</v>
      </c>
      <c r="E14" s="795" t="s">
        <v>105</v>
      </c>
      <c r="F14" s="796"/>
      <c r="G14" s="797"/>
      <c r="H14" s="79">
        <f>IF(A14="","",INDEX(DIFFERENTIATION_UNMERGE_VD,MATCH(A14,DIFFERENTIATION_ID_DIFF,0)))</f>
        <v>0</v>
      </c>
      <c r="I14" s="79"/>
      <c r="J14" s="79"/>
      <c r="K14" s="79"/>
      <c r="L14" s="79"/>
      <c r="M14" s="79"/>
      <c r="N14" s="79"/>
      <c r="O14" s="79"/>
      <c r="P14" s="79"/>
      <c r="Q14" s="79"/>
      <c r="R14" s="79"/>
      <c r="S14" s="798"/>
      <c r="T14" s="799"/>
      <c r="U14" s="167"/>
      <c r="V14" s="167"/>
      <c r="W14" s="64"/>
      <c r="X14" s="64"/>
      <c r="Y14" s="64"/>
      <c r="Z14" s="64"/>
      <c r="AA14" s="167"/>
      <c r="AB14" s="64"/>
      <c r="AC14" s="800"/>
      <c r="AD14" s="64"/>
      <c r="AE14" s="801" t="s">
        <v>28</v>
      </c>
      <c r="AF14" s="801"/>
      <c r="AG14" s="802" t="s">
        <v>613</v>
      </c>
      <c r="AH14" s="803">
        <v>3</v>
      </c>
      <c r="AI14" s="167"/>
      <c r="AJ14" s="167"/>
      <c r="AK14" s="167"/>
      <c r="AL14" s="167"/>
      <c r="AM14" s="167"/>
      <c r="AN14" s="167"/>
      <c r="AO14" s="167"/>
      <c r="AP14" s="167"/>
      <c r="AQ14" s="167"/>
      <c r="AR14" s="167"/>
      <c r="AS14" s="167"/>
      <c r="AT14" s="167"/>
      <c r="AU14" s="167"/>
      <c r="AV14" s="167"/>
      <c r="AW14" s="167"/>
      <c r="AX14" s="167"/>
      <c r="AY14" s="167"/>
      <c r="AZ14" s="167"/>
      <c r="BA14" s="167"/>
      <c r="BB14" s="167"/>
      <c r="BC14" s="167"/>
      <c r="BD14" s="167"/>
      <c r="BE14" s="167"/>
      <c r="BF14" s="167"/>
      <c r="BG14" s="167"/>
      <c r="BH14" s="167"/>
      <c r="BI14" s="167"/>
      <c r="BJ14" s="167"/>
      <c r="BK14" s="167"/>
      <c r="BL14" s="167"/>
      <c r="BM14" s="167"/>
      <c r="BN14" s="167"/>
      <c r="BO14" s="167"/>
      <c r="BP14" s="167"/>
      <c r="BQ14" s="167"/>
      <c r="BR14" s="167"/>
      <c r="BS14" s="167"/>
      <c r="BT14" s="167"/>
      <c r="BU14" s="167"/>
      <c r="BV14" s="64"/>
      <c r="BW14" s="64"/>
      <c r="BX14" s="64"/>
      <c r="BY14" s="64"/>
      <c r="BZ14" s="64"/>
      <c r="CA14" s="64"/>
      <c r="CB14" s="64"/>
      <c r="CC14" s="64"/>
      <c r="CD14" s="64"/>
      <c r="CE14" s="64"/>
      <c r="CF14" s="63">
        <v>0</v>
      </c>
    </row>
    <row r="15" s="63" customFormat="1" ht="15" hidden="1" customHeight="1">
      <c r="A15" s="793"/>
      <c r="B15" s="63"/>
      <c r="C15" s="63"/>
      <c r="D15" s="804"/>
      <c r="E15" s="795" t="s">
        <v>568</v>
      </c>
      <c r="F15" s="796"/>
      <c r="G15" s="797"/>
      <c r="H15" s="79" t="str">
        <f>IF(A14="","",INDEX(DIFFERENTIATION_UNMERGE_AREA,MATCH(A14,DIFFERENTIATION_ID_DIFF,0)))</f>
        <v/>
      </c>
      <c r="I15" s="79"/>
      <c r="J15" s="79"/>
      <c r="K15" s="79"/>
      <c r="L15" s="79"/>
      <c r="M15" s="79"/>
      <c r="N15" s="79"/>
      <c r="O15" s="79"/>
      <c r="P15" s="79"/>
      <c r="Q15" s="79"/>
      <c r="R15" s="79"/>
      <c r="S15" s="798"/>
      <c r="T15" s="799"/>
      <c r="U15" s="167"/>
      <c r="V15" s="167"/>
      <c r="W15" s="64"/>
      <c r="X15" s="64"/>
      <c r="Y15" s="64"/>
      <c r="Z15" s="64"/>
      <c r="AA15" s="167"/>
      <c r="AB15" s="64"/>
      <c r="AC15" s="800"/>
      <c r="AD15" s="64"/>
      <c r="AE15" s="801"/>
      <c r="AF15" s="801"/>
      <c r="AG15" s="802"/>
      <c r="AH15" s="803"/>
      <c r="AI15" s="167"/>
      <c r="AJ15" s="167"/>
      <c r="AK15" s="167"/>
      <c r="AL15" s="167"/>
      <c r="AM15" s="167"/>
      <c r="AN15" s="167"/>
      <c r="AO15" s="167"/>
      <c r="AP15" s="167"/>
      <c r="AQ15" s="167"/>
      <c r="AR15" s="167"/>
      <c r="AS15" s="167"/>
      <c r="AT15" s="167"/>
      <c r="AU15" s="167"/>
      <c r="AV15" s="167"/>
      <c r="AW15" s="167"/>
      <c r="AX15" s="167"/>
      <c r="AY15" s="167"/>
      <c r="AZ15" s="167"/>
      <c r="BA15" s="167"/>
      <c r="BB15" s="167"/>
      <c r="BC15" s="167"/>
      <c r="BD15" s="167"/>
      <c r="BE15" s="167"/>
      <c r="BF15" s="167"/>
      <c r="BG15" s="167"/>
      <c r="BH15" s="167"/>
      <c r="BI15" s="167"/>
      <c r="BJ15" s="167"/>
      <c r="BK15" s="167"/>
      <c r="BL15" s="167"/>
      <c r="BM15" s="167"/>
      <c r="BN15" s="167"/>
      <c r="BO15" s="167"/>
      <c r="BP15" s="167"/>
      <c r="BQ15" s="167"/>
      <c r="BR15" s="167"/>
      <c r="BS15" s="167"/>
      <c r="BT15" s="167"/>
      <c r="BU15" s="167"/>
      <c r="BV15" s="64"/>
      <c r="BW15" s="64"/>
      <c r="BX15" s="64"/>
      <c r="BY15" s="64"/>
      <c r="BZ15" s="64"/>
      <c r="CA15" s="64"/>
      <c r="CB15" s="64"/>
      <c r="CC15" s="64"/>
      <c r="CD15" s="64"/>
      <c r="CE15" s="64"/>
      <c r="CF15" s="63">
        <v>0</v>
      </c>
    </row>
    <row r="16" s="63" customFormat="1" ht="15" hidden="1" customHeight="1">
      <c r="A16" s="793"/>
      <c r="B16" s="63"/>
      <c r="C16" s="63"/>
      <c r="D16" s="804"/>
      <c r="E16" s="795" t="s">
        <v>569</v>
      </c>
      <c r="F16" s="796"/>
      <c r="G16" s="797"/>
      <c r="H16" s="79" t="str">
        <f>IF(A14="","",INDEX(DIFFERENTIATION_UNMERGE_SYSTEM,MATCH(A14,DIFFERENTIATION_ID_DIFF,0)))</f>
        <v xml:space="preserve">без дифференциации</v>
      </c>
      <c r="I16" s="79"/>
      <c r="J16" s="79"/>
      <c r="K16" s="79"/>
      <c r="L16" s="79"/>
      <c r="M16" s="79"/>
      <c r="N16" s="79"/>
      <c r="O16" s="79"/>
      <c r="P16" s="79"/>
      <c r="Q16" s="79"/>
      <c r="R16" s="79"/>
      <c r="S16" s="798"/>
      <c r="T16" s="799"/>
      <c r="U16" s="167"/>
      <c r="V16" s="167"/>
      <c r="W16" s="64"/>
      <c r="X16" s="64"/>
      <c r="Y16" s="64"/>
      <c r="Z16" s="64"/>
      <c r="AA16" s="167"/>
      <c r="AB16" s="64"/>
      <c r="AC16" s="800"/>
      <c r="AD16" s="64"/>
      <c r="AE16" s="801"/>
      <c r="AF16" s="801"/>
      <c r="AG16" s="802"/>
      <c r="AH16" s="803"/>
      <c r="AI16" s="167"/>
      <c r="AJ16" s="167"/>
      <c r="AK16" s="167"/>
      <c r="AL16" s="167"/>
      <c r="AM16" s="167"/>
      <c r="AN16" s="167"/>
      <c r="AO16" s="167"/>
      <c r="AP16" s="167"/>
      <c r="AQ16" s="167"/>
      <c r="AR16" s="167"/>
      <c r="AS16" s="167"/>
      <c r="AT16" s="167"/>
      <c r="AU16" s="167"/>
      <c r="AV16" s="167"/>
      <c r="AW16" s="167"/>
      <c r="AX16" s="167"/>
      <c r="AY16" s="167"/>
      <c r="AZ16" s="167"/>
      <c r="BA16" s="167"/>
      <c r="BB16" s="167"/>
      <c r="BC16" s="167"/>
      <c r="BD16" s="167"/>
      <c r="BE16" s="167"/>
      <c r="BF16" s="167"/>
      <c r="BG16" s="167"/>
      <c r="BH16" s="167"/>
      <c r="BI16" s="167"/>
      <c r="BJ16" s="167"/>
      <c r="BK16" s="167"/>
      <c r="BL16" s="167"/>
      <c r="BM16" s="167"/>
      <c r="BN16" s="167"/>
      <c r="BO16" s="167"/>
      <c r="BP16" s="167"/>
      <c r="BQ16" s="167"/>
      <c r="BR16" s="167"/>
      <c r="BS16" s="167"/>
      <c r="BT16" s="167"/>
      <c r="BU16" s="167"/>
      <c r="BV16" s="64"/>
      <c r="BW16" s="64"/>
      <c r="BX16" s="64"/>
      <c r="BY16" s="64"/>
      <c r="BZ16" s="64"/>
      <c r="CA16" s="64"/>
      <c r="CB16" s="64"/>
      <c r="CC16" s="64"/>
      <c r="CD16" s="64"/>
      <c r="CE16" s="64"/>
      <c r="CF16" s="63">
        <v>0</v>
      </c>
    </row>
    <row r="17" s="63" customFormat="1" ht="22.5" hidden="1" customHeight="1">
      <c r="A17" s="113"/>
      <c r="B17" s="53"/>
      <c r="C17" s="168"/>
      <c r="D17" s="804"/>
      <c r="E17" s="805" t="s">
        <v>614</v>
      </c>
      <c r="F17" s="805"/>
      <c r="G17" s="805"/>
      <c r="H17" s="805"/>
      <c r="I17" s="805"/>
      <c r="J17" s="805"/>
      <c r="K17" s="805"/>
      <c r="L17" s="805"/>
      <c r="M17" s="805"/>
      <c r="N17" s="805"/>
      <c r="O17" s="805"/>
      <c r="P17" s="805"/>
      <c r="Q17" s="738">
        <f>SUMIF(T18:T19,"i",Q18:Q19)</f>
        <v>0</v>
      </c>
      <c r="R17" s="806"/>
      <c r="S17" s="326" t="s">
        <v>615</v>
      </c>
      <c r="T17" s="799" t="s">
        <v>616</v>
      </c>
      <c r="U17" s="132">
        <v>1</v>
      </c>
      <c r="V17" s="132" t="str">
        <f>INDEX(B_FHD_FLAG_INDEX_1,1,MATCH(A14,B_FHD_FLAG_DIFFERENTIATION,0))</f>
        <v>отсутствует</v>
      </c>
      <c r="W17" s="53"/>
      <c r="X17" s="53"/>
      <c r="Y17" s="53"/>
      <c r="Z17" s="53"/>
      <c r="AA17" s="57"/>
      <c r="AB17" s="53"/>
      <c r="AC17" s="800"/>
      <c r="AD17" s="64"/>
      <c r="AE17" s="53"/>
      <c r="AF17" s="53"/>
      <c r="AG17" s="57"/>
      <c r="AH17" s="57"/>
      <c r="AI17" s="57"/>
      <c r="AJ17" s="57"/>
      <c r="AK17" s="57"/>
      <c r="AL17" s="57"/>
      <c r="AM17" s="57"/>
      <c r="AN17" s="57"/>
      <c r="AO17" s="57"/>
      <c r="AP17" s="57"/>
      <c r="AQ17" s="57"/>
      <c r="AR17" s="57"/>
      <c r="AS17" s="57"/>
      <c r="AT17" s="57"/>
      <c r="AU17" s="57"/>
      <c r="AV17" s="57"/>
      <c r="AW17" s="57"/>
      <c r="AX17" s="57"/>
      <c r="AY17" s="57"/>
      <c r="AZ17" s="57"/>
      <c r="BA17" s="57"/>
      <c r="BB17" s="57"/>
      <c r="BC17" s="57"/>
      <c r="BD17" s="57"/>
      <c r="BE17" s="57"/>
      <c r="BF17" s="57"/>
      <c r="BG17" s="57"/>
      <c r="BH17" s="57"/>
      <c r="BI17" s="57"/>
      <c r="BJ17" s="57"/>
      <c r="BK17" s="57"/>
      <c r="BL17" s="57"/>
      <c r="BM17" s="57"/>
      <c r="BN17" s="57"/>
      <c r="BO17" s="57"/>
      <c r="BP17" s="57"/>
      <c r="BQ17" s="57"/>
      <c r="BR17" s="57"/>
      <c r="BS17" s="57"/>
      <c r="BT17" s="57"/>
      <c r="BU17" s="57"/>
      <c r="BV17" s="53"/>
      <c r="BW17" s="53"/>
      <c r="BX17" s="53"/>
      <c r="BY17" s="53"/>
      <c r="BZ17" s="53"/>
      <c r="CA17" s="53"/>
      <c r="CB17" s="53"/>
      <c r="CC17" s="53"/>
      <c r="CD17" s="53"/>
      <c r="CE17" s="53"/>
      <c r="CF17" s="63">
        <v>0</v>
      </c>
    </row>
    <row r="18" s="63" customFormat="1" ht="11.25" hidden="1" customHeight="1">
      <c r="A18" s="132"/>
      <c r="B18" s="57"/>
      <c r="C18" s="57"/>
      <c r="D18" s="804"/>
      <c r="E18" s="362"/>
      <c r="F18" s="362">
        <v>0</v>
      </c>
      <c r="G18" s="362"/>
      <c r="H18" s="362"/>
      <c r="I18" s="362"/>
      <c r="J18" s="362"/>
      <c r="K18" s="362"/>
      <c r="L18" s="362"/>
      <c r="M18" s="362"/>
      <c r="N18" s="362"/>
      <c r="O18" s="362"/>
      <c r="P18" s="362"/>
      <c r="Q18" s="362"/>
      <c r="R18" s="362"/>
      <c r="S18" s="361"/>
      <c r="T18" s="807"/>
      <c r="U18" s="132"/>
      <c r="V18" s="132"/>
      <c r="W18" s="57"/>
      <c r="X18" s="57"/>
      <c r="Y18" s="57"/>
      <c r="Z18" s="57"/>
      <c r="AA18" s="57"/>
      <c r="AB18" s="53"/>
      <c r="AC18" s="800"/>
      <c r="AD18" s="64"/>
      <c r="AE18" s="53"/>
      <c r="AF18" s="53"/>
      <c r="AG18" s="57"/>
      <c r="AH18" s="57"/>
      <c r="AI18" s="57"/>
      <c r="AJ18" s="57"/>
      <c r="AK18" s="57"/>
      <c r="AL18" s="57"/>
      <c r="AM18" s="57"/>
      <c r="AN18" s="57"/>
      <c r="AO18" s="57"/>
      <c r="AP18" s="57"/>
      <c r="AQ18" s="57"/>
      <c r="AR18" s="57"/>
      <c r="AS18" s="57"/>
      <c r="AT18" s="57"/>
      <c r="AU18" s="57"/>
      <c r="AV18" s="57"/>
      <c r="AW18" s="57"/>
      <c r="AX18" s="57"/>
      <c r="AY18" s="57"/>
      <c r="AZ18" s="57"/>
      <c r="BA18" s="57"/>
      <c r="BB18" s="57"/>
      <c r="BC18" s="57"/>
      <c r="BD18" s="57"/>
      <c r="BE18" s="57"/>
      <c r="BF18" s="57"/>
      <c r="BG18" s="57"/>
      <c r="BH18" s="57"/>
      <c r="BI18" s="57"/>
      <c r="BJ18" s="57"/>
      <c r="BK18" s="57"/>
      <c r="BL18" s="57"/>
      <c r="BM18" s="57"/>
      <c r="BN18" s="57"/>
      <c r="BO18" s="57"/>
      <c r="BP18" s="57"/>
      <c r="BQ18" s="57"/>
      <c r="BR18" s="57"/>
      <c r="BS18" s="57"/>
      <c r="BT18" s="57"/>
      <c r="BU18" s="57"/>
      <c r="BV18" s="57"/>
      <c r="BW18" s="57"/>
      <c r="BX18" s="57"/>
      <c r="BY18" s="57"/>
      <c r="BZ18" s="57"/>
      <c r="CA18" s="57"/>
      <c r="CB18" s="57"/>
      <c r="CC18" s="57"/>
      <c r="CD18" s="57"/>
      <c r="CE18" s="57"/>
      <c r="CF18" s="63">
        <v>0</v>
      </c>
    </row>
    <row r="19" s="63" customFormat="1" ht="11.25" hidden="1" customHeight="1">
      <c r="A19" s="113"/>
      <c r="B19" s="53"/>
      <c r="C19" s="168"/>
      <c r="D19" s="804"/>
      <c r="E19" s="647" t="s">
        <v>28</v>
      </c>
      <c r="F19" s="172" t="s">
        <v>28</v>
      </c>
      <c r="G19" s="172" t="s">
        <v>28</v>
      </c>
      <c r="H19" s="177" t="s">
        <v>28</v>
      </c>
      <c r="I19" s="177"/>
      <c r="J19" s="177"/>
      <c r="K19" s="177"/>
      <c r="L19" s="177"/>
      <c r="M19" s="177"/>
      <c r="N19" s="177"/>
      <c r="O19" s="177"/>
      <c r="P19" s="177"/>
      <c r="Q19" s="177"/>
      <c r="R19" s="229"/>
      <c r="S19" s="805"/>
      <c r="T19" s="807"/>
      <c r="U19" s="132"/>
      <c r="V19" s="132"/>
      <c r="W19" s="53"/>
      <c r="X19" s="53"/>
      <c r="Y19" s="53"/>
      <c r="Z19" s="53"/>
      <c r="AA19" s="57"/>
      <c r="AB19" s="53"/>
      <c r="AC19" s="800"/>
      <c r="AD19" s="64"/>
      <c r="AE19" s="53"/>
      <c r="AF19" s="53"/>
      <c r="AG19" s="57"/>
      <c r="AH19" s="57"/>
      <c r="AI19" s="57"/>
      <c r="AJ19" s="57"/>
      <c r="AK19" s="57"/>
      <c r="AL19" s="57"/>
      <c r="AM19" s="57"/>
      <c r="AN19" s="57"/>
      <c r="AO19" s="57"/>
      <c r="AP19" s="57"/>
      <c r="AQ19" s="57"/>
      <c r="AR19" s="57"/>
      <c r="AS19" s="57"/>
      <c r="AT19" s="57"/>
      <c r="AU19" s="57"/>
      <c r="AV19" s="57"/>
      <c r="AW19" s="57"/>
      <c r="AX19" s="57"/>
      <c r="AY19" s="57"/>
      <c r="AZ19" s="57"/>
      <c r="BA19" s="57"/>
      <c r="BB19" s="57"/>
      <c r="BC19" s="57"/>
      <c r="BD19" s="57"/>
      <c r="BE19" s="57"/>
      <c r="BF19" s="57"/>
      <c r="BG19" s="57"/>
      <c r="BH19" s="57"/>
      <c r="BI19" s="57"/>
      <c r="BJ19" s="57"/>
      <c r="BK19" s="57"/>
      <c r="BL19" s="57"/>
      <c r="BM19" s="57"/>
      <c r="BN19" s="57"/>
      <c r="BO19" s="57"/>
      <c r="BP19" s="57"/>
      <c r="BQ19" s="57"/>
      <c r="BR19" s="57"/>
      <c r="BS19" s="57"/>
      <c r="BT19" s="57"/>
      <c r="BU19" s="57"/>
      <c r="BV19" s="53"/>
      <c r="BW19" s="53"/>
      <c r="BX19" s="53"/>
      <c r="BY19" s="53"/>
      <c r="BZ19" s="53"/>
      <c r="CA19" s="53"/>
      <c r="CB19" s="53"/>
      <c r="CC19" s="53"/>
      <c r="CD19" s="53"/>
      <c r="CE19" s="53"/>
      <c r="CF19" s="63">
        <v>0</v>
      </c>
    </row>
    <row r="20" s="63" customFormat="1" ht="22.5" hidden="1" customHeight="1">
      <c r="A20" s="113"/>
      <c r="B20" s="53"/>
      <c r="C20" s="168"/>
      <c r="D20" s="804"/>
      <c r="E20" s="805" t="s">
        <v>617</v>
      </c>
      <c r="F20" s="805"/>
      <c r="G20" s="805"/>
      <c r="H20" s="805"/>
      <c r="I20" s="805"/>
      <c r="J20" s="805"/>
      <c r="K20" s="805"/>
      <c r="L20" s="805"/>
      <c r="M20" s="805"/>
      <c r="N20" s="805"/>
      <c r="O20" s="805"/>
      <c r="P20" s="805"/>
      <c r="Q20" s="738">
        <f>SUMIF(T21:T22,"i",Q21:Q22)</f>
        <v>0</v>
      </c>
      <c r="R20" s="806"/>
      <c r="S20" s="326" t="s">
        <v>618</v>
      </c>
      <c r="T20" s="799" t="s">
        <v>616</v>
      </c>
      <c r="U20" s="132">
        <v>2</v>
      </c>
      <c r="V20" s="132" t="str">
        <f>INDEX(B_FHD_FLAG_INDEX_2,1,MATCH(A14,B_FHD_FLAG_DIFFERENTIATION,0))</f>
        <v>отсутствует</v>
      </c>
      <c r="W20" s="53"/>
      <c r="X20" s="53"/>
      <c r="Y20" s="53"/>
      <c r="Z20" s="53"/>
      <c r="AA20" s="57"/>
      <c r="AB20" s="53"/>
      <c r="AC20" s="800"/>
      <c r="AD20" s="64"/>
      <c r="AE20" s="53"/>
      <c r="AF20" s="53"/>
      <c r="AG20" s="57"/>
      <c r="AH20" s="57"/>
      <c r="AI20" s="57"/>
      <c r="AJ20" s="57"/>
      <c r="AK20" s="57"/>
      <c r="AL20" s="57"/>
      <c r="AM20" s="57"/>
      <c r="AN20" s="57"/>
      <c r="AO20" s="57"/>
      <c r="AP20" s="57"/>
      <c r="AQ20" s="57"/>
      <c r="AR20" s="57"/>
      <c r="AS20" s="57"/>
      <c r="AT20" s="57"/>
      <c r="AU20" s="57"/>
      <c r="AV20" s="57"/>
      <c r="AW20" s="57"/>
      <c r="AX20" s="57"/>
      <c r="AY20" s="57"/>
      <c r="AZ20" s="57"/>
      <c r="BA20" s="57"/>
      <c r="BB20" s="57"/>
      <c r="BC20" s="57"/>
      <c r="BD20" s="57"/>
      <c r="BE20" s="57"/>
      <c r="BF20" s="57"/>
      <c r="BG20" s="57"/>
      <c r="BH20" s="57"/>
      <c r="BI20" s="57"/>
      <c r="BJ20" s="57"/>
      <c r="BK20" s="57"/>
      <c r="BL20" s="57"/>
      <c r="BM20" s="57"/>
      <c r="BN20" s="57"/>
      <c r="BO20" s="57"/>
      <c r="BP20" s="57"/>
      <c r="BQ20" s="57"/>
      <c r="BR20" s="57"/>
      <c r="BS20" s="57"/>
      <c r="BT20" s="57"/>
      <c r="BU20" s="57"/>
      <c r="BV20" s="53"/>
      <c r="BW20" s="53"/>
      <c r="BX20" s="53"/>
      <c r="BY20" s="53"/>
      <c r="BZ20" s="53"/>
      <c r="CA20" s="53"/>
      <c r="CB20" s="53"/>
      <c r="CC20" s="53"/>
      <c r="CD20" s="53"/>
      <c r="CE20" s="53"/>
      <c r="CF20" s="63">
        <v>0</v>
      </c>
    </row>
    <row r="21" s="63" customFormat="1" ht="11.25" hidden="1" customHeight="1">
      <c r="A21" s="132"/>
      <c r="B21" s="57"/>
      <c r="C21" s="57"/>
      <c r="D21" s="804"/>
      <c r="E21" s="362"/>
      <c r="F21" s="362">
        <v>0</v>
      </c>
      <c r="G21" s="362"/>
      <c r="H21" s="362"/>
      <c r="I21" s="362"/>
      <c r="J21" s="362"/>
      <c r="K21" s="362"/>
      <c r="L21" s="362"/>
      <c r="M21" s="362"/>
      <c r="N21" s="362"/>
      <c r="O21" s="362"/>
      <c r="P21" s="362"/>
      <c r="Q21" s="362"/>
      <c r="R21" s="362"/>
      <c r="S21" s="361"/>
      <c r="T21" s="807"/>
      <c r="U21" s="132"/>
      <c r="V21" s="132"/>
      <c r="W21" s="57"/>
      <c r="X21" s="57"/>
      <c r="Y21" s="57"/>
      <c r="Z21" s="57"/>
      <c r="AA21" s="57"/>
      <c r="AB21" s="53"/>
      <c r="AC21" s="800"/>
      <c r="AD21" s="64"/>
      <c r="AE21" s="53"/>
      <c r="AF21" s="53"/>
      <c r="AG21" s="57"/>
      <c r="AH21" s="57"/>
      <c r="AI21" s="57"/>
      <c r="AJ21" s="57"/>
      <c r="AK21" s="57"/>
      <c r="AL21" s="57"/>
      <c r="AM21" s="57"/>
      <c r="AN21" s="57"/>
      <c r="AO21" s="57"/>
      <c r="AP21" s="57"/>
      <c r="AQ21" s="57"/>
      <c r="AR21" s="57"/>
      <c r="AS21" s="57"/>
      <c r="AT21" s="57"/>
      <c r="AU21" s="57"/>
      <c r="AV21" s="57"/>
      <c r="AW21" s="57"/>
      <c r="AX21" s="57"/>
      <c r="AY21" s="57"/>
      <c r="AZ21" s="57"/>
      <c r="BA21" s="57"/>
      <c r="BB21" s="57"/>
      <c r="BC21" s="57"/>
      <c r="BD21" s="57"/>
      <c r="BE21" s="57"/>
      <c r="BF21" s="57"/>
      <c r="BG21" s="57"/>
      <c r="BH21" s="57"/>
      <c r="BI21" s="57"/>
      <c r="BJ21" s="57"/>
      <c r="BK21" s="57"/>
      <c r="BL21" s="57"/>
      <c r="BM21" s="57"/>
      <c r="BN21" s="57"/>
      <c r="BO21" s="57"/>
      <c r="BP21" s="57"/>
      <c r="BQ21" s="57"/>
      <c r="BR21" s="57"/>
      <c r="BS21" s="57"/>
      <c r="BT21" s="57"/>
      <c r="BU21" s="57"/>
      <c r="BV21" s="57"/>
      <c r="BW21" s="57"/>
      <c r="BX21" s="57"/>
      <c r="BY21" s="57"/>
      <c r="BZ21" s="57"/>
      <c r="CA21" s="57"/>
      <c r="CB21" s="57"/>
      <c r="CC21" s="57"/>
      <c r="CD21" s="57"/>
      <c r="CE21" s="57"/>
      <c r="CF21" s="63">
        <v>0</v>
      </c>
    </row>
    <row r="22" s="63" customFormat="1" ht="11.25" hidden="1" customHeight="1">
      <c r="A22" s="113"/>
      <c r="B22" s="53"/>
      <c r="C22" s="168"/>
      <c r="D22" s="808"/>
      <c r="E22" s="647" t="s">
        <v>28</v>
      </c>
      <c r="F22" s="172" t="s">
        <v>28</v>
      </c>
      <c r="G22" s="172" t="s">
        <v>28</v>
      </c>
      <c r="H22" s="177" t="s">
        <v>28</v>
      </c>
      <c r="I22" s="177"/>
      <c r="J22" s="177"/>
      <c r="K22" s="177"/>
      <c r="L22" s="177"/>
      <c r="M22" s="177"/>
      <c r="N22" s="177"/>
      <c r="O22" s="177"/>
      <c r="P22" s="177"/>
      <c r="Q22" s="177"/>
      <c r="R22" s="229"/>
      <c r="S22" s="805"/>
      <c r="T22" s="807"/>
      <c r="U22" s="132"/>
      <c r="V22" s="132"/>
      <c r="W22" s="53"/>
      <c r="X22" s="53"/>
      <c r="Y22" s="53"/>
      <c r="Z22" s="53"/>
      <c r="AA22" s="57"/>
      <c r="AB22" s="53"/>
      <c r="AC22" s="800"/>
      <c r="AD22" s="64"/>
      <c r="AE22" s="53"/>
      <c r="AF22" s="53"/>
      <c r="AG22" s="57"/>
      <c r="AH22" s="57"/>
      <c r="AI22" s="57"/>
      <c r="AJ22" s="57"/>
      <c r="AK22" s="57"/>
      <c r="AL22" s="57"/>
      <c r="AM22" s="57"/>
      <c r="AN22" s="57"/>
      <c r="AO22" s="57"/>
      <c r="AP22" s="57"/>
      <c r="AQ22" s="57"/>
      <c r="AR22" s="57"/>
      <c r="AS22" s="57"/>
      <c r="AT22" s="57"/>
      <c r="AU22" s="57"/>
      <c r="AV22" s="57"/>
      <c r="AW22" s="57"/>
      <c r="AX22" s="57"/>
      <c r="AY22" s="57"/>
      <c r="AZ22" s="57"/>
      <c r="BA22" s="57"/>
      <c r="BB22" s="57"/>
      <c r="BC22" s="57"/>
      <c r="BD22" s="57"/>
      <c r="BE22" s="57"/>
      <c r="BF22" s="57"/>
      <c r="BG22" s="57"/>
      <c r="BH22" s="57"/>
      <c r="BI22" s="57"/>
      <c r="BJ22" s="57"/>
      <c r="BK22" s="57"/>
      <c r="BL22" s="57"/>
      <c r="BM22" s="57"/>
      <c r="BN22" s="57"/>
      <c r="BO22" s="57"/>
      <c r="BP22" s="57"/>
      <c r="BQ22" s="57"/>
      <c r="BR22" s="57"/>
      <c r="BS22" s="57"/>
      <c r="BT22" s="57"/>
      <c r="BU22" s="57"/>
      <c r="BV22" s="53"/>
      <c r="BW22" s="53"/>
      <c r="BX22" s="53"/>
      <c r="BY22" s="53"/>
      <c r="BZ22" s="53"/>
      <c r="CA22" s="53"/>
      <c r="CB22" s="53"/>
      <c r="CC22" s="53"/>
      <c r="CD22" s="53"/>
      <c r="CE22" s="53"/>
      <c r="CF22" s="63">
        <v>0</v>
      </c>
    </row>
    <row r="23" ht="19.949999999999999" customHeight="1">
      <c r="D23" s="809"/>
      <c r="E23" s="809"/>
      <c r="F23" s="809"/>
      <c r="G23" s="809"/>
      <c r="H23" s="809"/>
      <c r="I23" s="809"/>
      <c r="J23" s="809"/>
      <c r="K23" s="809"/>
      <c r="L23" s="809"/>
      <c r="M23" s="809"/>
      <c r="N23" s="809"/>
      <c r="O23" s="809"/>
      <c r="P23" s="809"/>
      <c r="Q23" s="809"/>
      <c r="R23" s="809"/>
      <c r="S23" s="809"/>
      <c r="T23" s="791"/>
      <c r="CF23" s="50">
        <v>19</v>
      </c>
    </row>
    <row r="24" ht="11.5" customHeight="1">
      <c r="D24" s="50"/>
      <c r="CF24" s="50">
        <v>11</v>
      </c>
    </row>
    <row r="25" ht="11.5" customHeight="1">
      <c r="D25" s="140"/>
      <c r="E25" s="140"/>
      <c r="F25" s="140"/>
      <c r="G25" s="184"/>
      <c r="CF25" s="50">
        <v>11</v>
      </c>
    </row>
    <row r="26" ht="11.5" customHeight="1">
      <c r="CF26" s="50">
        <v>11</v>
      </c>
    </row>
    <row r="27" ht="11.5" customHeight="1">
      <c r="D27" s="405"/>
      <c r="E27" s="810"/>
      <c r="F27" s="810"/>
      <c r="G27" s="810"/>
      <c r="H27" s="810"/>
      <c r="I27" s="810"/>
      <c r="J27" s="810"/>
      <c r="K27" s="810"/>
      <c r="L27" s="810"/>
      <c r="M27" s="810"/>
      <c r="N27" s="810"/>
      <c r="O27" s="810"/>
      <c r="P27" s="810"/>
      <c r="Q27" s="810"/>
      <c r="R27" s="810"/>
      <c r="CF27" s="50">
        <v>11</v>
      </c>
    </row>
    <row r="28" ht="11.5" customHeight="1">
      <c r="F28" s="50"/>
      <c r="G28" s="50"/>
      <c r="CF28" s="50">
        <v>11</v>
      </c>
    </row>
    <row r="29" ht="11.25" hidden="1" customHeight="1">
      <c r="A29" s="784" t="s">
        <v>83</v>
      </c>
      <c r="B29" s="56">
        <v>0</v>
      </c>
      <c r="C29" s="50">
        <v>3</v>
      </c>
      <c r="D29" s="50">
        <v>0</v>
      </c>
      <c r="E29" s="50">
        <v>7</v>
      </c>
      <c r="F29" s="50">
        <v>7</v>
      </c>
      <c r="G29" s="50">
        <v>29</v>
      </c>
      <c r="H29" s="50">
        <v>3</v>
      </c>
      <c r="I29" s="50">
        <v>5</v>
      </c>
      <c r="J29" s="50">
        <v>24</v>
      </c>
      <c r="K29" s="50">
        <v>24</v>
      </c>
      <c r="L29" s="50">
        <v>3</v>
      </c>
      <c r="M29" s="50">
        <v>6</v>
      </c>
      <c r="N29" s="50">
        <v>25</v>
      </c>
      <c r="O29" s="50">
        <v>18</v>
      </c>
      <c r="P29" s="50">
        <v>18</v>
      </c>
      <c r="Q29" s="50">
        <v>18</v>
      </c>
      <c r="R29" s="50">
        <v>18</v>
      </c>
      <c r="S29" s="50">
        <v>93</v>
      </c>
      <c r="T29" s="50">
        <v>10</v>
      </c>
      <c r="U29" s="57">
        <v>10</v>
      </c>
      <c r="V29" s="57">
        <v>11</v>
      </c>
      <c r="W29" s="56">
        <v>10</v>
      </c>
      <c r="X29" s="56">
        <v>10</v>
      </c>
      <c r="Y29" s="56">
        <v>10</v>
      </c>
      <c r="Z29" s="56">
        <v>10</v>
      </c>
      <c r="AA29" s="56">
        <v>10</v>
      </c>
      <c r="AB29" s="50">
        <v>8</v>
      </c>
      <c r="AC29" s="50">
        <v>8</v>
      </c>
      <c r="AD29" s="50">
        <v>8</v>
      </c>
      <c r="AE29" s="50">
        <v>8</v>
      </c>
      <c r="AF29" s="50">
        <v>8</v>
      </c>
      <c r="AG29" s="50">
        <v>8</v>
      </c>
      <c r="AH29" s="50">
        <v>8</v>
      </c>
      <c r="AI29" s="50">
        <v>8</v>
      </c>
      <c r="AJ29" s="50">
        <v>8</v>
      </c>
      <c r="AK29" s="50">
        <v>8</v>
      </c>
      <c r="AL29" s="50">
        <v>8</v>
      </c>
      <c r="AM29" s="50">
        <v>8</v>
      </c>
      <c r="AN29" s="50">
        <v>8</v>
      </c>
      <c r="AO29" s="50">
        <v>8</v>
      </c>
      <c r="AP29" s="50">
        <v>8</v>
      </c>
      <c r="AQ29" s="50">
        <v>8</v>
      </c>
      <c r="AR29" s="50">
        <v>8</v>
      </c>
      <c r="AS29" s="50">
        <v>8</v>
      </c>
      <c r="AT29" s="50">
        <v>8</v>
      </c>
      <c r="AU29" s="50">
        <v>8</v>
      </c>
      <c r="AV29" s="50">
        <v>8</v>
      </c>
      <c r="AW29" s="50">
        <v>8</v>
      </c>
      <c r="AX29" s="50">
        <v>8</v>
      </c>
      <c r="AY29" s="50">
        <v>8</v>
      </c>
      <c r="AZ29" s="50">
        <v>8</v>
      </c>
      <c r="BA29" s="50">
        <v>8</v>
      </c>
      <c r="BB29" s="50">
        <v>8</v>
      </c>
      <c r="BC29" s="50">
        <v>8</v>
      </c>
      <c r="BD29" s="50">
        <v>8</v>
      </c>
      <c r="BE29" s="50">
        <v>8</v>
      </c>
      <c r="BF29" s="50">
        <v>8</v>
      </c>
      <c r="BG29" s="50">
        <v>8</v>
      </c>
      <c r="BH29" s="50">
        <v>8</v>
      </c>
      <c r="BI29" s="50">
        <v>8</v>
      </c>
      <c r="BJ29" s="50">
        <v>8</v>
      </c>
      <c r="BK29" s="50">
        <v>8</v>
      </c>
      <c r="BL29" s="50">
        <v>8</v>
      </c>
      <c r="BM29" s="50">
        <v>8</v>
      </c>
      <c r="BN29" s="50">
        <v>8</v>
      </c>
      <c r="BO29" s="50">
        <v>8</v>
      </c>
      <c r="BP29" s="50">
        <v>8</v>
      </c>
      <c r="BQ29" s="50">
        <v>8</v>
      </c>
      <c r="BR29" s="50">
        <v>8</v>
      </c>
      <c r="BS29" s="50">
        <v>8</v>
      </c>
      <c r="BT29" s="50">
        <v>8</v>
      </c>
      <c r="BU29" s="50">
        <v>8</v>
      </c>
      <c r="BV29" s="50">
        <v>8</v>
      </c>
      <c r="BW29" s="50">
        <v>8</v>
      </c>
      <c r="BX29" s="50">
        <v>8</v>
      </c>
      <c r="BY29" s="50">
        <v>8</v>
      </c>
      <c r="BZ29" s="50">
        <v>8</v>
      </c>
      <c r="CA29" s="50">
        <v>8</v>
      </c>
      <c r="CB29" s="50">
        <v>8</v>
      </c>
      <c r="CC29" s="50">
        <v>8</v>
      </c>
      <c r="CD29" s="50">
        <v>8</v>
      </c>
      <c r="CE29" s="50">
        <v>8</v>
      </c>
      <c r="CF29" s="50">
        <v>11</v>
      </c>
    </row>
  </sheetData>
  <sheetProtection autoFilter="0" deleteColumns="1" deleteRows="1" formatCells="1" formatColumns="0" formatRows="0" insertColumns="1" insertHyperlinks="1" insertRows="1" objects="0" pivotTables="1" scenarios="0" selectLockedCells="0" selectUnlockedCells="0" sheet="1" sort="1"/>
  <mergeCells count="22">
    <mergeCell ref="E5:K5"/>
    <mergeCell ref="E6:K6"/>
    <mergeCell ref="E9:R9"/>
    <mergeCell ref="S9:S10"/>
    <mergeCell ref="E10:F10"/>
    <mergeCell ref="H10:I10"/>
    <mergeCell ref="L10:M10"/>
    <mergeCell ref="D14:D22"/>
    <mergeCell ref="E14:G14"/>
    <mergeCell ref="H14:R14"/>
    <mergeCell ref="AC14:AC19"/>
    <mergeCell ref="E15:G15"/>
    <mergeCell ref="H15:R15"/>
    <mergeCell ref="E16:G16"/>
    <mergeCell ref="H16:R16"/>
    <mergeCell ref="E17:P17"/>
    <mergeCell ref="U17:U19"/>
    <mergeCell ref="V17:V19"/>
    <mergeCell ref="E20:P20"/>
    <mergeCell ref="U20:U22"/>
    <mergeCell ref="V20:V22"/>
    <mergeCell ref="E27:R27"/>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outlinePr applyStyles="0" summaryBelow="1" summaryRight="1" showOutlineSymbols="1"/>
    <pageSetUpPr autoPageBreaks="1" fitToPage="0"/>
  </sheetPr>
  <sheetViews>
    <sheetView showGridLines="0" zoomScale="90" workbookViewId="0">
      <pane xSplit="12" ySplit="14" topLeftCell="M15" activePane="bottomRight" state="frozen"/>
      <selection activeCell="A1" activeCellId="0" sqref="A1"/>
    </sheetView>
  </sheetViews>
  <sheetFormatPr defaultColWidth="9.140625" defaultRowHeight="11.25" customHeight="1"/>
  <cols>
    <col customWidth="1" hidden="1" min="1" max="5" style="715" width="10.7109375"/>
    <col customWidth="1" hidden="1" min="6" max="6" style="53" width="16.8515625"/>
    <col customWidth="1" hidden="1" min="7" max="7" style="57" width="5.57421875"/>
    <col customWidth="1" min="8" max="8" style="50" width="3.00390625"/>
    <col customWidth="1" min="9" max="9" style="50" width="7.00390625"/>
    <col customWidth="1" min="10" max="10" style="50" width="56.00390625"/>
    <col customWidth="1" min="11" max="11" style="50" width="10.00390625"/>
    <col customWidth="1" hidden="1" min="12" max="12" style="50" width="40.57421875"/>
    <col customWidth="1" min="13" max="13" style="50" width="40.7109375"/>
    <col customWidth="1" hidden="1" min="14" max="14" style="53" width="9.7109375"/>
    <col customWidth="1" min="15" max="15" style="50" width="102.00390625"/>
    <col customWidth="1" min="16" max="16" style="53" width="9.00390625"/>
    <col customWidth="1" min="17" max="17" style="57" width="5.00390625"/>
    <col customWidth="1" min="18" max="18" style="57" width="3.00390625"/>
    <col customWidth="1" min="19" max="22" style="53" width="3.00390625"/>
    <col customWidth="1" min="23" max="23" style="57" width="10.00390625"/>
    <col customWidth="1" min="24" max="24" style="53" width="34.00390625"/>
    <col customWidth="1" min="25" max="25" style="53" width="9.00390625"/>
    <col customWidth="1" min="26" max="26" style="716" width="8.00390625"/>
    <col customWidth="1" min="27" max="31" style="53" width="8.00390625"/>
    <col customWidth="1" min="32" max="36" style="56" width="8.00390625"/>
    <col customWidth="1" hidden="1" min="37" max="37" style="50" width="5.421875"/>
  </cols>
  <sheetData>
    <row r="1" s="53" customFormat="1" ht="33.75" hidden="1" customHeight="1">
      <c r="A1" s="715"/>
      <c r="B1" s="715"/>
      <c r="C1" s="715"/>
      <c r="D1" s="715"/>
      <c r="E1" s="715"/>
      <c r="G1" s="57"/>
      <c r="H1" s="53"/>
      <c r="L1" s="53">
        <v>4</v>
      </c>
      <c r="M1" s="53">
        <v>4</v>
      </c>
      <c r="Q1" s="57"/>
      <c r="R1" s="57"/>
      <c r="W1" s="57"/>
      <c r="AK1" s="53" t="s">
        <v>14</v>
      </c>
    </row>
    <row r="2" s="53" customFormat="1" ht="78.75" hidden="1" customHeight="1">
      <c r="A2" s="715"/>
      <c r="B2" s="811" t="s">
        <v>619</v>
      </c>
      <c r="C2" s="811" t="s">
        <v>620</v>
      </c>
      <c r="D2" s="812" t="s">
        <v>621</v>
      </c>
      <c r="E2" s="813" t="e">
        <f>RIGHT(I2,LEN(I2)-SEARCH("#",SUBSTITUTE(I2,".","#",LEN(I2)-LEN(SUBSTITUTE(I2,".","")))))</f>
        <v>#VALUE!</v>
      </c>
      <c r="F2" s="813">
        <f>J2</f>
        <v>0</v>
      </c>
      <c r="G2" s="57"/>
      <c r="H2" s="206"/>
      <c r="I2" s="218"/>
      <c r="J2" s="159"/>
      <c r="K2" s="72" t="s">
        <v>560</v>
      </c>
      <c r="L2" s="516"/>
      <c r="M2" s="516"/>
      <c r="N2" s="719"/>
      <c r="O2" s="494" t="s">
        <v>561</v>
      </c>
      <c r="P2" s="719"/>
      <c r="Q2" s="57"/>
      <c r="R2" s="57"/>
      <c r="W2" s="57"/>
      <c r="Z2" s="716"/>
      <c r="AF2" s="56"/>
      <c r="AG2" s="56"/>
      <c r="AH2" s="56"/>
      <c r="AI2" s="56"/>
      <c r="AJ2" s="56"/>
      <c r="AK2" s="53">
        <v>0</v>
      </c>
    </row>
    <row r="3" ht="11.25" hidden="1" customHeight="1">
      <c r="E3" s="814" t="s">
        <v>622</v>
      </c>
      <c r="L3" s="50">
        <f>0</f>
        <v>0</v>
      </c>
      <c r="M3" s="50">
        <v>1</v>
      </c>
      <c r="AK3" s="50">
        <v>0</v>
      </c>
    </row>
    <row r="4" s="56" customFormat="1" ht="11.25" hidden="1" customHeight="1">
      <c r="A4" s="715"/>
      <c r="B4" s="715"/>
      <c r="C4" s="715"/>
      <c r="E4" s="715"/>
      <c r="F4" s="53"/>
      <c r="G4" s="57"/>
      <c r="H4" s="56"/>
      <c r="N4" s="53"/>
      <c r="O4" s="56">
        <v>4</v>
      </c>
      <c r="P4" s="53"/>
      <c r="Q4" s="57"/>
      <c r="R4" s="57"/>
      <c r="S4" s="53"/>
      <c r="T4" s="53"/>
      <c r="U4" s="53"/>
      <c r="V4" s="53"/>
      <c r="W4" s="57"/>
      <c r="X4" s="53"/>
      <c r="Y4" s="53"/>
      <c r="Z4" s="716"/>
      <c r="AA4" s="53"/>
      <c r="AB4" s="53"/>
      <c r="AC4" s="53"/>
      <c r="AD4" s="53"/>
      <c r="AE4" s="53"/>
      <c r="AK4" s="56">
        <v>0</v>
      </c>
    </row>
    <row r="5" ht="11.5" customHeight="1">
      <c r="AK5" s="50">
        <v>11</v>
      </c>
    </row>
    <row r="6" ht="57.75" customHeight="1">
      <c r="I6" s="311" t="s">
        <v>623</v>
      </c>
      <c r="J6" s="311"/>
      <c r="K6" s="311"/>
      <c r="L6" s="311"/>
      <c r="M6" s="311"/>
      <c r="O6" s="240"/>
      <c r="AK6" s="50">
        <v>55</v>
      </c>
    </row>
    <row r="7" ht="25.199999999999999" customHeight="1">
      <c r="I7" s="316" t="str">
        <f>IF(org=0,"Не определено",org)</f>
        <v xml:space="preserve">АО "ДГК"</v>
      </c>
      <c r="J7" s="316"/>
      <c r="K7" s="316"/>
      <c r="L7" s="316"/>
      <c r="M7" s="316"/>
      <c r="AK7" s="50">
        <v>24</v>
      </c>
    </row>
    <row r="8" ht="11.5" customHeight="1">
      <c r="I8" s="729"/>
      <c r="J8" s="729"/>
      <c r="K8" s="729"/>
      <c r="L8" s="729"/>
      <c r="M8" s="729"/>
      <c r="AK8" s="50">
        <v>11</v>
      </c>
    </row>
    <row r="9" s="57" customFormat="1" ht="30" hidden="1" customHeight="1">
      <c r="A9" s="540"/>
      <c r="B9" s="540"/>
      <c r="C9" s="540"/>
      <c r="E9" s="540"/>
      <c r="H9" s="57"/>
      <c r="L9" s="730"/>
      <c r="M9" s="730" t="s">
        <v>117</v>
      </c>
      <c r="AK9" s="57">
        <v>1</v>
      </c>
    </row>
    <row r="10" ht="11.5" customHeight="1">
      <c r="E10" s="815" t="s">
        <v>624</v>
      </c>
      <c r="I10" s="731"/>
      <c r="J10" s="732" t="s">
        <v>105</v>
      </c>
      <c r="K10" s="733"/>
      <c r="L10" s="734" t="str">
        <f>IF(L9="","",INDEX(DIFFERENTIATION_UNMERGE_VD,MATCH(L9,DIFFERENTIATION_ID_DIFF,0)))</f>
        <v/>
      </c>
      <c r="M10" s="734">
        <f>IF(M9="","",INDEX(DIFFERENTIATION_UNMERGE_VD,MATCH(M9,DIFFERENTIATION_ID_DIFF,0)))</f>
        <v>0</v>
      </c>
      <c r="O10" s="157" t="s">
        <v>306</v>
      </c>
      <c r="AK10" s="50">
        <v>11</v>
      </c>
    </row>
    <row r="11" ht="11.5" customHeight="1">
      <c r="E11" s="815" t="s">
        <v>625</v>
      </c>
      <c r="I11" s="731"/>
      <c r="J11" s="732" t="s">
        <v>568</v>
      </c>
      <c r="K11" s="733"/>
      <c r="L11" s="734" t="str">
        <f>IF(L9="","",INDEX(DIFFERENTIATION_UNMERGE_AREA,MATCH(L9,DIFFERENTIATION_ID_DIFF,0)))</f>
        <v/>
      </c>
      <c r="M11" s="734" t="str">
        <f>IF(M9="","",INDEX(DIFFERENTIATION_UNMERGE_AREA,MATCH(M9,DIFFERENTIATION_ID_DIFF,0)))</f>
        <v/>
      </c>
      <c r="O11" s="157"/>
      <c r="AK11" s="50">
        <v>11</v>
      </c>
    </row>
    <row r="12" ht="11.5" customHeight="1">
      <c r="E12" s="815" t="s">
        <v>626</v>
      </c>
      <c r="I12" s="816"/>
      <c r="J12" s="732" t="s">
        <v>569</v>
      </c>
      <c r="K12" s="733"/>
      <c r="L12" s="734" t="str">
        <f>IF(L9="","",INDEX(DIFFERENTIATION_UNMERGE_SYSTEM,MATCH(L9,DIFFERENTIATION_ID_DIFF,0)))</f>
        <v/>
      </c>
      <c r="M12" s="734" t="str">
        <f>IF(M9="","",INDEX(DIFFERENTIATION_UNMERGE_SYSTEM,MATCH(M9,DIFFERENTIATION_ID_DIFF,0)))</f>
        <v xml:space="preserve">без дифференциации</v>
      </c>
      <c r="O12" s="157"/>
      <c r="AK12" s="50">
        <v>11</v>
      </c>
    </row>
    <row r="13" ht="11.5" customHeight="1">
      <c r="E13" s="815" t="s">
        <v>627</v>
      </c>
      <c r="F13" s="815" t="s">
        <v>628</v>
      </c>
      <c r="I13" s="735" t="s">
        <v>305</v>
      </c>
      <c r="J13" s="736"/>
      <c r="K13" s="736"/>
      <c r="L13" s="732"/>
      <c r="M13" s="817"/>
      <c r="O13" s="157"/>
      <c r="AK13" s="50">
        <v>11</v>
      </c>
    </row>
    <row r="14" ht="24" customHeight="1">
      <c r="I14" s="157" t="s">
        <v>89</v>
      </c>
      <c r="J14" s="157" t="s">
        <v>307</v>
      </c>
      <c r="K14" s="157" t="s">
        <v>570</v>
      </c>
      <c r="L14" s="73" t="s">
        <v>308</v>
      </c>
      <c r="M14" s="157" t="s">
        <v>308</v>
      </c>
      <c r="O14" s="157"/>
      <c r="AK14" s="50">
        <v>23</v>
      </c>
    </row>
    <row r="15" ht="24" customHeight="1">
      <c r="A15" s="818"/>
      <c r="B15" s="811" t="s">
        <v>629</v>
      </c>
      <c r="C15" s="811" t="s">
        <v>630</v>
      </c>
      <c r="D15" s="812" t="s">
        <v>631</v>
      </c>
      <c r="E15" s="813" t="s">
        <v>632</v>
      </c>
      <c r="F15" s="813" t="s">
        <v>632</v>
      </c>
      <c r="G15" s="57" t="s">
        <v>592</v>
      </c>
      <c r="H15" s="125"/>
      <c r="I15" s="819">
        <v>1</v>
      </c>
      <c r="J15" s="326" t="s">
        <v>633</v>
      </c>
      <c r="K15" s="157" t="s">
        <v>311</v>
      </c>
      <c r="L15" s="820"/>
      <c r="M15" s="768"/>
      <c r="N15" s="719" t="s">
        <v>634</v>
      </c>
      <c r="O15" s="494" t="s">
        <v>635</v>
      </c>
      <c r="P15" s="719" t="s">
        <v>634</v>
      </c>
      <c r="AK15" s="50">
        <v>23</v>
      </c>
    </row>
    <row r="16" ht="35.649999999999999" customHeight="1">
      <c r="A16" s="818"/>
      <c r="B16" s="811" t="s">
        <v>636</v>
      </c>
      <c r="C16" s="811" t="s">
        <v>637</v>
      </c>
      <c r="D16" s="812" t="s">
        <v>621</v>
      </c>
      <c r="E16" s="813" t="s">
        <v>632</v>
      </c>
      <c r="F16" s="813" t="s">
        <v>632</v>
      </c>
      <c r="H16" s="125"/>
      <c r="I16" s="821">
        <v>2</v>
      </c>
      <c r="J16" s="339" t="s">
        <v>638</v>
      </c>
      <c r="K16" s="320" t="s">
        <v>560</v>
      </c>
      <c r="L16" s="822"/>
      <c r="M16" s="823"/>
      <c r="N16" s="719" t="s">
        <v>634</v>
      </c>
      <c r="O16" s="494" t="s">
        <v>639</v>
      </c>
      <c r="P16" s="719" t="s">
        <v>634</v>
      </c>
      <c r="AK16" s="50">
        <v>34</v>
      </c>
    </row>
    <row r="17" s="57" customFormat="1" ht="17.25" hidden="1" customHeight="1">
      <c r="A17" s="540"/>
      <c r="B17" s="540"/>
      <c r="C17" s="540"/>
      <c r="D17" s="540"/>
      <c r="E17" s="540"/>
      <c r="H17" s="540"/>
      <c r="I17" s="158" t="s">
        <v>640</v>
      </c>
      <c r="J17" s="761"/>
      <c r="K17" s="158"/>
      <c r="L17" s="762"/>
      <c r="M17" s="762"/>
      <c r="O17" s="600"/>
      <c r="AK17" s="57">
        <v>1</v>
      </c>
    </row>
    <row r="18" s="53" customFormat="1" ht="24" customHeight="1">
      <c r="A18" s="715"/>
      <c r="B18" s="715"/>
      <c r="C18" s="715"/>
      <c r="D18" s="715"/>
      <c r="E18" s="715"/>
      <c r="G18" s="57"/>
      <c r="H18" s="128"/>
      <c r="I18" s="750"/>
      <c r="J18" s="235" t="s">
        <v>590</v>
      </c>
      <c r="K18" s="751"/>
      <c r="L18" s="824"/>
      <c r="M18" s="752"/>
      <c r="N18" s="719"/>
      <c r="O18" s="494" t="s">
        <v>591</v>
      </c>
      <c r="P18" s="719"/>
      <c r="Q18" s="57"/>
      <c r="R18" s="57"/>
      <c r="W18" s="57"/>
      <c r="Z18" s="716"/>
      <c r="AF18" s="56"/>
      <c r="AG18" s="56"/>
      <c r="AH18" s="56"/>
      <c r="AI18" s="56"/>
      <c r="AJ18" s="56"/>
      <c r="AK18" s="53">
        <v>23</v>
      </c>
    </row>
    <row r="19" ht="19.949999999999999" customHeight="1">
      <c r="A19" s="818"/>
      <c r="B19" s="811" t="s">
        <v>641</v>
      </c>
      <c r="C19" s="811" t="s">
        <v>642</v>
      </c>
      <c r="D19" s="812" t="s">
        <v>621</v>
      </c>
      <c r="E19" s="813" t="s">
        <v>632</v>
      </c>
      <c r="F19" s="813" t="s">
        <v>632</v>
      </c>
      <c r="H19" s="125"/>
      <c r="I19" s="825">
        <v>3</v>
      </c>
      <c r="J19" s="326" t="s">
        <v>642</v>
      </c>
      <c r="K19" s="145" t="s">
        <v>560</v>
      </c>
      <c r="L19" s="826"/>
      <c r="M19" s="737"/>
      <c r="N19" s="719"/>
      <c r="O19" s="494" t="s">
        <v>643</v>
      </c>
      <c r="P19" s="719"/>
      <c r="AK19" s="50">
        <v>19</v>
      </c>
    </row>
    <row r="20" ht="77.700000000000003" customHeight="1">
      <c r="A20" s="818"/>
      <c r="B20" s="811" t="s">
        <v>644</v>
      </c>
      <c r="C20" s="811" t="s">
        <v>645</v>
      </c>
      <c r="D20" s="812" t="s">
        <v>621</v>
      </c>
      <c r="E20" s="813" t="s">
        <v>632</v>
      </c>
      <c r="F20" s="813" t="s">
        <v>632</v>
      </c>
      <c r="H20" s="125"/>
      <c r="I20" s="825">
        <v>4</v>
      </c>
      <c r="J20" s="326" t="s">
        <v>646</v>
      </c>
      <c r="K20" s="145" t="s">
        <v>587</v>
      </c>
      <c r="L20" s="826"/>
      <c r="M20" s="737"/>
      <c r="N20" s="719"/>
      <c r="O20" s="494"/>
      <c r="P20" s="719"/>
      <c r="AK20" s="50">
        <v>74</v>
      </c>
    </row>
    <row r="21" ht="35.649999999999999" customHeight="1">
      <c r="A21" s="818"/>
      <c r="B21" s="811" t="s">
        <v>647</v>
      </c>
      <c r="C21" s="811" t="s">
        <v>648</v>
      </c>
      <c r="D21" s="812" t="s">
        <v>621</v>
      </c>
      <c r="E21" s="813" t="s">
        <v>632</v>
      </c>
      <c r="F21" s="813" t="s">
        <v>632</v>
      </c>
      <c r="H21" s="125"/>
      <c r="I21" s="825">
        <v>5</v>
      </c>
      <c r="J21" s="326" t="s">
        <v>649</v>
      </c>
      <c r="K21" s="145" t="s">
        <v>587</v>
      </c>
      <c r="L21" s="826"/>
      <c r="M21" s="737"/>
      <c r="N21" s="719"/>
      <c r="O21" s="494" t="s">
        <v>643</v>
      </c>
      <c r="P21" s="719"/>
      <c r="AK21" s="50">
        <v>34</v>
      </c>
    </row>
    <row r="22" ht="48.25" customHeight="1">
      <c r="A22" s="818"/>
      <c r="B22" s="811" t="s">
        <v>650</v>
      </c>
      <c r="C22" s="811" t="s">
        <v>651</v>
      </c>
      <c r="D22" s="812" t="s">
        <v>621</v>
      </c>
      <c r="E22" s="813" t="s">
        <v>632</v>
      </c>
      <c r="F22" s="813" t="s">
        <v>632</v>
      </c>
      <c r="H22" s="125"/>
      <c r="I22" s="825">
        <v>6</v>
      </c>
      <c r="J22" s="326" t="s">
        <v>652</v>
      </c>
      <c r="K22" s="145" t="s">
        <v>587</v>
      </c>
      <c r="L22" s="826"/>
      <c r="M22" s="737"/>
      <c r="N22" s="719"/>
      <c r="O22" s="494" t="s">
        <v>653</v>
      </c>
      <c r="P22" s="719"/>
      <c r="AK22" s="50">
        <v>46</v>
      </c>
    </row>
    <row r="23" ht="19.949999999999999" customHeight="1">
      <c r="A23" s="818"/>
      <c r="B23" s="811" t="s">
        <v>654</v>
      </c>
      <c r="C23" s="811" t="s">
        <v>655</v>
      </c>
      <c r="D23" s="812" t="s">
        <v>621</v>
      </c>
      <c r="E23" s="813" t="s">
        <v>632</v>
      </c>
      <c r="F23" s="813" t="s">
        <v>632</v>
      </c>
      <c r="H23" s="125"/>
      <c r="I23" s="825" t="s">
        <v>656</v>
      </c>
      <c r="J23" s="682" t="s">
        <v>657</v>
      </c>
      <c r="K23" s="145" t="s">
        <v>587</v>
      </c>
      <c r="L23" s="826"/>
      <c r="M23" s="737"/>
      <c r="N23" s="719"/>
      <c r="O23" s="494" t="s">
        <v>643</v>
      </c>
      <c r="P23" s="719"/>
      <c r="AK23" s="50">
        <v>19</v>
      </c>
    </row>
    <row r="24" ht="19.949999999999999" customHeight="1">
      <c r="A24" s="818"/>
      <c r="B24" s="811" t="s">
        <v>658</v>
      </c>
      <c r="C24" s="811" t="s">
        <v>659</v>
      </c>
      <c r="D24" s="812" t="s">
        <v>621</v>
      </c>
      <c r="E24" s="813" t="s">
        <v>632</v>
      </c>
      <c r="F24" s="813" t="s">
        <v>632</v>
      </c>
      <c r="H24" s="125"/>
      <c r="I24" s="825" t="s">
        <v>660</v>
      </c>
      <c r="J24" s="682" t="s">
        <v>661</v>
      </c>
      <c r="K24" s="145" t="s">
        <v>587</v>
      </c>
      <c r="L24" s="826"/>
      <c r="M24" s="737"/>
      <c r="N24" s="719"/>
      <c r="O24" s="494"/>
      <c r="P24" s="719"/>
      <c r="AK24" s="50">
        <v>19</v>
      </c>
    </row>
    <row r="25" ht="24" customHeight="1">
      <c r="A25" s="818"/>
      <c r="B25" s="811" t="s">
        <v>662</v>
      </c>
      <c r="C25" s="811" t="s">
        <v>663</v>
      </c>
      <c r="D25" s="812" t="s">
        <v>621</v>
      </c>
      <c r="E25" s="813" t="s">
        <v>632</v>
      </c>
      <c r="F25" s="813" t="s">
        <v>632</v>
      </c>
      <c r="H25" s="125"/>
      <c r="I25" s="825" t="s">
        <v>664</v>
      </c>
      <c r="J25" s="682" t="s">
        <v>665</v>
      </c>
      <c r="K25" s="145" t="s">
        <v>587</v>
      </c>
      <c r="L25" s="826"/>
      <c r="M25" s="737"/>
      <c r="N25" s="719"/>
      <c r="O25" s="494"/>
      <c r="P25" s="719"/>
      <c r="AK25" s="50">
        <v>23</v>
      </c>
    </row>
    <row r="26" ht="24" customHeight="1">
      <c r="A26" s="818"/>
      <c r="B26" s="811" t="s">
        <v>666</v>
      </c>
      <c r="C26" s="811" t="s">
        <v>667</v>
      </c>
      <c r="D26" s="812" t="s">
        <v>621</v>
      </c>
      <c r="E26" s="813" t="s">
        <v>632</v>
      </c>
      <c r="F26" s="813" t="s">
        <v>632</v>
      </c>
      <c r="H26" s="125"/>
      <c r="I26" s="825">
        <v>7</v>
      </c>
      <c r="J26" s="326" t="s">
        <v>667</v>
      </c>
      <c r="K26" s="145" t="s">
        <v>668</v>
      </c>
      <c r="L26" s="826"/>
      <c r="M26" s="737"/>
      <c r="N26" s="719"/>
      <c r="O26" s="494"/>
      <c r="P26" s="719"/>
      <c r="AK26" s="50">
        <v>23</v>
      </c>
    </row>
    <row r="27" ht="24" customHeight="1">
      <c r="A27" s="818"/>
      <c r="B27" s="811" t="s">
        <v>669</v>
      </c>
      <c r="C27" s="811" t="s">
        <v>670</v>
      </c>
      <c r="D27" s="812" t="s">
        <v>621</v>
      </c>
      <c r="E27" s="813" t="s">
        <v>632</v>
      </c>
      <c r="F27" s="813" t="s">
        <v>632</v>
      </c>
      <c r="H27" s="125"/>
      <c r="I27" s="825">
        <v>8</v>
      </c>
      <c r="J27" s="326" t="s">
        <v>670</v>
      </c>
      <c r="K27" s="145" t="s">
        <v>593</v>
      </c>
      <c r="L27" s="826"/>
      <c r="M27" s="737"/>
      <c r="N27" s="719"/>
      <c r="O27" s="494"/>
      <c r="P27" s="719"/>
      <c r="AK27" s="50">
        <v>23</v>
      </c>
    </row>
    <row r="28" ht="35.649999999999999" customHeight="1">
      <c r="A28" s="818"/>
      <c r="B28" s="811" t="s">
        <v>671</v>
      </c>
      <c r="C28" s="811" t="s">
        <v>672</v>
      </c>
      <c r="D28" s="812" t="s">
        <v>621</v>
      </c>
      <c r="E28" s="813" t="s">
        <v>632</v>
      </c>
      <c r="F28" s="813" t="s">
        <v>632</v>
      </c>
      <c r="H28" s="125"/>
      <c r="I28" s="827">
        <v>9</v>
      </c>
      <c r="J28" s="326" t="s">
        <v>673</v>
      </c>
      <c r="K28" s="145" t="s">
        <v>564</v>
      </c>
      <c r="L28" s="826"/>
      <c r="M28" s="737"/>
      <c r="N28" s="719"/>
      <c r="O28" s="494"/>
      <c r="P28" s="719"/>
      <c r="AK28" s="50">
        <v>34</v>
      </c>
    </row>
    <row r="29" ht="35.649999999999999" customHeight="1">
      <c r="A29" s="818"/>
      <c r="B29" s="811" t="s">
        <v>674</v>
      </c>
      <c r="C29" s="811" t="s">
        <v>675</v>
      </c>
      <c r="D29" s="812" t="s">
        <v>621</v>
      </c>
      <c r="E29" s="813" t="s">
        <v>632</v>
      </c>
      <c r="F29" s="813" t="s">
        <v>632</v>
      </c>
      <c r="H29" s="125"/>
      <c r="I29" s="827">
        <v>10</v>
      </c>
      <c r="J29" s="326" t="s">
        <v>676</v>
      </c>
      <c r="K29" s="145" t="s">
        <v>564</v>
      </c>
      <c r="L29" s="826"/>
      <c r="M29" s="737"/>
      <c r="N29" s="719"/>
      <c r="O29" s="494"/>
      <c r="P29" s="719"/>
      <c r="AK29" s="50">
        <v>34</v>
      </c>
    </row>
    <row r="30" ht="24" customHeight="1">
      <c r="A30" s="818"/>
      <c r="B30" s="811" t="s">
        <v>677</v>
      </c>
      <c r="C30" s="811" t="s">
        <v>678</v>
      </c>
      <c r="D30" s="812" t="s">
        <v>621</v>
      </c>
      <c r="E30" s="813" t="s">
        <v>632</v>
      </c>
      <c r="F30" s="813" t="s">
        <v>632</v>
      </c>
      <c r="H30" s="125"/>
      <c r="I30" s="827">
        <v>11</v>
      </c>
      <c r="J30" s="326" t="s">
        <v>678</v>
      </c>
      <c r="K30" s="145" t="s">
        <v>594</v>
      </c>
      <c r="L30" s="828"/>
      <c r="M30" s="458"/>
      <c r="N30" s="719"/>
      <c r="O30" s="494"/>
      <c r="P30" s="719"/>
      <c r="AK30" s="50">
        <v>23</v>
      </c>
    </row>
    <row r="31" ht="24" customHeight="1">
      <c r="A31" s="818"/>
      <c r="B31" s="811" t="s">
        <v>679</v>
      </c>
      <c r="C31" s="811" t="s">
        <v>680</v>
      </c>
      <c r="D31" s="812" t="s">
        <v>621</v>
      </c>
      <c r="E31" s="813" t="s">
        <v>632</v>
      </c>
      <c r="F31" s="813" t="s">
        <v>632</v>
      </c>
      <c r="H31" s="125"/>
      <c r="I31" s="827">
        <v>12</v>
      </c>
      <c r="J31" s="326" t="s">
        <v>680</v>
      </c>
      <c r="K31" s="145" t="s">
        <v>594</v>
      </c>
      <c r="L31" s="828"/>
      <c r="M31" s="458"/>
      <c r="N31" s="719"/>
      <c r="O31" s="494"/>
      <c r="P31" s="719"/>
      <c r="AK31" s="50">
        <v>23</v>
      </c>
    </row>
    <row r="32" ht="48.25" customHeight="1">
      <c r="A32" s="818"/>
      <c r="B32" s="811" t="s">
        <v>681</v>
      </c>
      <c r="C32" s="811" t="s">
        <v>682</v>
      </c>
      <c r="D32" s="812" t="s">
        <v>621</v>
      </c>
      <c r="E32" s="813" t="s">
        <v>632</v>
      </c>
      <c r="F32" s="813" t="s">
        <v>632</v>
      </c>
      <c r="H32" s="125"/>
      <c r="I32" s="827">
        <v>13</v>
      </c>
      <c r="J32" s="326" t="s">
        <v>683</v>
      </c>
      <c r="K32" s="145" t="s">
        <v>604</v>
      </c>
      <c r="L32" s="826"/>
      <c r="M32" s="737"/>
      <c r="N32" s="719"/>
      <c r="O32" s="494" t="s">
        <v>643</v>
      </c>
      <c r="P32" s="719"/>
      <c r="AK32" s="50">
        <v>46</v>
      </c>
    </row>
    <row r="33" s="53" customFormat="1" ht="48.25" customHeight="1">
      <c r="A33" s="818"/>
      <c r="B33" s="811" t="s">
        <v>684</v>
      </c>
      <c r="C33" s="811" t="s">
        <v>685</v>
      </c>
      <c r="D33" s="812" t="s">
        <v>621</v>
      </c>
      <c r="E33" s="813" t="s">
        <v>632</v>
      </c>
      <c r="F33" s="813" t="s">
        <v>632</v>
      </c>
      <c r="G33" s="57"/>
      <c r="H33" s="125"/>
      <c r="I33" s="827">
        <v>14</v>
      </c>
      <c r="J33" s="339" t="s">
        <v>686</v>
      </c>
      <c r="K33" s="317" t="s">
        <v>687</v>
      </c>
      <c r="L33" s="826"/>
      <c r="M33" s="737"/>
      <c r="N33" s="719"/>
      <c r="O33" s="494" t="s">
        <v>643</v>
      </c>
      <c r="P33" s="719"/>
      <c r="Q33" s="57"/>
      <c r="R33" s="57"/>
      <c r="W33" s="57"/>
      <c r="Z33" s="716"/>
      <c r="AF33" s="56"/>
      <c r="AG33" s="56"/>
      <c r="AH33" s="56"/>
      <c r="AI33" s="56"/>
      <c r="AJ33" s="56"/>
      <c r="AK33" s="53">
        <v>46</v>
      </c>
    </row>
    <row r="34" ht="108" customHeight="1">
      <c r="A34" s="818"/>
      <c r="B34" s="811" t="s">
        <v>688</v>
      </c>
      <c r="C34" s="811" t="s">
        <v>689</v>
      </c>
      <c r="D34" s="812" t="s">
        <v>631</v>
      </c>
      <c r="E34" s="813" t="s">
        <v>632</v>
      </c>
      <c r="F34" s="813" t="s">
        <v>632</v>
      </c>
      <c r="G34" s="57" t="s">
        <v>592</v>
      </c>
      <c r="H34" s="125"/>
      <c r="I34" s="218">
        <v>15</v>
      </c>
      <c r="J34" s="326" t="s">
        <v>690</v>
      </c>
      <c r="K34" s="145" t="s">
        <v>311</v>
      </c>
      <c r="L34" s="829"/>
      <c r="M34" s="479"/>
      <c r="N34" s="719"/>
      <c r="O34" s="494" t="s">
        <v>635</v>
      </c>
      <c r="P34" s="719"/>
      <c r="AK34" s="50">
        <v>103</v>
      </c>
    </row>
    <row r="35" s="131" customFormat="1" ht="11.5" customHeight="1">
      <c r="A35" s="715"/>
      <c r="B35" s="715"/>
      <c r="C35" s="715"/>
      <c r="D35" s="715"/>
      <c r="E35" s="715"/>
      <c r="F35" s="57"/>
      <c r="G35" s="57"/>
      <c r="H35" s="131"/>
      <c r="N35" s="53"/>
      <c r="P35" s="53"/>
      <c r="Q35" s="57"/>
      <c r="R35" s="57"/>
      <c r="S35" s="53"/>
      <c r="T35" s="53"/>
      <c r="U35" s="53"/>
      <c r="V35" s="53"/>
      <c r="W35" s="57"/>
      <c r="X35" s="53"/>
      <c r="Y35" s="53"/>
      <c r="Z35" s="716"/>
      <c r="AA35" s="53"/>
      <c r="AB35" s="53"/>
      <c r="AC35" s="53"/>
      <c r="AD35" s="53"/>
      <c r="AE35" s="53"/>
      <c r="AF35" s="56"/>
      <c r="AG35" s="54"/>
      <c r="AH35" s="54"/>
      <c r="AI35" s="54"/>
      <c r="AJ35" s="54"/>
      <c r="AK35" s="131">
        <v>11</v>
      </c>
    </row>
    <row r="36" s="131" customFormat="1" ht="11.5" customHeight="1">
      <c r="A36" s="715"/>
      <c r="B36" s="715"/>
      <c r="C36" s="715"/>
      <c r="D36" s="715"/>
      <c r="E36" s="715"/>
      <c r="F36" s="57"/>
      <c r="G36" s="57"/>
      <c r="H36" s="131"/>
      <c r="N36" s="53"/>
      <c r="P36" s="53"/>
      <c r="Q36" s="57"/>
      <c r="R36" s="57"/>
      <c r="S36" s="53"/>
      <c r="T36" s="53"/>
      <c r="U36" s="53"/>
      <c r="V36" s="53"/>
      <c r="W36" s="57"/>
      <c r="X36" s="53"/>
      <c r="Y36" s="53"/>
      <c r="Z36" s="716"/>
      <c r="AA36" s="53"/>
      <c r="AB36" s="53"/>
      <c r="AC36" s="53"/>
      <c r="AD36" s="53"/>
      <c r="AE36" s="53"/>
      <c r="AF36" s="56"/>
      <c r="AG36" s="54"/>
      <c r="AH36" s="54"/>
      <c r="AI36" s="54"/>
      <c r="AJ36" s="54"/>
      <c r="AK36" s="131">
        <v>11</v>
      </c>
    </row>
    <row r="37" s="131" customFormat="1" ht="11.5" customHeight="1">
      <c r="A37" s="715"/>
      <c r="B37" s="715"/>
      <c r="C37" s="715"/>
      <c r="D37" s="715"/>
      <c r="E37" s="715"/>
      <c r="F37" s="57"/>
      <c r="G37" s="57"/>
      <c r="H37" s="131"/>
      <c r="L37" s="54"/>
      <c r="M37" s="54"/>
      <c r="N37" s="53"/>
      <c r="P37" s="53"/>
      <c r="Q37" s="57"/>
      <c r="R37" s="57"/>
      <c r="S37" s="53"/>
      <c r="T37" s="53"/>
      <c r="U37" s="53"/>
      <c r="V37" s="53"/>
      <c r="W37" s="57"/>
      <c r="X37" s="53"/>
      <c r="Y37" s="53"/>
      <c r="Z37" s="716"/>
      <c r="AA37" s="53"/>
      <c r="AB37" s="53"/>
      <c r="AC37" s="53"/>
      <c r="AD37" s="53"/>
      <c r="AE37" s="53"/>
      <c r="AF37" s="56"/>
      <c r="AG37" s="54"/>
      <c r="AH37" s="54"/>
      <c r="AI37" s="54"/>
      <c r="AJ37" s="54"/>
      <c r="AK37" s="131">
        <v>11</v>
      </c>
    </row>
    <row r="38" s="131" customFormat="1" ht="11.5" customHeight="1">
      <c r="A38" s="715"/>
      <c r="B38" s="715"/>
      <c r="C38" s="715"/>
      <c r="D38" s="715"/>
      <c r="E38" s="715"/>
      <c r="F38" s="57"/>
      <c r="G38" s="57"/>
      <c r="H38" s="131"/>
      <c r="N38" s="53"/>
      <c r="P38" s="53"/>
      <c r="Q38" s="57"/>
      <c r="R38" s="57"/>
      <c r="S38" s="53"/>
      <c r="T38" s="53"/>
      <c r="U38" s="53"/>
      <c r="V38" s="53"/>
      <c r="W38" s="57"/>
      <c r="X38" s="53"/>
      <c r="Y38" s="53"/>
      <c r="Z38" s="716"/>
      <c r="AA38" s="53"/>
      <c r="AB38" s="53"/>
      <c r="AC38" s="53"/>
      <c r="AD38" s="53"/>
      <c r="AE38" s="53"/>
      <c r="AF38" s="56"/>
      <c r="AG38" s="54"/>
      <c r="AH38" s="54"/>
      <c r="AI38" s="54"/>
      <c r="AJ38" s="54"/>
      <c r="AK38" s="131">
        <v>11</v>
      </c>
    </row>
    <row r="39" s="131" customFormat="1" ht="11.5" customHeight="1">
      <c r="A39" s="715"/>
      <c r="B39" s="715"/>
      <c r="C39" s="715"/>
      <c r="D39" s="715"/>
      <c r="E39" s="715"/>
      <c r="F39" s="57"/>
      <c r="G39" s="57"/>
      <c r="H39" s="131"/>
      <c r="N39" s="53"/>
      <c r="P39" s="53"/>
      <c r="Q39" s="57"/>
      <c r="R39" s="57"/>
      <c r="S39" s="53"/>
      <c r="T39" s="53"/>
      <c r="U39" s="53"/>
      <c r="V39" s="53"/>
      <c r="W39" s="57"/>
      <c r="X39" s="53"/>
      <c r="Y39" s="53"/>
      <c r="Z39" s="716"/>
      <c r="AA39" s="53"/>
      <c r="AB39" s="53"/>
      <c r="AC39" s="53"/>
      <c r="AD39" s="53"/>
      <c r="AE39" s="53"/>
      <c r="AF39" s="56"/>
      <c r="AG39" s="54"/>
      <c r="AH39" s="54"/>
      <c r="AI39" s="54"/>
      <c r="AJ39" s="54"/>
      <c r="AK39" s="131">
        <v>11</v>
      </c>
    </row>
    <row r="40" s="131" customFormat="1" ht="11.5" customHeight="1">
      <c r="A40" s="715"/>
      <c r="B40" s="715"/>
      <c r="C40" s="715"/>
      <c r="D40" s="715"/>
      <c r="E40" s="715"/>
      <c r="F40" s="57"/>
      <c r="G40" s="57"/>
      <c r="H40" s="131"/>
      <c r="N40" s="53"/>
      <c r="P40" s="53"/>
      <c r="Q40" s="57"/>
      <c r="R40" s="57"/>
      <c r="S40" s="53"/>
      <c r="T40" s="53"/>
      <c r="U40" s="53"/>
      <c r="V40" s="53"/>
      <c r="W40" s="57"/>
      <c r="X40" s="53"/>
      <c r="Y40" s="53"/>
      <c r="Z40" s="716"/>
      <c r="AA40" s="53"/>
      <c r="AB40" s="53"/>
      <c r="AC40" s="53"/>
      <c r="AD40" s="53"/>
      <c r="AE40" s="53"/>
      <c r="AF40" s="56"/>
      <c r="AG40" s="54"/>
      <c r="AH40" s="54"/>
      <c r="AI40" s="54"/>
      <c r="AJ40" s="54"/>
      <c r="AK40" s="131">
        <v>11</v>
      </c>
    </row>
    <row r="41" s="131" customFormat="1" ht="11.5" customHeight="1">
      <c r="A41" s="715"/>
      <c r="B41" s="715"/>
      <c r="C41" s="715"/>
      <c r="D41" s="715"/>
      <c r="E41" s="715"/>
      <c r="F41" s="57"/>
      <c r="G41" s="57"/>
      <c r="H41" s="131"/>
      <c r="N41" s="53"/>
      <c r="P41" s="53"/>
      <c r="Q41" s="57"/>
      <c r="R41" s="57"/>
      <c r="S41" s="53"/>
      <c r="T41" s="53"/>
      <c r="U41" s="53"/>
      <c r="V41" s="53"/>
      <c r="W41" s="57"/>
      <c r="X41" s="53"/>
      <c r="Y41" s="53"/>
      <c r="Z41" s="716"/>
      <c r="AA41" s="53"/>
      <c r="AB41" s="53"/>
      <c r="AC41" s="53"/>
      <c r="AD41" s="53"/>
      <c r="AE41" s="53"/>
      <c r="AF41" s="56"/>
      <c r="AG41" s="54"/>
      <c r="AH41" s="54"/>
      <c r="AI41" s="54"/>
      <c r="AJ41" s="54"/>
      <c r="AK41" s="131">
        <v>11</v>
      </c>
    </row>
    <row r="42" s="131" customFormat="1" ht="11.5" customHeight="1">
      <c r="A42" s="715"/>
      <c r="B42" s="715"/>
      <c r="C42" s="715"/>
      <c r="D42" s="715"/>
      <c r="E42" s="715"/>
      <c r="F42" s="57"/>
      <c r="G42" s="57"/>
      <c r="H42" s="131"/>
      <c r="N42" s="53"/>
      <c r="P42" s="53"/>
      <c r="Q42" s="57"/>
      <c r="R42" s="57"/>
      <c r="S42" s="53"/>
      <c r="T42" s="53"/>
      <c r="U42" s="53"/>
      <c r="V42" s="53"/>
      <c r="W42" s="57"/>
      <c r="X42" s="53"/>
      <c r="Y42" s="53"/>
      <c r="Z42" s="716"/>
      <c r="AA42" s="53"/>
      <c r="AB42" s="53"/>
      <c r="AC42" s="53"/>
      <c r="AD42" s="53"/>
      <c r="AE42" s="53"/>
      <c r="AF42" s="56"/>
      <c r="AG42" s="54"/>
      <c r="AH42" s="54"/>
      <c r="AI42" s="54"/>
      <c r="AJ42" s="54"/>
      <c r="AK42" s="131">
        <v>11</v>
      </c>
    </row>
    <row r="43" s="131" customFormat="1" ht="11.5" customHeight="1">
      <c r="A43" s="715"/>
      <c r="B43" s="715"/>
      <c r="C43" s="715"/>
      <c r="D43" s="715"/>
      <c r="E43" s="715"/>
      <c r="F43" s="57"/>
      <c r="G43" s="57"/>
      <c r="H43" s="131"/>
      <c r="N43" s="53"/>
      <c r="P43" s="53"/>
      <c r="Q43" s="57"/>
      <c r="R43" s="57"/>
      <c r="S43" s="53"/>
      <c r="T43" s="53"/>
      <c r="U43" s="53"/>
      <c r="V43" s="53"/>
      <c r="W43" s="57"/>
      <c r="X43" s="53"/>
      <c r="Y43" s="53"/>
      <c r="Z43" s="716"/>
      <c r="AA43" s="53"/>
      <c r="AB43" s="53"/>
      <c r="AC43" s="53"/>
      <c r="AD43" s="53"/>
      <c r="AE43" s="53"/>
      <c r="AF43" s="56"/>
      <c r="AG43" s="54"/>
      <c r="AH43" s="54"/>
      <c r="AI43" s="54"/>
      <c r="AJ43" s="54"/>
      <c r="AK43" s="131">
        <v>11</v>
      </c>
    </row>
    <row r="44" s="131" customFormat="1" ht="11.5" customHeight="1">
      <c r="A44" s="715"/>
      <c r="B44" s="715"/>
      <c r="C44" s="715"/>
      <c r="D44" s="715"/>
      <c r="E44" s="715"/>
      <c r="F44" s="57"/>
      <c r="G44" s="57"/>
      <c r="H44" s="131"/>
      <c r="N44" s="53"/>
      <c r="P44" s="53"/>
      <c r="Q44" s="57"/>
      <c r="R44" s="57"/>
      <c r="S44" s="53"/>
      <c r="T44" s="53"/>
      <c r="U44" s="53"/>
      <c r="V44" s="53"/>
      <c r="W44" s="57"/>
      <c r="X44" s="53"/>
      <c r="Y44" s="53"/>
      <c r="Z44" s="716"/>
      <c r="AA44" s="53"/>
      <c r="AB44" s="53"/>
      <c r="AC44" s="53"/>
      <c r="AD44" s="53"/>
      <c r="AE44" s="53"/>
      <c r="AF44" s="56"/>
      <c r="AG44" s="54"/>
      <c r="AH44" s="54"/>
      <c r="AI44" s="54"/>
      <c r="AJ44" s="54"/>
      <c r="AK44" s="131">
        <v>11</v>
      </c>
    </row>
    <row r="45" s="131" customFormat="1" ht="11.5" customHeight="1">
      <c r="A45" s="715"/>
      <c r="B45" s="715"/>
      <c r="C45" s="715"/>
      <c r="D45" s="715"/>
      <c r="E45" s="715"/>
      <c r="F45" s="57"/>
      <c r="G45" s="57"/>
      <c r="H45" s="131"/>
      <c r="N45" s="53"/>
      <c r="P45" s="53"/>
      <c r="Q45" s="57"/>
      <c r="R45" s="57"/>
      <c r="S45" s="53"/>
      <c r="T45" s="53"/>
      <c r="U45" s="53"/>
      <c r="V45" s="53"/>
      <c r="W45" s="57"/>
      <c r="X45" s="53"/>
      <c r="Y45" s="53"/>
      <c r="Z45" s="716"/>
      <c r="AA45" s="53"/>
      <c r="AB45" s="53"/>
      <c r="AC45" s="53"/>
      <c r="AD45" s="53"/>
      <c r="AE45" s="53"/>
      <c r="AF45" s="56"/>
      <c r="AG45" s="54"/>
      <c r="AH45" s="54"/>
      <c r="AI45" s="54"/>
      <c r="AJ45" s="54"/>
      <c r="AK45" s="131">
        <v>11</v>
      </c>
    </row>
    <row r="46" s="131" customFormat="1" ht="11.5" customHeight="1">
      <c r="A46" s="715"/>
      <c r="B46" s="715"/>
      <c r="C46" s="715"/>
      <c r="D46" s="715"/>
      <c r="E46" s="715"/>
      <c r="F46" s="57"/>
      <c r="G46" s="57"/>
      <c r="H46" s="131"/>
      <c r="N46" s="53"/>
      <c r="P46" s="53"/>
      <c r="Q46" s="57"/>
      <c r="R46" s="57"/>
      <c r="S46" s="53"/>
      <c r="T46" s="53"/>
      <c r="U46" s="53"/>
      <c r="V46" s="53"/>
      <c r="W46" s="57"/>
      <c r="X46" s="53"/>
      <c r="Y46" s="53"/>
      <c r="Z46" s="716"/>
      <c r="AA46" s="53"/>
      <c r="AB46" s="53"/>
      <c r="AC46" s="53"/>
      <c r="AD46" s="53"/>
      <c r="AE46" s="53"/>
      <c r="AF46" s="56"/>
      <c r="AG46" s="54"/>
      <c r="AH46" s="54"/>
      <c r="AI46" s="54"/>
      <c r="AJ46" s="54"/>
      <c r="AK46" s="131">
        <v>11</v>
      </c>
    </row>
    <row r="47" s="131" customFormat="1" ht="11.5" customHeight="1">
      <c r="A47" s="715"/>
      <c r="B47" s="715"/>
      <c r="C47" s="715"/>
      <c r="D47" s="715"/>
      <c r="E47" s="715"/>
      <c r="F47" s="57"/>
      <c r="G47" s="57"/>
      <c r="H47" s="131"/>
      <c r="N47" s="53"/>
      <c r="P47" s="53"/>
      <c r="Q47" s="57"/>
      <c r="R47" s="57"/>
      <c r="S47" s="53"/>
      <c r="T47" s="53"/>
      <c r="U47" s="53"/>
      <c r="V47" s="53"/>
      <c r="W47" s="57"/>
      <c r="X47" s="53"/>
      <c r="Y47" s="53"/>
      <c r="Z47" s="716"/>
      <c r="AA47" s="53"/>
      <c r="AB47" s="53"/>
      <c r="AC47" s="53"/>
      <c r="AD47" s="53"/>
      <c r="AE47" s="53"/>
      <c r="AF47" s="56"/>
      <c r="AG47" s="54"/>
      <c r="AH47" s="54"/>
      <c r="AI47" s="54"/>
      <c r="AJ47" s="54"/>
      <c r="AK47" s="131">
        <v>11</v>
      </c>
    </row>
    <row r="48" s="131" customFormat="1" ht="11.5" customHeight="1">
      <c r="A48" s="715"/>
      <c r="B48" s="715"/>
      <c r="C48" s="715"/>
      <c r="D48" s="715"/>
      <c r="E48" s="715"/>
      <c r="F48" s="57"/>
      <c r="G48" s="57"/>
      <c r="H48" s="131"/>
      <c r="N48" s="53"/>
      <c r="P48" s="53"/>
      <c r="Q48" s="57"/>
      <c r="R48" s="57"/>
      <c r="S48" s="53"/>
      <c r="T48" s="53"/>
      <c r="U48" s="53"/>
      <c r="V48" s="53"/>
      <c r="W48" s="57"/>
      <c r="X48" s="53"/>
      <c r="Y48" s="53"/>
      <c r="Z48" s="716"/>
      <c r="AA48" s="53"/>
      <c r="AB48" s="53"/>
      <c r="AC48" s="53"/>
      <c r="AD48" s="53"/>
      <c r="AE48" s="53"/>
      <c r="AF48" s="56"/>
      <c r="AG48" s="54"/>
      <c r="AH48" s="54"/>
      <c r="AI48" s="54"/>
      <c r="AJ48" s="54"/>
      <c r="AK48" s="131">
        <v>11</v>
      </c>
    </row>
    <row r="49" s="131" customFormat="1" ht="11.5" customHeight="1">
      <c r="A49" s="715"/>
      <c r="B49" s="715"/>
      <c r="C49" s="715"/>
      <c r="D49" s="715"/>
      <c r="E49" s="715"/>
      <c r="F49" s="57"/>
      <c r="G49" s="57"/>
      <c r="H49" s="131"/>
      <c r="N49" s="53"/>
      <c r="P49" s="53"/>
      <c r="Q49" s="57"/>
      <c r="R49" s="57"/>
      <c r="S49" s="53"/>
      <c r="T49" s="53"/>
      <c r="U49" s="53"/>
      <c r="V49" s="53"/>
      <c r="W49" s="57"/>
      <c r="X49" s="53"/>
      <c r="Y49" s="53"/>
      <c r="Z49" s="716"/>
      <c r="AA49" s="53"/>
      <c r="AB49" s="53"/>
      <c r="AC49" s="53"/>
      <c r="AD49" s="53"/>
      <c r="AE49" s="53"/>
      <c r="AF49" s="56"/>
      <c r="AG49" s="54"/>
      <c r="AH49" s="54"/>
      <c r="AI49" s="54"/>
      <c r="AJ49" s="54"/>
      <c r="AK49" s="131">
        <v>11</v>
      </c>
    </row>
    <row r="50" s="131" customFormat="1" ht="11.5" customHeight="1">
      <c r="A50" s="715"/>
      <c r="B50" s="715"/>
      <c r="C50" s="715"/>
      <c r="D50" s="715"/>
      <c r="E50" s="715"/>
      <c r="F50" s="57"/>
      <c r="G50" s="57"/>
      <c r="H50" s="131"/>
      <c r="N50" s="53"/>
      <c r="P50" s="53"/>
      <c r="Q50" s="57"/>
      <c r="R50" s="57"/>
      <c r="S50" s="53"/>
      <c r="T50" s="53"/>
      <c r="U50" s="53"/>
      <c r="V50" s="53"/>
      <c r="W50" s="57"/>
      <c r="X50" s="53"/>
      <c r="Y50" s="53"/>
      <c r="Z50" s="716"/>
      <c r="AA50" s="53"/>
      <c r="AB50" s="53"/>
      <c r="AC50" s="53"/>
      <c r="AD50" s="53"/>
      <c r="AE50" s="53"/>
      <c r="AF50" s="56"/>
      <c r="AG50" s="54"/>
      <c r="AH50" s="54"/>
      <c r="AI50" s="54"/>
      <c r="AJ50" s="54"/>
      <c r="AK50" s="131">
        <v>11</v>
      </c>
    </row>
    <row r="51" s="131" customFormat="1" ht="11.5" customHeight="1">
      <c r="A51" s="715"/>
      <c r="B51" s="715"/>
      <c r="C51" s="715"/>
      <c r="D51" s="715"/>
      <c r="E51" s="715"/>
      <c r="F51" s="57"/>
      <c r="G51" s="57"/>
      <c r="H51" s="131"/>
      <c r="N51" s="53"/>
      <c r="P51" s="53"/>
      <c r="Q51" s="57"/>
      <c r="R51" s="57"/>
      <c r="S51" s="53"/>
      <c r="T51" s="53"/>
      <c r="U51" s="53"/>
      <c r="V51" s="53"/>
      <c r="W51" s="57"/>
      <c r="X51" s="53"/>
      <c r="Y51" s="53"/>
      <c r="Z51" s="716"/>
      <c r="AA51" s="53"/>
      <c r="AB51" s="53"/>
      <c r="AC51" s="53"/>
      <c r="AD51" s="53"/>
      <c r="AE51" s="53"/>
      <c r="AF51" s="56"/>
      <c r="AG51" s="54"/>
      <c r="AH51" s="54"/>
      <c r="AI51" s="54"/>
      <c r="AJ51" s="54"/>
      <c r="AK51" s="131">
        <v>11</v>
      </c>
    </row>
    <row r="52" s="131" customFormat="1" ht="11.5" customHeight="1">
      <c r="A52" s="715"/>
      <c r="B52" s="715"/>
      <c r="C52" s="715"/>
      <c r="D52" s="715"/>
      <c r="E52" s="715"/>
      <c r="F52" s="57"/>
      <c r="G52" s="57"/>
      <c r="H52" s="131"/>
      <c r="N52" s="53"/>
      <c r="P52" s="53"/>
      <c r="Q52" s="57"/>
      <c r="R52" s="57"/>
      <c r="S52" s="53"/>
      <c r="T52" s="53"/>
      <c r="U52" s="53"/>
      <c r="V52" s="53"/>
      <c r="W52" s="57"/>
      <c r="X52" s="53"/>
      <c r="Y52" s="53"/>
      <c r="Z52" s="716"/>
      <c r="AA52" s="53"/>
      <c r="AB52" s="53"/>
      <c r="AC52" s="53"/>
      <c r="AD52" s="53"/>
      <c r="AE52" s="53"/>
      <c r="AF52" s="56"/>
      <c r="AG52" s="54"/>
      <c r="AH52" s="54"/>
      <c r="AI52" s="54"/>
      <c r="AJ52" s="54"/>
      <c r="AK52" s="131">
        <v>11</v>
      </c>
    </row>
    <row r="53" s="131" customFormat="1" ht="11.5" customHeight="1">
      <c r="A53" s="715"/>
      <c r="B53" s="715"/>
      <c r="C53" s="715"/>
      <c r="D53" s="715"/>
      <c r="E53" s="715"/>
      <c r="F53" s="57"/>
      <c r="G53" s="57"/>
      <c r="H53" s="131"/>
      <c r="N53" s="53"/>
      <c r="P53" s="53"/>
      <c r="Q53" s="57"/>
      <c r="R53" s="57"/>
      <c r="S53" s="53"/>
      <c r="T53" s="53"/>
      <c r="U53" s="53"/>
      <c r="V53" s="53"/>
      <c r="W53" s="57"/>
      <c r="X53" s="53"/>
      <c r="Y53" s="53"/>
      <c r="Z53" s="716"/>
      <c r="AA53" s="53"/>
      <c r="AB53" s="53"/>
      <c r="AC53" s="53"/>
      <c r="AD53" s="53"/>
      <c r="AE53" s="53"/>
      <c r="AF53" s="56"/>
      <c r="AG53" s="54"/>
      <c r="AH53" s="54"/>
      <c r="AI53" s="54"/>
      <c r="AJ53" s="54"/>
      <c r="AK53" s="131">
        <v>11</v>
      </c>
    </row>
    <row r="54" s="131" customFormat="1" ht="11.5" customHeight="1">
      <c r="A54" s="715"/>
      <c r="B54" s="715"/>
      <c r="C54" s="715"/>
      <c r="D54" s="715"/>
      <c r="E54" s="715"/>
      <c r="F54" s="57"/>
      <c r="G54" s="57"/>
      <c r="H54" s="131"/>
      <c r="N54" s="53"/>
      <c r="P54" s="53"/>
      <c r="Q54" s="57"/>
      <c r="R54" s="57"/>
      <c r="S54" s="53"/>
      <c r="T54" s="53"/>
      <c r="U54" s="53"/>
      <c r="V54" s="53"/>
      <c r="W54" s="57"/>
      <c r="X54" s="53"/>
      <c r="Y54" s="53"/>
      <c r="Z54" s="716"/>
      <c r="AA54" s="53"/>
      <c r="AB54" s="53"/>
      <c r="AC54" s="53"/>
      <c r="AD54" s="53"/>
      <c r="AE54" s="53"/>
      <c r="AF54" s="56"/>
      <c r="AG54" s="54"/>
      <c r="AH54" s="54"/>
      <c r="AI54" s="54"/>
      <c r="AJ54" s="54"/>
      <c r="AK54" s="131">
        <v>11</v>
      </c>
    </row>
    <row r="55" s="131" customFormat="1" ht="11.5" customHeight="1">
      <c r="A55" s="715"/>
      <c r="B55" s="715"/>
      <c r="C55" s="715"/>
      <c r="D55" s="715"/>
      <c r="E55" s="715"/>
      <c r="F55" s="57"/>
      <c r="G55" s="57"/>
      <c r="H55" s="131"/>
      <c r="N55" s="53"/>
      <c r="P55" s="53"/>
      <c r="Q55" s="57"/>
      <c r="R55" s="57"/>
      <c r="S55" s="53"/>
      <c r="T55" s="53"/>
      <c r="U55" s="53"/>
      <c r="V55" s="53"/>
      <c r="W55" s="57"/>
      <c r="X55" s="53"/>
      <c r="Y55" s="53"/>
      <c r="Z55" s="716"/>
      <c r="AA55" s="53"/>
      <c r="AB55" s="53"/>
      <c r="AC55" s="53"/>
      <c r="AD55" s="53"/>
      <c r="AE55" s="53"/>
      <c r="AF55" s="56"/>
      <c r="AG55" s="54"/>
      <c r="AH55" s="54"/>
      <c r="AI55" s="54"/>
      <c r="AJ55" s="54"/>
      <c r="AK55" s="131">
        <v>11</v>
      </c>
    </row>
    <row r="56" s="131" customFormat="1" ht="11.5" customHeight="1">
      <c r="A56" s="715"/>
      <c r="B56" s="715"/>
      <c r="C56" s="715"/>
      <c r="D56" s="715"/>
      <c r="E56" s="715"/>
      <c r="F56" s="57"/>
      <c r="G56" s="57"/>
      <c r="H56" s="131"/>
      <c r="N56" s="53"/>
      <c r="P56" s="53"/>
      <c r="Q56" s="57"/>
      <c r="R56" s="57"/>
      <c r="S56" s="53"/>
      <c r="T56" s="53"/>
      <c r="U56" s="53"/>
      <c r="V56" s="53"/>
      <c r="W56" s="57"/>
      <c r="X56" s="53"/>
      <c r="Y56" s="53"/>
      <c r="Z56" s="716"/>
      <c r="AA56" s="53"/>
      <c r="AB56" s="53"/>
      <c r="AC56" s="53"/>
      <c r="AD56" s="53"/>
      <c r="AE56" s="53"/>
      <c r="AF56" s="56"/>
      <c r="AG56" s="54"/>
      <c r="AH56" s="54"/>
      <c r="AI56" s="54"/>
      <c r="AJ56" s="54"/>
      <c r="AK56" s="131">
        <v>11</v>
      </c>
    </row>
    <row r="57" s="131" customFormat="1" ht="11.5" customHeight="1">
      <c r="A57" s="715"/>
      <c r="B57" s="715"/>
      <c r="C57" s="715"/>
      <c r="D57" s="715"/>
      <c r="E57" s="715"/>
      <c r="F57" s="57"/>
      <c r="G57" s="57"/>
      <c r="H57" s="131"/>
      <c r="N57" s="53"/>
      <c r="P57" s="53"/>
      <c r="Q57" s="57"/>
      <c r="R57" s="57"/>
      <c r="S57" s="53"/>
      <c r="T57" s="53"/>
      <c r="U57" s="53"/>
      <c r="V57" s="53"/>
      <c r="W57" s="57"/>
      <c r="X57" s="53"/>
      <c r="Y57" s="53"/>
      <c r="Z57" s="716"/>
      <c r="AA57" s="53"/>
      <c r="AB57" s="53"/>
      <c r="AC57" s="53"/>
      <c r="AD57" s="53"/>
      <c r="AE57" s="53"/>
      <c r="AF57" s="56"/>
      <c r="AG57" s="54"/>
      <c r="AH57" s="54"/>
      <c r="AI57" s="54"/>
      <c r="AJ57" s="54"/>
      <c r="AK57" s="131">
        <v>11</v>
      </c>
    </row>
    <row r="58" s="131" customFormat="1" ht="11.5" customHeight="1">
      <c r="A58" s="715"/>
      <c r="B58" s="715"/>
      <c r="C58" s="715"/>
      <c r="D58" s="715"/>
      <c r="E58" s="715"/>
      <c r="F58" s="57"/>
      <c r="G58" s="57"/>
      <c r="H58" s="131"/>
      <c r="N58" s="53"/>
      <c r="P58" s="53"/>
      <c r="Q58" s="57"/>
      <c r="R58" s="57"/>
      <c r="S58" s="53"/>
      <c r="T58" s="53"/>
      <c r="U58" s="53"/>
      <c r="V58" s="53"/>
      <c r="W58" s="57"/>
      <c r="X58" s="53"/>
      <c r="Y58" s="53"/>
      <c r="Z58" s="716"/>
      <c r="AA58" s="53"/>
      <c r="AB58" s="53"/>
      <c r="AC58" s="53"/>
      <c r="AD58" s="53"/>
      <c r="AE58" s="53"/>
      <c r="AF58" s="56"/>
      <c r="AG58" s="54"/>
      <c r="AH58" s="54"/>
      <c r="AI58" s="54"/>
      <c r="AJ58" s="54"/>
      <c r="AK58" s="131">
        <v>11</v>
      </c>
    </row>
    <row r="59" s="131" customFormat="1" ht="11.5" customHeight="1">
      <c r="A59" s="715"/>
      <c r="B59" s="715"/>
      <c r="C59" s="715"/>
      <c r="D59" s="715"/>
      <c r="E59" s="715"/>
      <c r="F59" s="57"/>
      <c r="G59" s="57"/>
      <c r="H59" s="131"/>
      <c r="N59" s="53"/>
      <c r="P59" s="53"/>
      <c r="Q59" s="57"/>
      <c r="R59" s="57"/>
      <c r="S59" s="53"/>
      <c r="T59" s="53"/>
      <c r="U59" s="53"/>
      <c r="V59" s="53"/>
      <c r="W59" s="57"/>
      <c r="X59" s="53"/>
      <c r="Y59" s="53"/>
      <c r="Z59" s="716"/>
      <c r="AA59" s="53"/>
      <c r="AB59" s="53"/>
      <c r="AC59" s="53"/>
      <c r="AD59" s="53"/>
      <c r="AE59" s="53"/>
      <c r="AF59" s="56"/>
      <c r="AG59" s="54"/>
      <c r="AH59" s="54"/>
      <c r="AI59" s="54"/>
      <c r="AJ59" s="54"/>
      <c r="AK59" s="131">
        <v>11</v>
      </c>
    </row>
    <row r="60" s="131" customFormat="1" ht="11.5" customHeight="1">
      <c r="A60" s="715"/>
      <c r="B60" s="715"/>
      <c r="C60" s="715"/>
      <c r="D60" s="715"/>
      <c r="E60" s="715"/>
      <c r="F60" s="57"/>
      <c r="G60" s="57"/>
      <c r="H60" s="131"/>
      <c r="N60" s="53"/>
      <c r="P60" s="53"/>
      <c r="Q60" s="57"/>
      <c r="R60" s="57"/>
      <c r="S60" s="53"/>
      <c r="T60" s="53"/>
      <c r="U60" s="53"/>
      <c r="V60" s="53"/>
      <c r="W60" s="57"/>
      <c r="X60" s="53"/>
      <c r="Y60" s="53"/>
      <c r="Z60" s="716"/>
      <c r="AA60" s="53"/>
      <c r="AB60" s="53"/>
      <c r="AC60" s="53"/>
      <c r="AD60" s="53"/>
      <c r="AE60" s="53"/>
      <c r="AF60" s="56"/>
      <c r="AG60" s="54"/>
      <c r="AH60" s="54"/>
      <c r="AI60" s="54"/>
      <c r="AJ60" s="54"/>
      <c r="AK60" s="131">
        <v>11</v>
      </c>
    </row>
    <row r="61" s="131" customFormat="1" ht="11.5" customHeight="1">
      <c r="A61" s="715"/>
      <c r="B61" s="715"/>
      <c r="C61" s="715"/>
      <c r="D61" s="715"/>
      <c r="E61" s="715"/>
      <c r="F61" s="57"/>
      <c r="G61" s="57"/>
      <c r="H61" s="131"/>
      <c r="N61" s="53"/>
      <c r="P61" s="53"/>
      <c r="Q61" s="57"/>
      <c r="R61" s="57"/>
      <c r="S61" s="53"/>
      <c r="T61" s="53"/>
      <c r="U61" s="53"/>
      <c r="V61" s="53"/>
      <c r="W61" s="57"/>
      <c r="X61" s="53"/>
      <c r="Y61" s="53"/>
      <c r="Z61" s="716"/>
      <c r="AA61" s="53"/>
      <c r="AB61" s="53"/>
      <c r="AC61" s="53"/>
      <c r="AD61" s="53"/>
      <c r="AE61" s="53"/>
      <c r="AF61" s="56"/>
      <c r="AG61" s="54"/>
      <c r="AH61" s="54"/>
      <c r="AI61" s="54"/>
      <c r="AJ61" s="54"/>
      <c r="AK61" s="131">
        <v>11</v>
      </c>
    </row>
    <row r="62" s="131" customFormat="1" ht="11.5" customHeight="1">
      <c r="A62" s="715"/>
      <c r="B62" s="715"/>
      <c r="C62" s="715"/>
      <c r="D62" s="715"/>
      <c r="E62" s="715"/>
      <c r="F62" s="57"/>
      <c r="G62" s="57"/>
      <c r="H62" s="131"/>
      <c r="N62" s="53"/>
      <c r="P62" s="53"/>
      <c r="Q62" s="57"/>
      <c r="R62" s="57"/>
      <c r="S62" s="53"/>
      <c r="T62" s="53"/>
      <c r="U62" s="53"/>
      <c r="V62" s="53"/>
      <c r="W62" s="57"/>
      <c r="X62" s="53"/>
      <c r="Y62" s="53"/>
      <c r="Z62" s="716"/>
      <c r="AA62" s="53"/>
      <c r="AB62" s="53"/>
      <c r="AC62" s="53"/>
      <c r="AD62" s="53"/>
      <c r="AE62" s="53"/>
      <c r="AF62" s="56"/>
      <c r="AG62" s="54"/>
      <c r="AH62" s="54"/>
      <c r="AI62" s="54"/>
      <c r="AJ62" s="54"/>
      <c r="AK62" s="131">
        <v>11</v>
      </c>
    </row>
    <row r="63" s="131" customFormat="1" ht="11.5" customHeight="1">
      <c r="A63" s="715"/>
      <c r="B63" s="715"/>
      <c r="C63" s="715"/>
      <c r="D63" s="715"/>
      <c r="E63" s="715"/>
      <c r="F63" s="57"/>
      <c r="G63" s="57"/>
      <c r="H63" s="131"/>
      <c r="N63" s="53"/>
      <c r="P63" s="53"/>
      <c r="Q63" s="57"/>
      <c r="R63" s="57"/>
      <c r="S63" s="53"/>
      <c r="T63" s="53"/>
      <c r="U63" s="53"/>
      <c r="V63" s="53"/>
      <c r="W63" s="57"/>
      <c r="X63" s="53"/>
      <c r="Y63" s="53"/>
      <c r="Z63" s="716"/>
      <c r="AA63" s="53"/>
      <c r="AB63" s="53"/>
      <c r="AC63" s="53"/>
      <c r="AD63" s="53"/>
      <c r="AE63" s="53"/>
      <c r="AF63" s="56"/>
      <c r="AG63" s="54"/>
      <c r="AH63" s="54"/>
      <c r="AI63" s="54"/>
      <c r="AJ63" s="54"/>
      <c r="AK63" s="131">
        <v>11</v>
      </c>
    </row>
    <row r="64" s="131" customFormat="1" ht="11.5" customHeight="1">
      <c r="A64" s="715"/>
      <c r="B64" s="715"/>
      <c r="C64" s="715"/>
      <c r="D64" s="715"/>
      <c r="E64" s="715"/>
      <c r="F64" s="57"/>
      <c r="G64" s="57"/>
      <c r="H64" s="131"/>
      <c r="N64" s="53"/>
      <c r="P64" s="53"/>
      <c r="Q64" s="57"/>
      <c r="R64" s="57"/>
      <c r="S64" s="53"/>
      <c r="T64" s="53"/>
      <c r="U64" s="53"/>
      <c r="V64" s="53"/>
      <c r="W64" s="57"/>
      <c r="X64" s="53"/>
      <c r="Y64" s="53"/>
      <c r="Z64" s="716"/>
      <c r="AA64" s="53"/>
      <c r="AB64" s="53"/>
      <c r="AC64" s="53"/>
      <c r="AD64" s="53"/>
      <c r="AE64" s="53"/>
      <c r="AF64" s="56"/>
      <c r="AG64" s="54"/>
      <c r="AH64" s="54"/>
      <c r="AI64" s="54"/>
      <c r="AJ64" s="54"/>
      <c r="AK64" s="131">
        <v>11</v>
      </c>
    </row>
    <row r="65" s="131" customFormat="1" ht="11.5" customHeight="1">
      <c r="A65" s="715"/>
      <c r="B65" s="715"/>
      <c r="C65" s="715"/>
      <c r="D65" s="715"/>
      <c r="E65" s="715"/>
      <c r="F65" s="57"/>
      <c r="G65" s="57"/>
      <c r="H65" s="131"/>
      <c r="N65" s="53"/>
      <c r="P65" s="53"/>
      <c r="Q65" s="57"/>
      <c r="R65" s="57"/>
      <c r="S65" s="53"/>
      <c r="T65" s="53"/>
      <c r="U65" s="53"/>
      <c r="V65" s="53"/>
      <c r="W65" s="57"/>
      <c r="X65" s="53"/>
      <c r="Y65" s="53"/>
      <c r="Z65" s="716"/>
      <c r="AA65" s="53"/>
      <c r="AB65" s="53"/>
      <c r="AC65" s="53"/>
      <c r="AD65" s="53"/>
      <c r="AE65" s="53"/>
      <c r="AF65" s="56"/>
      <c r="AG65" s="54"/>
      <c r="AH65" s="54"/>
      <c r="AI65" s="54"/>
      <c r="AJ65" s="54"/>
      <c r="AK65" s="131">
        <v>11</v>
      </c>
    </row>
    <row r="66" s="131" customFormat="1" ht="11.5" customHeight="1">
      <c r="A66" s="715"/>
      <c r="B66" s="715"/>
      <c r="C66" s="715"/>
      <c r="D66" s="715"/>
      <c r="E66" s="715"/>
      <c r="F66" s="57"/>
      <c r="G66" s="57"/>
      <c r="H66" s="131"/>
      <c r="N66" s="53"/>
      <c r="P66" s="53"/>
      <c r="Q66" s="57"/>
      <c r="R66" s="57"/>
      <c r="S66" s="53"/>
      <c r="T66" s="53"/>
      <c r="U66" s="53"/>
      <c r="V66" s="53"/>
      <c r="W66" s="57"/>
      <c r="X66" s="53"/>
      <c r="Y66" s="53"/>
      <c r="Z66" s="716"/>
      <c r="AA66" s="53"/>
      <c r="AB66" s="53"/>
      <c r="AC66" s="53"/>
      <c r="AD66" s="53"/>
      <c r="AE66" s="53"/>
      <c r="AF66" s="56"/>
      <c r="AG66" s="54"/>
      <c r="AH66" s="54"/>
      <c r="AI66" s="54"/>
      <c r="AJ66" s="54"/>
      <c r="AK66" s="131">
        <v>11</v>
      </c>
    </row>
    <row r="67" s="131" customFormat="1" ht="11.5" customHeight="1">
      <c r="A67" s="715"/>
      <c r="B67" s="715"/>
      <c r="C67" s="715"/>
      <c r="D67" s="715"/>
      <c r="E67" s="715"/>
      <c r="F67" s="57"/>
      <c r="G67" s="57"/>
      <c r="H67" s="131"/>
      <c r="N67" s="53"/>
      <c r="P67" s="53"/>
      <c r="Q67" s="57"/>
      <c r="R67" s="57"/>
      <c r="S67" s="53"/>
      <c r="T67" s="53"/>
      <c r="U67" s="53"/>
      <c r="V67" s="53"/>
      <c r="W67" s="57"/>
      <c r="X67" s="53"/>
      <c r="Y67" s="53"/>
      <c r="Z67" s="716"/>
      <c r="AA67" s="53"/>
      <c r="AB67" s="53"/>
      <c r="AC67" s="53"/>
      <c r="AD67" s="53"/>
      <c r="AE67" s="53"/>
      <c r="AF67" s="56"/>
      <c r="AG67" s="54"/>
      <c r="AH67" s="54"/>
      <c r="AI67" s="54"/>
      <c r="AJ67" s="54"/>
      <c r="AK67" s="131">
        <v>11</v>
      </c>
    </row>
    <row r="68" s="131" customFormat="1" ht="11.5" customHeight="1">
      <c r="A68" s="715"/>
      <c r="B68" s="715"/>
      <c r="C68" s="715"/>
      <c r="D68" s="715"/>
      <c r="E68" s="715"/>
      <c r="F68" s="57"/>
      <c r="G68" s="57"/>
      <c r="H68" s="131"/>
      <c r="N68" s="53"/>
      <c r="P68" s="53"/>
      <c r="Q68" s="57"/>
      <c r="R68" s="57"/>
      <c r="S68" s="53"/>
      <c r="T68" s="53"/>
      <c r="U68" s="53"/>
      <c r="V68" s="53"/>
      <c r="W68" s="57"/>
      <c r="X68" s="53"/>
      <c r="Y68" s="53"/>
      <c r="Z68" s="716"/>
      <c r="AA68" s="53"/>
      <c r="AB68" s="53"/>
      <c r="AC68" s="53"/>
      <c r="AD68" s="53"/>
      <c r="AE68" s="53"/>
      <c r="AF68" s="56"/>
      <c r="AG68" s="54"/>
      <c r="AH68" s="54"/>
      <c r="AI68" s="54"/>
      <c r="AJ68" s="54"/>
      <c r="AK68" s="131">
        <v>11</v>
      </c>
    </row>
    <row r="69" s="131" customFormat="1" ht="11.5" customHeight="1">
      <c r="A69" s="715"/>
      <c r="B69" s="715"/>
      <c r="C69" s="715"/>
      <c r="D69" s="715"/>
      <c r="E69" s="715"/>
      <c r="F69" s="57"/>
      <c r="G69" s="57"/>
      <c r="H69" s="131"/>
      <c r="N69" s="53"/>
      <c r="P69" s="53"/>
      <c r="Q69" s="57"/>
      <c r="R69" s="57"/>
      <c r="S69" s="53"/>
      <c r="T69" s="53"/>
      <c r="U69" s="53"/>
      <c r="V69" s="53"/>
      <c r="W69" s="57"/>
      <c r="X69" s="53"/>
      <c r="Y69" s="53"/>
      <c r="Z69" s="716"/>
      <c r="AA69" s="53"/>
      <c r="AB69" s="53"/>
      <c r="AC69" s="53"/>
      <c r="AD69" s="53"/>
      <c r="AE69" s="53"/>
      <c r="AF69" s="56"/>
      <c r="AG69" s="54"/>
      <c r="AH69" s="54"/>
      <c r="AI69" s="54"/>
      <c r="AJ69" s="54"/>
      <c r="AK69" s="131">
        <v>11</v>
      </c>
    </row>
    <row r="70" s="131" customFormat="1" ht="11.5" customHeight="1">
      <c r="A70" s="715"/>
      <c r="B70" s="715"/>
      <c r="C70" s="715"/>
      <c r="D70" s="715"/>
      <c r="E70" s="715"/>
      <c r="F70" s="57"/>
      <c r="G70" s="57"/>
      <c r="H70" s="131"/>
      <c r="N70" s="53"/>
      <c r="P70" s="53"/>
      <c r="Q70" s="57"/>
      <c r="R70" s="57"/>
      <c r="S70" s="53"/>
      <c r="T70" s="53"/>
      <c r="U70" s="53"/>
      <c r="V70" s="53"/>
      <c r="W70" s="57"/>
      <c r="X70" s="53"/>
      <c r="Y70" s="53"/>
      <c r="Z70" s="716"/>
      <c r="AA70" s="53"/>
      <c r="AB70" s="53"/>
      <c r="AC70" s="53"/>
      <c r="AD70" s="53"/>
      <c r="AE70" s="53"/>
      <c r="AF70" s="56"/>
      <c r="AG70" s="54"/>
      <c r="AH70" s="54"/>
      <c r="AI70" s="54"/>
      <c r="AJ70" s="54"/>
      <c r="AK70" s="131">
        <v>11</v>
      </c>
    </row>
    <row r="71" s="131" customFormat="1" ht="11.5" customHeight="1">
      <c r="A71" s="715"/>
      <c r="B71" s="715"/>
      <c r="C71" s="715"/>
      <c r="D71" s="715"/>
      <c r="E71" s="715"/>
      <c r="F71" s="57"/>
      <c r="G71" s="57"/>
      <c r="H71" s="131"/>
      <c r="N71" s="53"/>
      <c r="P71" s="53"/>
      <c r="Q71" s="57"/>
      <c r="R71" s="57"/>
      <c r="S71" s="53"/>
      <c r="T71" s="53"/>
      <c r="U71" s="53"/>
      <c r="V71" s="53"/>
      <c r="W71" s="57"/>
      <c r="X71" s="53"/>
      <c r="Y71" s="53"/>
      <c r="Z71" s="716"/>
      <c r="AA71" s="53"/>
      <c r="AB71" s="53"/>
      <c r="AC71" s="53"/>
      <c r="AD71" s="53"/>
      <c r="AE71" s="53"/>
      <c r="AF71" s="56"/>
      <c r="AG71" s="54"/>
      <c r="AH71" s="54"/>
      <c r="AI71" s="54"/>
      <c r="AJ71" s="54"/>
      <c r="AK71" s="131">
        <v>11</v>
      </c>
    </row>
    <row r="72" s="131" customFormat="1" ht="11.5" customHeight="1">
      <c r="A72" s="715"/>
      <c r="B72" s="715"/>
      <c r="C72" s="715"/>
      <c r="D72" s="715"/>
      <c r="E72" s="715"/>
      <c r="F72" s="57"/>
      <c r="G72" s="57"/>
      <c r="H72" s="131"/>
      <c r="N72" s="53"/>
      <c r="P72" s="53"/>
      <c r="Q72" s="57"/>
      <c r="R72" s="57"/>
      <c r="S72" s="53"/>
      <c r="T72" s="53"/>
      <c r="U72" s="53"/>
      <c r="V72" s="53"/>
      <c r="W72" s="57"/>
      <c r="X72" s="53"/>
      <c r="Y72" s="53"/>
      <c r="Z72" s="716"/>
      <c r="AA72" s="53"/>
      <c r="AB72" s="53"/>
      <c r="AC72" s="53"/>
      <c r="AD72" s="53"/>
      <c r="AE72" s="53"/>
      <c r="AF72" s="56"/>
      <c r="AG72" s="54"/>
      <c r="AH72" s="54"/>
      <c r="AI72" s="54"/>
      <c r="AJ72" s="54"/>
      <c r="AK72" s="131">
        <v>11</v>
      </c>
    </row>
    <row r="73" s="131" customFormat="1" ht="11.5" customHeight="1">
      <c r="A73" s="715"/>
      <c r="B73" s="715"/>
      <c r="C73" s="715"/>
      <c r="D73" s="715"/>
      <c r="E73" s="715"/>
      <c r="F73" s="57"/>
      <c r="G73" s="57"/>
      <c r="H73" s="131"/>
      <c r="N73" s="53"/>
      <c r="P73" s="53"/>
      <c r="Q73" s="57"/>
      <c r="R73" s="57"/>
      <c r="S73" s="53"/>
      <c r="T73" s="53"/>
      <c r="U73" s="53"/>
      <c r="V73" s="53"/>
      <c r="W73" s="57"/>
      <c r="X73" s="53"/>
      <c r="Y73" s="53"/>
      <c r="Z73" s="716"/>
      <c r="AA73" s="53"/>
      <c r="AB73" s="53"/>
      <c r="AC73" s="53"/>
      <c r="AD73" s="53"/>
      <c r="AE73" s="53"/>
      <c r="AF73" s="56"/>
      <c r="AG73" s="54"/>
      <c r="AH73" s="54"/>
      <c r="AI73" s="54"/>
      <c r="AJ73" s="54"/>
      <c r="AK73" s="131">
        <v>11</v>
      </c>
    </row>
    <row r="74" s="131" customFormat="1" ht="11.5" customHeight="1">
      <c r="A74" s="715"/>
      <c r="B74" s="715"/>
      <c r="C74" s="715"/>
      <c r="D74" s="715"/>
      <c r="E74" s="715"/>
      <c r="F74" s="57"/>
      <c r="G74" s="57"/>
      <c r="H74" s="131"/>
      <c r="N74" s="53"/>
      <c r="P74" s="53"/>
      <c r="Q74" s="57"/>
      <c r="R74" s="57"/>
      <c r="S74" s="53"/>
      <c r="T74" s="53"/>
      <c r="U74" s="53"/>
      <c r="V74" s="53"/>
      <c r="W74" s="57"/>
      <c r="X74" s="53"/>
      <c r="Y74" s="53"/>
      <c r="Z74" s="716"/>
      <c r="AA74" s="53"/>
      <c r="AB74" s="53"/>
      <c r="AC74" s="53"/>
      <c r="AD74" s="53"/>
      <c r="AE74" s="53"/>
      <c r="AF74" s="56"/>
      <c r="AG74" s="54"/>
      <c r="AH74" s="54"/>
      <c r="AI74" s="54"/>
      <c r="AJ74" s="54"/>
      <c r="AK74" s="131">
        <v>11</v>
      </c>
    </row>
    <row r="75" s="131" customFormat="1" ht="11.5" customHeight="1">
      <c r="A75" s="715"/>
      <c r="B75" s="715"/>
      <c r="C75" s="715"/>
      <c r="D75" s="715"/>
      <c r="E75" s="715"/>
      <c r="F75" s="57"/>
      <c r="G75" s="57"/>
      <c r="H75" s="131"/>
      <c r="N75" s="53"/>
      <c r="P75" s="53"/>
      <c r="Q75" s="57"/>
      <c r="R75" s="57"/>
      <c r="S75" s="53"/>
      <c r="T75" s="53"/>
      <c r="U75" s="53"/>
      <c r="V75" s="53"/>
      <c r="W75" s="57"/>
      <c r="X75" s="53"/>
      <c r="Y75" s="53"/>
      <c r="Z75" s="716"/>
      <c r="AA75" s="53"/>
      <c r="AB75" s="53"/>
      <c r="AC75" s="53"/>
      <c r="AD75" s="53"/>
      <c r="AE75" s="53"/>
      <c r="AF75" s="56"/>
      <c r="AG75" s="54"/>
      <c r="AH75" s="54"/>
      <c r="AI75" s="54"/>
      <c r="AJ75" s="54"/>
      <c r="AK75" s="131">
        <v>11</v>
      </c>
    </row>
    <row r="76" s="131" customFormat="1" ht="11.5" customHeight="1">
      <c r="A76" s="715"/>
      <c r="B76" s="715"/>
      <c r="C76" s="715"/>
      <c r="D76" s="715"/>
      <c r="E76" s="715"/>
      <c r="F76" s="57"/>
      <c r="G76" s="57"/>
      <c r="H76" s="131"/>
      <c r="N76" s="53"/>
      <c r="P76" s="53"/>
      <c r="Q76" s="57"/>
      <c r="R76" s="57"/>
      <c r="S76" s="53"/>
      <c r="T76" s="53"/>
      <c r="U76" s="53"/>
      <c r="V76" s="53"/>
      <c r="W76" s="57"/>
      <c r="X76" s="53"/>
      <c r="Y76" s="53"/>
      <c r="Z76" s="716"/>
      <c r="AA76" s="53"/>
      <c r="AB76" s="53"/>
      <c r="AC76" s="53"/>
      <c r="AD76" s="53"/>
      <c r="AE76" s="53"/>
      <c r="AF76" s="56"/>
      <c r="AG76" s="54"/>
      <c r="AH76" s="54"/>
      <c r="AI76" s="54"/>
      <c r="AJ76" s="54"/>
      <c r="AK76" s="131">
        <v>11</v>
      </c>
    </row>
    <row r="77" s="131" customFormat="1" ht="11.5" customHeight="1">
      <c r="A77" s="715"/>
      <c r="B77" s="715"/>
      <c r="C77" s="715"/>
      <c r="D77" s="715"/>
      <c r="E77" s="715"/>
      <c r="F77" s="57"/>
      <c r="G77" s="57"/>
      <c r="H77" s="131"/>
      <c r="N77" s="53"/>
      <c r="P77" s="53"/>
      <c r="Q77" s="57"/>
      <c r="R77" s="57"/>
      <c r="S77" s="53"/>
      <c r="T77" s="53"/>
      <c r="U77" s="53"/>
      <c r="V77" s="53"/>
      <c r="W77" s="57"/>
      <c r="X77" s="53"/>
      <c r="Y77" s="53"/>
      <c r="Z77" s="716"/>
      <c r="AA77" s="53"/>
      <c r="AB77" s="53"/>
      <c r="AC77" s="53"/>
      <c r="AD77" s="53"/>
      <c r="AE77" s="53"/>
      <c r="AF77" s="56"/>
      <c r="AG77" s="54"/>
      <c r="AH77" s="54"/>
      <c r="AI77" s="54"/>
      <c r="AJ77" s="54"/>
      <c r="AK77" s="131">
        <v>11</v>
      </c>
    </row>
    <row r="78" s="131" customFormat="1" ht="11.5" customHeight="1">
      <c r="A78" s="715"/>
      <c r="B78" s="715"/>
      <c r="C78" s="715"/>
      <c r="D78" s="715"/>
      <c r="E78" s="715"/>
      <c r="F78" s="57"/>
      <c r="G78" s="57"/>
      <c r="H78" s="131"/>
      <c r="N78" s="53"/>
      <c r="P78" s="53"/>
      <c r="Q78" s="57"/>
      <c r="R78" s="57"/>
      <c r="S78" s="53"/>
      <c r="T78" s="53"/>
      <c r="U78" s="53"/>
      <c r="V78" s="53"/>
      <c r="W78" s="57"/>
      <c r="X78" s="53"/>
      <c r="Y78" s="53"/>
      <c r="Z78" s="716"/>
      <c r="AA78" s="53"/>
      <c r="AB78" s="53"/>
      <c r="AC78" s="53"/>
      <c r="AD78" s="53"/>
      <c r="AE78" s="53"/>
      <c r="AF78" s="56"/>
      <c r="AG78" s="54"/>
      <c r="AH78" s="54"/>
      <c r="AI78" s="54"/>
      <c r="AJ78" s="54"/>
      <c r="AK78" s="131">
        <v>11</v>
      </c>
    </row>
    <row r="79" s="131" customFormat="1" ht="11.5" customHeight="1">
      <c r="A79" s="715"/>
      <c r="B79" s="715"/>
      <c r="C79" s="715"/>
      <c r="D79" s="715"/>
      <c r="E79" s="715"/>
      <c r="F79" s="57"/>
      <c r="G79" s="57"/>
      <c r="H79" s="131"/>
      <c r="N79" s="53"/>
      <c r="P79" s="53"/>
      <c r="Q79" s="57"/>
      <c r="R79" s="57"/>
      <c r="S79" s="53"/>
      <c r="T79" s="53"/>
      <c r="U79" s="53"/>
      <c r="V79" s="53"/>
      <c r="W79" s="57"/>
      <c r="X79" s="53"/>
      <c r="Y79" s="53"/>
      <c r="Z79" s="716"/>
      <c r="AA79" s="53"/>
      <c r="AB79" s="53"/>
      <c r="AC79" s="53"/>
      <c r="AD79" s="53"/>
      <c r="AE79" s="53"/>
      <c r="AF79" s="56"/>
      <c r="AG79" s="54"/>
      <c r="AH79" s="54"/>
      <c r="AI79" s="54"/>
      <c r="AJ79" s="54"/>
      <c r="AK79" s="131">
        <v>11</v>
      </c>
    </row>
    <row r="80" s="131" customFormat="1" ht="11.5" customHeight="1">
      <c r="A80" s="715"/>
      <c r="B80" s="715"/>
      <c r="C80" s="715"/>
      <c r="D80" s="715"/>
      <c r="E80" s="715"/>
      <c r="F80" s="57"/>
      <c r="G80" s="57"/>
      <c r="H80" s="131"/>
      <c r="N80" s="53"/>
      <c r="P80" s="53"/>
      <c r="Q80" s="57"/>
      <c r="R80" s="57"/>
      <c r="S80" s="53"/>
      <c r="T80" s="53"/>
      <c r="U80" s="53"/>
      <c r="V80" s="53"/>
      <c r="W80" s="57"/>
      <c r="X80" s="53"/>
      <c r="Y80" s="53"/>
      <c r="Z80" s="716"/>
      <c r="AA80" s="53"/>
      <c r="AB80" s="53"/>
      <c r="AC80" s="53"/>
      <c r="AD80" s="53"/>
      <c r="AE80" s="53"/>
      <c r="AF80" s="56"/>
      <c r="AG80" s="54"/>
      <c r="AH80" s="54"/>
      <c r="AI80" s="54"/>
      <c r="AJ80" s="54"/>
      <c r="AK80" s="131">
        <v>11</v>
      </c>
    </row>
    <row r="81" s="131" customFormat="1" ht="11.5" customHeight="1">
      <c r="A81" s="715"/>
      <c r="B81" s="715"/>
      <c r="C81" s="715"/>
      <c r="D81" s="715"/>
      <c r="E81" s="715"/>
      <c r="F81" s="57"/>
      <c r="G81" s="57"/>
      <c r="H81" s="131"/>
      <c r="N81" s="53"/>
      <c r="P81" s="53"/>
      <c r="Q81" s="57"/>
      <c r="R81" s="57"/>
      <c r="S81" s="53"/>
      <c r="T81" s="53"/>
      <c r="U81" s="53"/>
      <c r="V81" s="53"/>
      <c r="W81" s="57"/>
      <c r="X81" s="53"/>
      <c r="Y81" s="53"/>
      <c r="Z81" s="716"/>
      <c r="AA81" s="53"/>
      <c r="AB81" s="53"/>
      <c r="AC81" s="53"/>
      <c r="AD81" s="53"/>
      <c r="AE81" s="53"/>
      <c r="AF81" s="56"/>
      <c r="AG81" s="54"/>
      <c r="AH81" s="54"/>
      <c r="AI81" s="54"/>
      <c r="AJ81" s="54"/>
      <c r="AK81" s="131">
        <v>11</v>
      </c>
    </row>
    <row r="82" s="131" customFormat="1" ht="11.5" customHeight="1">
      <c r="A82" s="715"/>
      <c r="B82" s="715"/>
      <c r="C82" s="715"/>
      <c r="D82" s="715"/>
      <c r="E82" s="715"/>
      <c r="F82" s="57"/>
      <c r="G82" s="57"/>
      <c r="H82" s="131"/>
      <c r="N82" s="53"/>
      <c r="P82" s="53"/>
      <c r="Q82" s="57"/>
      <c r="R82" s="57"/>
      <c r="S82" s="53"/>
      <c r="T82" s="53"/>
      <c r="U82" s="53"/>
      <c r="V82" s="53"/>
      <c r="W82" s="57"/>
      <c r="X82" s="53"/>
      <c r="Y82" s="53"/>
      <c r="Z82" s="716"/>
      <c r="AA82" s="53"/>
      <c r="AB82" s="53"/>
      <c r="AC82" s="53"/>
      <c r="AD82" s="53"/>
      <c r="AE82" s="53"/>
      <c r="AF82" s="56"/>
      <c r="AG82" s="54"/>
      <c r="AH82" s="54"/>
      <c r="AI82" s="54"/>
      <c r="AJ82" s="54"/>
      <c r="AK82" s="131">
        <v>11</v>
      </c>
    </row>
    <row r="83" s="131" customFormat="1" ht="11.5" customHeight="1">
      <c r="A83" s="715"/>
      <c r="B83" s="715"/>
      <c r="C83" s="715"/>
      <c r="D83" s="715"/>
      <c r="E83" s="715"/>
      <c r="F83" s="57"/>
      <c r="G83" s="57"/>
      <c r="H83" s="131"/>
      <c r="N83" s="53"/>
      <c r="P83" s="53"/>
      <c r="Q83" s="57"/>
      <c r="R83" s="57"/>
      <c r="S83" s="53"/>
      <c r="T83" s="53"/>
      <c r="U83" s="53"/>
      <c r="V83" s="53"/>
      <c r="W83" s="57"/>
      <c r="X83" s="53"/>
      <c r="Y83" s="53"/>
      <c r="Z83" s="716"/>
      <c r="AA83" s="53"/>
      <c r="AB83" s="53"/>
      <c r="AC83" s="53"/>
      <c r="AD83" s="53"/>
      <c r="AE83" s="53"/>
      <c r="AF83" s="56"/>
      <c r="AG83" s="54"/>
      <c r="AH83" s="54"/>
      <c r="AI83" s="54"/>
      <c r="AJ83" s="54"/>
      <c r="AK83" s="131">
        <v>11</v>
      </c>
    </row>
    <row r="84" s="131" customFormat="1" ht="11.5" customHeight="1">
      <c r="A84" s="715"/>
      <c r="B84" s="715"/>
      <c r="C84" s="715"/>
      <c r="D84" s="715"/>
      <c r="E84" s="715"/>
      <c r="F84" s="57"/>
      <c r="G84" s="57"/>
      <c r="H84" s="131"/>
      <c r="N84" s="53"/>
      <c r="P84" s="53"/>
      <c r="Q84" s="57"/>
      <c r="R84" s="57"/>
      <c r="S84" s="53"/>
      <c r="T84" s="53"/>
      <c r="U84" s="53"/>
      <c r="V84" s="53"/>
      <c r="W84" s="57"/>
      <c r="X84" s="53"/>
      <c r="Y84" s="53"/>
      <c r="Z84" s="716"/>
      <c r="AA84" s="53"/>
      <c r="AB84" s="53"/>
      <c r="AC84" s="53"/>
      <c r="AD84" s="53"/>
      <c r="AE84" s="53"/>
      <c r="AF84" s="56"/>
      <c r="AG84" s="54"/>
      <c r="AH84" s="54"/>
      <c r="AI84" s="54"/>
      <c r="AJ84" s="54"/>
      <c r="AK84" s="131">
        <v>11</v>
      </c>
    </row>
    <row r="85" s="131" customFormat="1" ht="11.5" customHeight="1">
      <c r="A85" s="715"/>
      <c r="B85" s="715"/>
      <c r="C85" s="715"/>
      <c r="D85" s="715"/>
      <c r="E85" s="715"/>
      <c r="F85" s="57"/>
      <c r="G85" s="57"/>
      <c r="H85" s="131"/>
      <c r="N85" s="53"/>
      <c r="P85" s="53"/>
      <c r="Q85" s="57"/>
      <c r="R85" s="57"/>
      <c r="S85" s="53"/>
      <c r="T85" s="53"/>
      <c r="U85" s="53"/>
      <c r="V85" s="53"/>
      <c r="W85" s="57"/>
      <c r="X85" s="53"/>
      <c r="Y85" s="53"/>
      <c r="Z85" s="716"/>
      <c r="AA85" s="53"/>
      <c r="AB85" s="53"/>
      <c r="AC85" s="53"/>
      <c r="AD85" s="53"/>
      <c r="AE85" s="53"/>
      <c r="AF85" s="56"/>
      <c r="AG85" s="54"/>
      <c r="AH85" s="54"/>
      <c r="AI85" s="54"/>
      <c r="AJ85" s="54"/>
      <c r="AK85" s="131">
        <v>11</v>
      </c>
    </row>
    <row r="86" s="131" customFormat="1" ht="11.5" customHeight="1">
      <c r="A86" s="715"/>
      <c r="B86" s="715"/>
      <c r="C86" s="715"/>
      <c r="D86" s="715"/>
      <c r="E86" s="715"/>
      <c r="F86" s="57"/>
      <c r="G86" s="57"/>
      <c r="H86" s="131"/>
      <c r="N86" s="53"/>
      <c r="P86" s="53"/>
      <c r="Q86" s="57"/>
      <c r="R86" s="57"/>
      <c r="S86" s="53"/>
      <c r="T86" s="53"/>
      <c r="U86" s="53"/>
      <c r="V86" s="53"/>
      <c r="W86" s="57"/>
      <c r="X86" s="53"/>
      <c r="Y86" s="53"/>
      <c r="Z86" s="716"/>
      <c r="AA86" s="53"/>
      <c r="AB86" s="53"/>
      <c r="AC86" s="53"/>
      <c r="AD86" s="53"/>
      <c r="AE86" s="53"/>
      <c r="AF86" s="56"/>
      <c r="AG86" s="54"/>
      <c r="AH86" s="54"/>
      <c r="AI86" s="54"/>
      <c r="AJ86" s="54"/>
      <c r="AK86" s="131">
        <v>11</v>
      </c>
    </row>
    <row r="87" s="131" customFormat="1" ht="11.5" customHeight="1">
      <c r="A87" s="715"/>
      <c r="B87" s="715"/>
      <c r="C87" s="715"/>
      <c r="D87" s="715"/>
      <c r="E87" s="715"/>
      <c r="F87" s="57"/>
      <c r="G87" s="57"/>
      <c r="H87" s="131"/>
      <c r="N87" s="53"/>
      <c r="P87" s="53"/>
      <c r="Q87" s="57"/>
      <c r="R87" s="57"/>
      <c r="S87" s="53"/>
      <c r="T87" s="53"/>
      <c r="U87" s="53"/>
      <c r="V87" s="53"/>
      <c r="W87" s="57"/>
      <c r="X87" s="53"/>
      <c r="Y87" s="53"/>
      <c r="Z87" s="716"/>
      <c r="AA87" s="53"/>
      <c r="AB87" s="53"/>
      <c r="AC87" s="53"/>
      <c r="AD87" s="53"/>
      <c r="AE87" s="53"/>
      <c r="AF87" s="56"/>
      <c r="AG87" s="54"/>
      <c r="AH87" s="54"/>
      <c r="AI87" s="54"/>
      <c r="AJ87" s="54"/>
      <c r="AK87" s="131">
        <v>11</v>
      </c>
    </row>
    <row r="88" s="131" customFormat="1" ht="11.5" customHeight="1">
      <c r="A88" s="715"/>
      <c r="B88" s="715"/>
      <c r="C88" s="715"/>
      <c r="D88" s="715"/>
      <c r="E88" s="715"/>
      <c r="F88" s="57"/>
      <c r="G88" s="57"/>
      <c r="H88" s="131"/>
      <c r="N88" s="53"/>
      <c r="P88" s="53"/>
      <c r="Q88" s="57"/>
      <c r="R88" s="57"/>
      <c r="S88" s="53"/>
      <c r="T88" s="53"/>
      <c r="U88" s="53"/>
      <c r="V88" s="53"/>
      <c r="W88" s="57"/>
      <c r="X88" s="53"/>
      <c r="Y88" s="53"/>
      <c r="Z88" s="716"/>
      <c r="AA88" s="53"/>
      <c r="AB88" s="53"/>
      <c r="AC88" s="53"/>
      <c r="AD88" s="53"/>
      <c r="AE88" s="53"/>
      <c r="AF88" s="56"/>
      <c r="AG88" s="54"/>
      <c r="AH88" s="54"/>
      <c r="AI88" s="54"/>
      <c r="AJ88" s="54"/>
      <c r="AK88" s="131">
        <v>11</v>
      </c>
    </row>
    <row r="89" s="131" customFormat="1" ht="11.5" customHeight="1">
      <c r="A89" s="715"/>
      <c r="B89" s="715"/>
      <c r="C89" s="715"/>
      <c r="D89" s="715"/>
      <c r="E89" s="715"/>
      <c r="F89" s="57"/>
      <c r="G89" s="57"/>
      <c r="H89" s="131"/>
      <c r="N89" s="53"/>
      <c r="P89" s="53"/>
      <c r="Q89" s="57"/>
      <c r="R89" s="57"/>
      <c r="S89" s="53"/>
      <c r="T89" s="53"/>
      <c r="U89" s="53"/>
      <c r="V89" s="53"/>
      <c r="W89" s="57"/>
      <c r="X89" s="53"/>
      <c r="Y89" s="53"/>
      <c r="Z89" s="716"/>
      <c r="AA89" s="53"/>
      <c r="AB89" s="53"/>
      <c r="AC89" s="53"/>
      <c r="AD89" s="53"/>
      <c r="AE89" s="53"/>
      <c r="AF89" s="56"/>
      <c r="AG89" s="54"/>
      <c r="AH89" s="54"/>
      <c r="AI89" s="54"/>
      <c r="AJ89" s="54"/>
      <c r="AK89" s="131">
        <v>11</v>
      </c>
    </row>
    <row r="90" s="131" customFormat="1" ht="11.5" customHeight="1">
      <c r="A90" s="715"/>
      <c r="B90" s="715"/>
      <c r="C90" s="715"/>
      <c r="D90" s="715"/>
      <c r="E90" s="715"/>
      <c r="F90" s="57"/>
      <c r="G90" s="57"/>
      <c r="H90" s="131"/>
      <c r="N90" s="53"/>
      <c r="P90" s="53"/>
      <c r="Q90" s="57"/>
      <c r="R90" s="57"/>
      <c r="S90" s="53"/>
      <c r="T90" s="53"/>
      <c r="U90" s="53"/>
      <c r="V90" s="53"/>
      <c r="W90" s="57"/>
      <c r="X90" s="53"/>
      <c r="Y90" s="53"/>
      <c r="Z90" s="716"/>
      <c r="AA90" s="53"/>
      <c r="AB90" s="53"/>
      <c r="AC90" s="53"/>
      <c r="AD90" s="53"/>
      <c r="AE90" s="53"/>
      <c r="AF90" s="56"/>
      <c r="AG90" s="54"/>
      <c r="AH90" s="54"/>
      <c r="AI90" s="54"/>
      <c r="AJ90" s="54"/>
      <c r="AK90" s="131">
        <v>11</v>
      </c>
    </row>
    <row r="91" s="131" customFormat="1" ht="11.5" customHeight="1">
      <c r="A91" s="715"/>
      <c r="B91" s="715"/>
      <c r="C91" s="715"/>
      <c r="D91" s="715"/>
      <c r="E91" s="715"/>
      <c r="F91" s="57"/>
      <c r="G91" s="57"/>
      <c r="H91" s="131"/>
      <c r="N91" s="53"/>
      <c r="P91" s="53"/>
      <c r="Q91" s="57"/>
      <c r="R91" s="57"/>
      <c r="S91" s="53"/>
      <c r="T91" s="53"/>
      <c r="U91" s="53"/>
      <c r="V91" s="53"/>
      <c r="W91" s="57"/>
      <c r="X91" s="53"/>
      <c r="Y91" s="53"/>
      <c r="Z91" s="716"/>
      <c r="AA91" s="53"/>
      <c r="AB91" s="53"/>
      <c r="AC91" s="53"/>
      <c r="AD91" s="53"/>
      <c r="AE91" s="53"/>
      <c r="AF91" s="56"/>
      <c r="AG91" s="54"/>
      <c r="AH91" s="54"/>
      <c r="AI91" s="54"/>
      <c r="AJ91" s="54"/>
      <c r="AK91" s="131">
        <v>11</v>
      </c>
    </row>
    <row r="92" s="131" customFormat="1" ht="11.5" customHeight="1">
      <c r="A92" s="715"/>
      <c r="B92" s="715"/>
      <c r="C92" s="715"/>
      <c r="D92" s="715"/>
      <c r="E92" s="715"/>
      <c r="F92" s="57"/>
      <c r="G92" s="57"/>
      <c r="H92" s="131"/>
      <c r="N92" s="53"/>
      <c r="P92" s="53"/>
      <c r="Q92" s="57"/>
      <c r="R92" s="57"/>
      <c r="S92" s="53"/>
      <c r="T92" s="53"/>
      <c r="U92" s="53"/>
      <c r="V92" s="53"/>
      <c r="W92" s="57"/>
      <c r="X92" s="53"/>
      <c r="Y92" s="53"/>
      <c r="Z92" s="716"/>
      <c r="AA92" s="53"/>
      <c r="AB92" s="53"/>
      <c r="AC92" s="53"/>
      <c r="AD92" s="53"/>
      <c r="AE92" s="53"/>
      <c r="AF92" s="56"/>
      <c r="AG92" s="54"/>
      <c r="AH92" s="54"/>
      <c r="AI92" s="54"/>
      <c r="AJ92" s="54"/>
      <c r="AK92" s="131">
        <v>11</v>
      </c>
    </row>
    <row r="93" s="131" customFormat="1" ht="11.5" customHeight="1">
      <c r="A93" s="715"/>
      <c r="B93" s="715"/>
      <c r="C93" s="715"/>
      <c r="D93" s="715"/>
      <c r="E93" s="715"/>
      <c r="F93" s="57"/>
      <c r="G93" s="57"/>
      <c r="H93" s="131"/>
      <c r="N93" s="53"/>
      <c r="P93" s="53"/>
      <c r="Q93" s="57"/>
      <c r="R93" s="57"/>
      <c r="S93" s="53"/>
      <c r="T93" s="53"/>
      <c r="U93" s="53"/>
      <c r="V93" s="53"/>
      <c r="W93" s="57"/>
      <c r="X93" s="53"/>
      <c r="Y93" s="53"/>
      <c r="Z93" s="716"/>
      <c r="AA93" s="53"/>
      <c r="AB93" s="53"/>
      <c r="AC93" s="53"/>
      <c r="AD93" s="53"/>
      <c r="AE93" s="53"/>
      <c r="AF93" s="56"/>
      <c r="AG93" s="54"/>
      <c r="AH93" s="54"/>
      <c r="AI93" s="54"/>
      <c r="AJ93" s="54"/>
      <c r="AK93" s="131">
        <v>11</v>
      </c>
    </row>
    <row r="94" s="131" customFormat="1" ht="11.5" customHeight="1">
      <c r="A94" s="715"/>
      <c r="B94" s="715"/>
      <c r="C94" s="715"/>
      <c r="D94" s="715"/>
      <c r="E94" s="715"/>
      <c r="F94" s="57"/>
      <c r="G94" s="57"/>
      <c r="H94" s="131"/>
      <c r="N94" s="53"/>
      <c r="P94" s="53"/>
      <c r="Q94" s="57"/>
      <c r="R94" s="57"/>
      <c r="S94" s="53"/>
      <c r="T94" s="53"/>
      <c r="U94" s="53"/>
      <c r="V94" s="53"/>
      <c r="W94" s="57"/>
      <c r="X94" s="53"/>
      <c r="Y94" s="53"/>
      <c r="Z94" s="716"/>
      <c r="AA94" s="53"/>
      <c r="AB94" s="53"/>
      <c r="AC94" s="53"/>
      <c r="AD94" s="53"/>
      <c r="AE94" s="53"/>
      <c r="AF94" s="56"/>
      <c r="AG94" s="54"/>
      <c r="AH94" s="54"/>
      <c r="AI94" s="54"/>
      <c r="AJ94" s="54"/>
      <c r="AK94" s="131">
        <v>11</v>
      </c>
    </row>
    <row r="95" s="131" customFormat="1" ht="11.5" customHeight="1">
      <c r="A95" s="715"/>
      <c r="B95" s="715"/>
      <c r="C95" s="715"/>
      <c r="D95" s="715"/>
      <c r="E95" s="715"/>
      <c r="F95" s="57"/>
      <c r="G95" s="57"/>
      <c r="H95" s="131"/>
      <c r="N95" s="53"/>
      <c r="P95" s="53"/>
      <c r="Q95" s="57"/>
      <c r="R95" s="57"/>
      <c r="S95" s="53"/>
      <c r="T95" s="53"/>
      <c r="U95" s="53"/>
      <c r="V95" s="53"/>
      <c r="W95" s="57"/>
      <c r="X95" s="53"/>
      <c r="Y95" s="53"/>
      <c r="Z95" s="716"/>
      <c r="AA95" s="53"/>
      <c r="AB95" s="53"/>
      <c r="AC95" s="53"/>
      <c r="AD95" s="53"/>
      <c r="AE95" s="53"/>
      <c r="AF95" s="56"/>
      <c r="AG95" s="54"/>
      <c r="AH95" s="54"/>
      <c r="AI95" s="54"/>
      <c r="AJ95" s="54"/>
      <c r="AK95" s="131">
        <v>11</v>
      </c>
    </row>
    <row r="96" s="131" customFormat="1" ht="11.5" customHeight="1">
      <c r="A96" s="715"/>
      <c r="B96" s="715"/>
      <c r="C96" s="715"/>
      <c r="D96" s="715"/>
      <c r="E96" s="715"/>
      <c r="F96" s="57"/>
      <c r="G96" s="57"/>
      <c r="H96" s="131"/>
      <c r="N96" s="53"/>
      <c r="P96" s="53"/>
      <c r="Q96" s="57"/>
      <c r="R96" s="57"/>
      <c r="S96" s="53"/>
      <c r="T96" s="53"/>
      <c r="U96" s="53"/>
      <c r="V96" s="53"/>
      <c r="W96" s="57"/>
      <c r="X96" s="53"/>
      <c r="Y96" s="53"/>
      <c r="Z96" s="716"/>
      <c r="AA96" s="53"/>
      <c r="AB96" s="53"/>
      <c r="AC96" s="53"/>
      <c r="AD96" s="53"/>
      <c r="AE96" s="53"/>
      <c r="AF96" s="56"/>
      <c r="AG96" s="54"/>
      <c r="AH96" s="54"/>
      <c r="AI96" s="54"/>
      <c r="AJ96" s="54"/>
      <c r="AK96" s="131">
        <v>11</v>
      </c>
    </row>
    <row r="97" s="131" customFormat="1" ht="11.5" customHeight="1">
      <c r="A97" s="715"/>
      <c r="B97" s="715"/>
      <c r="C97" s="715"/>
      <c r="D97" s="715"/>
      <c r="E97" s="715"/>
      <c r="F97" s="57"/>
      <c r="G97" s="57"/>
      <c r="H97" s="131"/>
      <c r="N97" s="53"/>
      <c r="P97" s="53"/>
      <c r="Q97" s="57"/>
      <c r="R97" s="57"/>
      <c r="S97" s="53"/>
      <c r="T97" s="53"/>
      <c r="U97" s="53"/>
      <c r="V97" s="53"/>
      <c r="W97" s="57"/>
      <c r="X97" s="53"/>
      <c r="Y97" s="53"/>
      <c r="Z97" s="716"/>
      <c r="AA97" s="53"/>
      <c r="AB97" s="53"/>
      <c r="AC97" s="53"/>
      <c r="AD97" s="53"/>
      <c r="AE97" s="53"/>
      <c r="AF97" s="56"/>
      <c r="AG97" s="54"/>
      <c r="AH97" s="54"/>
      <c r="AI97" s="54"/>
      <c r="AJ97" s="54"/>
      <c r="AK97" s="131">
        <v>11</v>
      </c>
    </row>
    <row r="98" s="131" customFormat="1" ht="11.5" customHeight="1">
      <c r="A98" s="715"/>
      <c r="B98" s="715"/>
      <c r="C98" s="715"/>
      <c r="D98" s="715"/>
      <c r="E98" s="715"/>
      <c r="F98" s="57"/>
      <c r="G98" s="57"/>
      <c r="H98" s="131"/>
      <c r="N98" s="53"/>
      <c r="P98" s="53"/>
      <c r="Q98" s="57"/>
      <c r="R98" s="57"/>
      <c r="S98" s="53"/>
      <c r="T98" s="53"/>
      <c r="U98" s="53"/>
      <c r="V98" s="53"/>
      <c r="W98" s="57"/>
      <c r="X98" s="53"/>
      <c r="Y98" s="53"/>
      <c r="Z98" s="716"/>
      <c r="AA98" s="53"/>
      <c r="AB98" s="53"/>
      <c r="AC98" s="53"/>
      <c r="AD98" s="53"/>
      <c r="AE98" s="53"/>
      <c r="AF98" s="56"/>
      <c r="AG98" s="54"/>
      <c r="AH98" s="54"/>
      <c r="AI98" s="54"/>
      <c r="AJ98" s="54"/>
      <c r="AK98" s="131">
        <v>11</v>
      </c>
    </row>
    <row r="99" s="131" customFormat="1" ht="11.5" customHeight="1">
      <c r="A99" s="715"/>
      <c r="B99" s="715"/>
      <c r="C99" s="715"/>
      <c r="D99" s="715"/>
      <c r="E99" s="715"/>
      <c r="F99" s="57"/>
      <c r="G99" s="57"/>
      <c r="H99" s="131"/>
      <c r="N99" s="53"/>
      <c r="P99" s="53"/>
      <c r="Q99" s="57"/>
      <c r="R99" s="57"/>
      <c r="S99" s="53"/>
      <c r="T99" s="53"/>
      <c r="U99" s="53"/>
      <c r="V99" s="53"/>
      <c r="W99" s="57"/>
      <c r="X99" s="53"/>
      <c r="Y99" s="53"/>
      <c r="Z99" s="716"/>
      <c r="AA99" s="53"/>
      <c r="AB99" s="53"/>
      <c r="AC99" s="53"/>
      <c r="AD99" s="53"/>
      <c r="AE99" s="53"/>
      <c r="AF99" s="56"/>
      <c r="AG99" s="54"/>
      <c r="AH99" s="54"/>
      <c r="AI99" s="54"/>
      <c r="AJ99" s="54"/>
      <c r="AK99" s="131">
        <v>11</v>
      </c>
    </row>
    <row r="100" s="131" customFormat="1" ht="11.5" customHeight="1">
      <c r="A100" s="715"/>
      <c r="B100" s="715"/>
      <c r="C100" s="715"/>
      <c r="D100" s="715"/>
      <c r="E100" s="715"/>
      <c r="F100" s="57"/>
      <c r="G100" s="57"/>
      <c r="H100" s="131"/>
      <c r="N100" s="53"/>
      <c r="P100" s="53"/>
      <c r="Q100" s="57"/>
      <c r="R100" s="57"/>
      <c r="S100" s="53"/>
      <c r="T100" s="53"/>
      <c r="U100" s="53"/>
      <c r="V100" s="53"/>
      <c r="W100" s="57"/>
      <c r="X100" s="53"/>
      <c r="Y100" s="53"/>
      <c r="Z100" s="716"/>
      <c r="AA100" s="53"/>
      <c r="AB100" s="53"/>
      <c r="AC100" s="53"/>
      <c r="AD100" s="53"/>
      <c r="AE100" s="53"/>
      <c r="AF100" s="56"/>
      <c r="AG100" s="54"/>
      <c r="AH100" s="54"/>
      <c r="AI100" s="54"/>
      <c r="AJ100" s="54"/>
      <c r="AK100" s="131">
        <v>11</v>
      </c>
    </row>
    <row r="101" s="131" customFormat="1" ht="11.5" customHeight="1">
      <c r="A101" s="715"/>
      <c r="B101" s="715"/>
      <c r="C101" s="715"/>
      <c r="D101" s="715"/>
      <c r="E101" s="715"/>
      <c r="F101" s="57"/>
      <c r="G101" s="57"/>
      <c r="H101" s="131"/>
      <c r="N101" s="53"/>
      <c r="P101" s="53"/>
      <c r="Q101" s="57"/>
      <c r="R101" s="57"/>
      <c r="S101" s="53"/>
      <c r="T101" s="53"/>
      <c r="U101" s="53"/>
      <c r="V101" s="53"/>
      <c r="W101" s="57"/>
      <c r="X101" s="53"/>
      <c r="Y101" s="53"/>
      <c r="Z101" s="716"/>
      <c r="AA101" s="53"/>
      <c r="AB101" s="53"/>
      <c r="AC101" s="53"/>
      <c r="AD101" s="53"/>
      <c r="AE101" s="53"/>
      <c r="AF101" s="56"/>
      <c r="AG101" s="54"/>
      <c r="AH101" s="54"/>
      <c r="AI101" s="54"/>
      <c r="AJ101" s="54"/>
      <c r="AK101" s="131">
        <v>11</v>
      </c>
    </row>
    <row r="102" s="131" customFormat="1" ht="11.5" customHeight="1">
      <c r="A102" s="715"/>
      <c r="B102" s="715"/>
      <c r="C102" s="715"/>
      <c r="D102" s="715"/>
      <c r="E102" s="715"/>
      <c r="F102" s="57"/>
      <c r="G102" s="57"/>
      <c r="H102" s="131"/>
      <c r="N102" s="53"/>
      <c r="P102" s="53"/>
      <c r="Q102" s="57"/>
      <c r="R102" s="57"/>
      <c r="S102" s="53"/>
      <c r="T102" s="53"/>
      <c r="U102" s="53"/>
      <c r="V102" s="53"/>
      <c r="W102" s="57"/>
      <c r="X102" s="53"/>
      <c r="Y102" s="53"/>
      <c r="Z102" s="716"/>
      <c r="AA102" s="53"/>
      <c r="AB102" s="53"/>
      <c r="AC102" s="53"/>
      <c r="AD102" s="53"/>
      <c r="AE102" s="53"/>
      <c r="AF102" s="56"/>
      <c r="AG102" s="54"/>
      <c r="AH102" s="54"/>
      <c r="AI102" s="54"/>
      <c r="AJ102" s="54"/>
      <c r="AK102" s="131">
        <v>11</v>
      </c>
    </row>
    <row r="103" s="131" customFormat="1" ht="11.5" customHeight="1">
      <c r="A103" s="715"/>
      <c r="B103" s="715"/>
      <c r="C103" s="715"/>
      <c r="D103" s="715"/>
      <c r="E103" s="715"/>
      <c r="F103" s="57"/>
      <c r="G103" s="57"/>
      <c r="H103" s="131"/>
      <c r="N103" s="53"/>
      <c r="P103" s="53"/>
      <c r="Q103" s="57"/>
      <c r="R103" s="57"/>
      <c r="S103" s="53"/>
      <c r="T103" s="53"/>
      <c r="U103" s="53"/>
      <c r="V103" s="53"/>
      <c r="W103" s="57"/>
      <c r="X103" s="53"/>
      <c r="Y103" s="53"/>
      <c r="Z103" s="716"/>
      <c r="AA103" s="53"/>
      <c r="AB103" s="53"/>
      <c r="AC103" s="53"/>
      <c r="AD103" s="53"/>
      <c r="AE103" s="53"/>
      <c r="AF103" s="56"/>
      <c r="AG103" s="54"/>
      <c r="AH103" s="54"/>
      <c r="AI103" s="54"/>
      <c r="AJ103" s="54"/>
      <c r="AK103" s="131">
        <v>11</v>
      </c>
    </row>
    <row r="104" s="131" customFormat="1" ht="11.5" customHeight="1">
      <c r="A104" s="715"/>
      <c r="B104" s="715"/>
      <c r="C104" s="715"/>
      <c r="D104" s="715"/>
      <c r="E104" s="715"/>
      <c r="F104" s="57"/>
      <c r="G104" s="57"/>
      <c r="H104" s="131"/>
      <c r="N104" s="53"/>
      <c r="P104" s="53"/>
      <c r="Q104" s="57"/>
      <c r="R104" s="57"/>
      <c r="S104" s="53"/>
      <c r="T104" s="53"/>
      <c r="U104" s="53"/>
      <c r="V104" s="53"/>
      <c r="W104" s="57"/>
      <c r="X104" s="53"/>
      <c r="Y104" s="53"/>
      <c r="Z104" s="716"/>
      <c r="AA104" s="53"/>
      <c r="AB104" s="53"/>
      <c r="AC104" s="53"/>
      <c r="AD104" s="53"/>
      <c r="AE104" s="53"/>
      <c r="AF104" s="56"/>
      <c r="AG104" s="54"/>
      <c r="AH104" s="54"/>
      <c r="AI104" s="54"/>
      <c r="AJ104" s="54"/>
      <c r="AK104" s="131">
        <v>11</v>
      </c>
    </row>
    <row r="105" s="131" customFormat="1" ht="11.5" customHeight="1">
      <c r="A105" s="715"/>
      <c r="B105" s="715"/>
      <c r="C105" s="715"/>
      <c r="D105" s="715"/>
      <c r="E105" s="715"/>
      <c r="F105" s="57"/>
      <c r="G105" s="57"/>
      <c r="H105" s="131"/>
      <c r="N105" s="53"/>
      <c r="P105" s="53"/>
      <c r="Q105" s="57"/>
      <c r="R105" s="57"/>
      <c r="S105" s="53"/>
      <c r="T105" s="53"/>
      <c r="U105" s="53"/>
      <c r="V105" s="53"/>
      <c r="W105" s="57"/>
      <c r="X105" s="53"/>
      <c r="Y105" s="53"/>
      <c r="Z105" s="716"/>
      <c r="AA105" s="53"/>
      <c r="AB105" s="53"/>
      <c r="AC105" s="53"/>
      <c r="AD105" s="53"/>
      <c r="AE105" s="53"/>
      <c r="AF105" s="56"/>
      <c r="AG105" s="54"/>
      <c r="AH105" s="54"/>
      <c r="AI105" s="54"/>
      <c r="AJ105" s="54"/>
      <c r="AK105" s="131">
        <v>11</v>
      </c>
    </row>
    <row r="106" s="131" customFormat="1" ht="11.5" customHeight="1">
      <c r="A106" s="715"/>
      <c r="B106" s="715"/>
      <c r="C106" s="715"/>
      <c r="D106" s="715"/>
      <c r="E106" s="715"/>
      <c r="F106" s="57"/>
      <c r="G106" s="57"/>
      <c r="H106" s="131"/>
      <c r="N106" s="53"/>
      <c r="P106" s="53"/>
      <c r="Q106" s="57"/>
      <c r="R106" s="57"/>
      <c r="S106" s="53"/>
      <c r="T106" s="53"/>
      <c r="U106" s="53"/>
      <c r="V106" s="53"/>
      <c r="W106" s="57"/>
      <c r="X106" s="53"/>
      <c r="Y106" s="53"/>
      <c r="Z106" s="716"/>
      <c r="AA106" s="53"/>
      <c r="AB106" s="53"/>
      <c r="AC106" s="53"/>
      <c r="AD106" s="53"/>
      <c r="AE106" s="53"/>
      <c r="AF106" s="56"/>
      <c r="AG106" s="54"/>
      <c r="AH106" s="54"/>
      <c r="AI106" s="54"/>
      <c r="AJ106" s="54"/>
      <c r="AK106" s="131">
        <v>11</v>
      </c>
    </row>
    <row r="107" s="131" customFormat="1" ht="11.5" customHeight="1">
      <c r="A107" s="715"/>
      <c r="B107" s="715"/>
      <c r="C107" s="715"/>
      <c r="D107" s="715"/>
      <c r="E107" s="715"/>
      <c r="F107" s="57"/>
      <c r="G107" s="57"/>
      <c r="H107" s="131"/>
      <c r="N107" s="53"/>
      <c r="P107" s="53"/>
      <c r="Q107" s="57"/>
      <c r="R107" s="57"/>
      <c r="S107" s="53"/>
      <c r="T107" s="53"/>
      <c r="U107" s="53"/>
      <c r="V107" s="53"/>
      <c r="W107" s="57"/>
      <c r="X107" s="53"/>
      <c r="Y107" s="53"/>
      <c r="Z107" s="716"/>
      <c r="AA107" s="53"/>
      <c r="AB107" s="53"/>
      <c r="AC107" s="53"/>
      <c r="AD107" s="53"/>
      <c r="AE107" s="53"/>
      <c r="AF107" s="56"/>
      <c r="AG107" s="54"/>
      <c r="AH107" s="54"/>
      <c r="AI107" s="54"/>
      <c r="AJ107" s="54"/>
      <c r="AK107" s="131">
        <v>11</v>
      </c>
    </row>
    <row r="108" s="131" customFormat="1" ht="11.5" customHeight="1">
      <c r="A108" s="715"/>
      <c r="B108" s="715"/>
      <c r="C108" s="715"/>
      <c r="D108" s="715"/>
      <c r="E108" s="715"/>
      <c r="F108" s="57"/>
      <c r="G108" s="57"/>
      <c r="H108" s="131"/>
      <c r="N108" s="53"/>
      <c r="P108" s="53"/>
      <c r="Q108" s="57"/>
      <c r="R108" s="57"/>
      <c r="S108" s="53"/>
      <c r="T108" s="53"/>
      <c r="U108" s="53"/>
      <c r="V108" s="53"/>
      <c r="W108" s="57"/>
      <c r="X108" s="53"/>
      <c r="Y108" s="53"/>
      <c r="Z108" s="716"/>
      <c r="AA108" s="53"/>
      <c r="AB108" s="53"/>
      <c r="AC108" s="53"/>
      <c r="AD108" s="53"/>
      <c r="AE108" s="53"/>
      <c r="AF108" s="56"/>
      <c r="AG108" s="54"/>
      <c r="AH108" s="54"/>
      <c r="AI108" s="54"/>
      <c r="AJ108" s="54"/>
      <c r="AK108" s="131">
        <v>11</v>
      </c>
    </row>
    <row r="109" s="131" customFormat="1" ht="11.5" customHeight="1">
      <c r="A109" s="715"/>
      <c r="B109" s="715"/>
      <c r="C109" s="715"/>
      <c r="D109" s="715"/>
      <c r="E109" s="715"/>
      <c r="F109" s="57"/>
      <c r="G109" s="57"/>
      <c r="H109" s="131"/>
      <c r="N109" s="53"/>
      <c r="P109" s="53"/>
      <c r="Q109" s="57"/>
      <c r="R109" s="57"/>
      <c r="S109" s="53"/>
      <c r="T109" s="53"/>
      <c r="U109" s="53"/>
      <c r="V109" s="53"/>
      <c r="W109" s="57"/>
      <c r="X109" s="53"/>
      <c r="Y109" s="53"/>
      <c r="Z109" s="716"/>
      <c r="AA109" s="53"/>
      <c r="AB109" s="53"/>
      <c r="AC109" s="53"/>
      <c r="AD109" s="53"/>
      <c r="AE109" s="53"/>
      <c r="AF109" s="56"/>
      <c r="AG109" s="54"/>
      <c r="AH109" s="54"/>
      <c r="AI109" s="54"/>
      <c r="AJ109" s="54"/>
      <c r="AK109" s="131">
        <v>11</v>
      </c>
    </row>
    <row r="110" s="131" customFormat="1" ht="11.5" customHeight="1">
      <c r="A110" s="715"/>
      <c r="B110" s="715"/>
      <c r="C110" s="715"/>
      <c r="D110" s="715"/>
      <c r="E110" s="715"/>
      <c r="F110" s="57"/>
      <c r="G110" s="57"/>
      <c r="H110" s="131"/>
      <c r="N110" s="53"/>
      <c r="P110" s="53"/>
      <c r="Q110" s="57"/>
      <c r="R110" s="57"/>
      <c r="S110" s="53"/>
      <c r="T110" s="53"/>
      <c r="U110" s="53"/>
      <c r="V110" s="53"/>
      <c r="W110" s="57"/>
      <c r="X110" s="53"/>
      <c r="Y110" s="53"/>
      <c r="Z110" s="716"/>
      <c r="AA110" s="53"/>
      <c r="AB110" s="53"/>
      <c r="AC110" s="53"/>
      <c r="AD110" s="53"/>
      <c r="AE110" s="53"/>
      <c r="AF110" s="56"/>
      <c r="AG110" s="54"/>
      <c r="AH110" s="54"/>
      <c r="AI110" s="54"/>
      <c r="AJ110" s="54"/>
      <c r="AK110" s="131">
        <v>11</v>
      </c>
    </row>
    <row r="111" s="131" customFormat="1" ht="11.5" customHeight="1">
      <c r="A111" s="715"/>
      <c r="B111" s="715"/>
      <c r="C111" s="715"/>
      <c r="D111" s="715"/>
      <c r="E111" s="715"/>
      <c r="F111" s="57"/>
      <c r="G111" s="57"/>
      <c r="H111" s="131"/>
      <c r="N111" s="53"/>
      <c r="P111" s="53"/>
      <c r="Q111" s="57"/>
      <c r="R111" s="57"/>
      <c r="S111" s="53"/>
      <c r="T111" s="53"/>
      <c r="U111" s="53"/>
      <c r="V111" s="53"/>
      <c r="W111" s="57"/>
      <c r="X111" s="53"/>
      <c r="Y111" s="53"/>
      <c r="Z111" s="716"/>
      <c r="AA111" s="53"/>
      <c r="AB111" s="53"/>
      <c r="AC111" s="53"/>
      <c r="AD111" s="53"/>
      <c r="AE111" s="53"/>
      <c r="AF111" s="56"/>
      <c r="AG111" s="54"/>
      <c r="AH111" s="54"/>
      <c r="AI111" s="54"/>
      <c r="AJ111" s="54"/>
      <c r="AK111" s="131">
        <v>11</v>
      </c>
    </row>
    <row r="112" s="131" customFormat="1" ht="11.5" customHeight="1">
      <c r="A112" s="715"/>
      <c r="B112" s="715"/>
      <c r="C112" s="715"/>
      <c r="D112" s="715"/>
      <c r="E112" s="715"/>
      <c r="F112" s="57"/>
      <c r="G112" s="57"/>
      <c r="H112" s="131"/>
      <c r="N112" s="53"/>
      <c r="P112" s="53"/>
      <c r="Q112" s="57"/>
      <c r="R112" s="57"/>
      <c r="S112" s="53"/>
      <c r="T112" s="53"/>
      <c r="U112" s="53"/>
      <c r="V112" s="53"/>
      <c r="W112" s="57"/>
      <c r="X112" s="53"/>
      <c r="Y112" s="53"/>
      <c r="Z112" s="716"/>
      <c r="AA112" s="53"/>
      <c r="AB112" s="53"/>
      <c r="AC112" s="53"/>
      <c r="AD112" s="53"/>
      <c r="AE112" s="53"/>
      <c r="AF112" s="56"/>
      <c r="AG112" s="54"/>
      <c r="AH112" s="54"/>
      <c r="AI112" s="54"/>
      <c r="AJ112" s="54"/>
      <c r="AK112" s="131">
        <v>11</v>
      </c>
    </row>
    <row r="113" s="131" customFormat="1" ht="11.5" customHeight="1">
      <c r="A113" s="715"/>
      <c r="B113" s="715"/>
      <c r="C113" s="715"/>
      <c r="D113" s="715"/>
      <c r="E113" s="715"/>
      <c r="F113" s="57"/>
      <c r="G113" s="57"/>
      <c r="H113" s="131"/>
      <c r="N113" s="53"/>
      <c r="P113" s="53"/>
      <c r="Q113" s="57"/>
      <c r="R113" s="57"/>
      <c r="S113" s="53"/>
      <c r="T113" s="53"/>
      <c r="U113" s="53"/>
      <c r="V113" s="53"/>
      <c r="W113" s="57"/>
      <c r="X113" s="53"/>
      <c r="Y113" s="53"/>
      <c r="Z113" s="716"/>
      <c r="AA113" s="53"/>
      <c r="AB113" s="53"/>
      <c r="AC113" s="53"/>
      <c r="AD113" s="53"/>
      <c r="AE113" s="53"/>
      <c r="AF113" s="56"/>
      <c r="AG113" s="54"/>
      <c r="AH113" s="54"/>
      <c r="AI113" s="54"/>
      <c r="AJ113" s="54"/>
      <c r="AK113" s="131">
        <v>11</v>
      </c>
    </row>
    <row r="114" s="131" customFormat="1" ht="11.5" customHeight="1">
      <c r="A114" s="715"/>
      <c r="B114" s="715"/>
      <c r="C114" s="715"/>
      <c r="D114" s="715"/>
      <c r="E114" s="715"/>
      <c r="F114" s="57"/>
      <c r="G114" s="57"/>
      <c r="H114" s="131"/>
      <c r="N114" s="53"/>
      <c r="P114" s="53"/>
      <c r="Q114" s="57"/>
      <c r="R114" s="57"/>
      <c r="S114" s="53"/>
      <c r="T114" s="53"/>
      <c r="U114" s="53"/>
      <c r="V114" s="53"/>
      <c r="W114" s="57"/>
      <c r="X114" s="53"/>
      <c r="Y114" s="53"/>
      <c r="Z114" s="716"/>
      <c r="AA114" s="53"/>
      <c r="AB114" s="53"/>
      <c r="AC114" s="53"/>
      <c r="AD114" s="53"/>
      <c r="AE114" s="53"/>
      <c r="AF114" s="56"/>
      <c r="AG114" s="54"/>
      <c r="AH114" s="54"/>
      <c r="AI114" s="54"/>
      <c r="AJ114" s="54"/>
      <c r="AK114" s="131">
        <v>11</v>
      </c>
    </row>
    <row r="115" s="131" customFormat="1" ht="11.5" customHeight="1">
      <c r="A115" s="715"/>
      <c r="B115" s="715"/>
      <c r="C115" s="715"/>
      <c r="D115" s="715"/>
      <c r="E115" s="715"/>
      <c r="F115" s="57"/>
      <c r="G115" s="57"/>
      <c r="H115" s="131"/>
      <c r="N115" s="53"/>
      <c r="P115" s="53"/>
      <c r="Q115" s="57"/>
      <c r="R115" s="57"/>
      <c r="S115" s="53"/>
      <c r="T115" s="53"/>
      <c r="U115" s="53"/>
      <c r="V115" s="53"/>
      <c r="W115" s="57"/>
      <c r="X115" s="53"/>
      <c r="Y115" s="53"/>
      <c r="Z115" s="716"/>
      <c r="AA115" s="53"/>
      <c r="AB115" s="53"/>
      <c r="AC115" s="53"/>
      <c r="AD115" s="53"/>
      <c r="AE115" s="53"/>
      <c r="AF115" s="56"/>
      <c r="AG115" s="54"/>
      <c r="AH115" s="54"/>
      <c r="AI115" s="54"/>
      <c r="AJ115" s="54"/>
      <c r="AK115" s="131">
        <v>11</v>
      </c>
    </row>
    <row r="116" s="131" customFormat="1" ht="11.5" customHeight="1">
      <c r="A116" s="715"/>
      <c r="B116" s="715"/>
      <c r="C116" s="715"/>
      <c r="D116" s="715"/>
      <c r="E116" s="715"/>
      <c r="F116" s="57"/>
      <c r="G116" s="57"/>
      <c r="H116" s="131"/>
      <c r="N116" s="53"/>
      <c r="P116" s="53"/>
      <c r="Q116" s="57"/>
      <c r="R116" s="57"/>
      <c r="S116" s="53"/>
      <c r="T116" s="53"/>
      <c r="U116" s="53"/>
      <c r="V116" s="53"/>
      <c r="W116" s="57"/>
      <c r="X116" s="53"/>
      <c r="Y116" s="53"/>
      <c r="Z116" s="716"/>
      <c r="AA116" s="53"/>
      <c r="AB116" s="53"/>
      <c r="AC116" s="53"/>
      <c r="AD116" s="53"/>
      <c r="AE116" s="53"/>
      <c r="AF116" s="56"/>
      <c r="AG116" s="54"/>
      <c r="AH116" s="54"/>
      <c r="AI116" s="54"/>
      <c r="AJ116" s="54"/>
      <c r="AK116" s="131">
        <v>11</v>
      </c>
    </row>
    <row r="117" s="131" customFormat="1" ht="11.5" customHeight="1">
      <c r="A117" s="715"/>
      <c r="B117" s="715"/>
      <c r="C117" s="715"/>
      <c r="D117" s="715"/>
      <c r="E117" s="715"/>
      <c r="F117" s="57"/>
      <c r="G117" s="57"/>
      <c r="H117" s="131"/>
      <c r="N117" s="53"/>
      <c r="P117" s="53"/>
      <c r="Q117" s="57"/>
      <c r="R117" s="57"/>
      <c r="S117" s="53"/>
      <c r="T117" s="53"/>
      <c r="U117" s="53"/>
      <c r="V117" s="53"/>
      <c r="W117" s="57"/>
      <c r="X117" s="53"/>
      <c r="Y117" s="53"/>
      <c r="Z117" s="716"/>
      <c r="AA117" s="53"/>
      <c r="AB117" s="53"/>
      <c r="AC117" s="53"/>
      <c r="AD117" s="53"/>
      <c r="AE117" s="53"/>
      <c r="AF117" s="56"/>
      <c r="AG117" s="54"/>
      <c r="AH117" s="54"/>
      <c r="AI117" s="54"/>
      <c r="AJ117" s="54"/>
      <c r="AK117" s="131">
        <v>11</v>
      </c>
    </row>
    <row r="118" s="131" customFormat="1" ht="11.5" customHeight="1">
      <c r="A118" s="715"/>
      <c r="B118" s="715"/>
      <c r="C118" s="715"/>
      <c r="D118" s="715"/>
      <c r="E118" s="715"/>
      <c r="F118" s="57"/>
      <c r="G118" s="57"/>
      <c r="H118" s="131"/>
      <c r="N118" s="53"/>
      <c r="P118" s="53"/>
      <c r="Q118" s="57"/>
      <c r="R118" s="57"/>
      <c r="S118" s="53"/>
      <c r="T118" s="53"/>
      <c r="U118" s="53"/>
      <c r="V118" s="53"/>
      <c r="W118" s="57"/>
      <c r="X118" s="53"/>
      <c r="Y118" s="53"/>
      <c r="Z118" s="716"/>
      <c r="AA118" s="53"/>
      <c r="AB118" s="53"/>
      <c r="AC118" s="53"/>
      <c r="AD118" s="53"/>
      <c r="AE118" s="53"/>
      <c r="AF118" s="56"/>
      <c r="AG118" s="54"/>
      <c r="AH118" s="54"/>
      <c r="AI118" s="54"/>
      <c r="AJ118" s="54"/>
      <c r="AK118" s="131">
        <v>11</v>
      </c>
    </row>
    <row r="119" s="131" customFormat="1" ht="11.5" customHeight="1">
      <c r="A119" s="715"/>
      <c r="B119" s="715"/>
      <c r="C119" s="715"/>
      <c r="D119" s="715"/>
      <c r="E119" s="715"/>
      <c r="F119" s="57"/>
      <c r="G119" s="57"/>
      <c r="H119" s="131"/>
      <c r="N119" s="53"/>
      <c r="P119" s="53"/>
      <c r="Q119" s="57"/>
      <c r="R119" s="57"/>
      <c r="S119" s="53"/>
      <c r="T119" s="53"/>
      <c r="U119" s="53"/>
      <c r="V119" s="53"/>
      <c r="W119" s="57"/>
      <c r="X119" s="53"/>
      <c r="Y119" s="53"/>
      <c r="Z119" s="716"/>
      <c r="AA119" s="53"/>
      <c r="AB119" s="53"/>
      <c r="AC119" s="53"/>
      <c r="AD119" s="53"/>
      <c r="AE119" s="53"/>
      <c r="AF119" s="56"/>
      <c r="AG119" s="54"/>
      <c r="AH119" s="54"/>
      <c r="AI119" s="54"/>
      <c r="AJ119" s="54"/>
      <c r="AK119" s="131">
        <v>11</v>
      </c>
    </row>
    <row r="120" s="131" customFormat="1" ht="11.5" customHeight="1">
      <c r="A120" s="715"/>
      <c r="B120" s="715"/>
      <c r="C120" s="715"/>
      <c r="D120" s="715"/>
      <c r="E120" s="715"/>
      <c r="F120" s="57"/>
      <c r="G120" s="57"/>
      <c r="H120" s="131"/>
      <c r="N120" s="53"/>
      <c r="P120" s="53"/>
      <c r="Q120" s="57"/>
      <c r="R120" s="57"/>
      <c r="S120" s="53"/>
      <c r="T120" s="53"/>
      <c r="U120" s="53"/>
      <c r="V120" s="53"/>
      <c r="W120" s="57"/>
      <c r="X120" s="53"/>
      <c r="Y120" s="53"/>
      <c r="Z120" s="716"/>
      <c r="AA120" s="53"/>
      <c r="AB120" s="53"/>
      <c r="AC120" s="53"/>
      <c r="AD120" s="53"/>
      <c r="AE120" s="53"/>
      <c r="AF120" s="56"/>
      <c r="AG120" s="54"/>
      <c r="AH120" s="54"/>
      <c r="AI120" s="54"/>
      <c r="AJ120" s="54"/>
      <c r="AK120" s="131">
        <v>11</v>
      </c>
    </row>
    <row r="121" s="131" customFormat="1" ht="11.5" customHeight="1">
      <c r="A121" s="715"/>
      <c r="B121" s="715"/>
      <c r="C121" s="715"/>
      <c r="D121" s="715"/>
      <c r="E121" s="715"/>
      <c r="F121" s="57"/>
      <c r="G121" s="57"/>
      <c r="H121" s="131"/>
      <c r="N121" s="53"/>
      <c r="P121" s="53"/>
      <c r="Q121" s="57"/>
      <c r="R121" s="57"/>
      <c r="S121" s="53"/>
      <c r="T121" s="53"/>
      <c r="U121" s="53"/>
      <c r="V121" s="53"/>
      <c r="W121" s="57"/>
      <c r="X121" s="53"/>
      <c r="Y121" s="53"/>
      <c r="Z121" s="716"/>
      <c r="AA121" s="53"/>
      <c r="AB121" s="53"/>
      <c r="AC121" s="53"/>
      <c r="AD121" s="53"/>
      <c r="AE121" s="53"/>
      <c r="AF121" s="56"/>
      <c r="AG121" s="54"/>
      <c r="AH121" s="54"/>
      <c r="AI121" s="54"/>
      <c r="AJ121" s="54"/>
      <c r="AK121" s="131">
        <v>11</v>
      </c>
    </row>
    <row r="122" s="131" customFormat="1" ht="11.5" customHeight="1">
      <c r="A122" s="715"/>
      <c r="B122" s="715"/>
      <c r="C122" s="715"/>
      <c r="D122" s="715"/>
      <c r="E122" s="715"/>
      <c r="F122" s="57"/>
      <c r="G122" s="57"/>
      <c r="H122" s="131"/>
      <c r="N122" s="53"/>
      <c r="P122" s="53"/>
      <c r="Q122" s="57"/>
      <c r="R122" s="57"/>
      <c r="S122" s="53"/>
      <c r="T122" s="53"/>
      <c r="U122" s="53"/>
      <c r="V122" s="53"/>
      <c r="W122" s="57"/>
      <c r="X122" s="53"/>
      <c r="Y122" s="53"/>
      <c r="Z122" s="716"/>
      <c r="AA122" s="53"/>
      <c r="AB122" s="53"/>
      <c r="AC122" s="53"/>
      <c r="AD122" s="53"/>
      <c r="AE122" s="53"/>
      <c r="AF122" s="56"/>
      <c r="AG122" s="54"/>
      <c r="AH122" s="54"/>
      <c r="AI122" s="54"/>
      <c r="AJ122" s="54"/>
      <c r="AK122" s="131">
        <v>11</v>
      </c>
    </row>
    <row r="123" s="131" customFormat="1" ht="11.5" customHeight="1">
      <c r="A123" s="715"/>
      <c r="B123" s="715"/>
      <c r="C123" s="715"/>
      <c r="D123" s="715"/>
      <c r="E123" s="715"/>
      <c r="F123" s="57"/>
      <c r="G123" s="57"/>
      <c r="H123" s="131"/>
      <c r="N123" s="53"/>
      <c r="P123" s="53"/>
      <c r="Q123" s="57"/>
      <c r="R123" s="57"/>
      <c r="S123" s="53"/>
      <c r="T123" s="53"/>
      <c r="U123" s="53"/>
      <c r="V123" s="53"/>
      <c r="W123" s="57"/>
      <c r="X123" s="53"/>
      <c r="Y123" s="53"/>
      <c r="Z123" s="716"/>
      <c r="AA123" s="53"/>
      <c r="AB123" s="53"/>
      <c r="AC123" s="53"/>
      <c r="AD123" s="53"/>
      <c r="AE123" s="53"/>
      <c r="AF123" s="56"/>
      <c r="AG123" s="54"/>
      <c r="AH123" s="54"/>
      <c r="AI123" s="54"/>
      <c r="AJ123" s="54"/>
      <c r="AK123" s="131">
        <v>11</v>
      </c>
    </row>
    <row r="124" s="131" customFormat="1" ht="11.5" customHeight="1">
      <c r="A124" s="715"/>
      <c r="B124" s="715"/>
      <c r="C124" s="715"/>
      <c r="D124" s="715"/>
      <c r="E124" s="715"/>
      <c r="F124" s="57"/>
      <c r="G124" s="57"/>
      <c r="H124" s="131"/>
      <c r="N124" s="53"/>
      <c r="P124" s="53"/>
      <c r="Q124" s="57"/>
      <c r="R124" s="57"/>
      <c r="S124" s="53"/>
      <c r="T124" s="53"/>
      <c r="U124" s="53"/>
      <c r="V124" s="53"/>
      <c r="W124" s="57"/>
      <c r="X124" s="53"/>
      <c r="Y124" s="53"/>
      <c r="Z124" s="716"/>
      <c r="AA124" s="53"/>
      <c r="AB124" s="53"/>
      <c r="AC124" s="53"/>
      <c r="AD124" s="53"/>
      <c r="AE124" s="53"/>
      <c r="AF124" s="56"/>
      <c r="AG124" s="54"/>
      <c r="AH124" s="54"/>
      <c r="AI124" s="54"/>
      <c r="AJ124" s="54"/>
      <c r="AK124" s="131">
        <v>11</v>
      </c>
    </row>
    <row r="125" s="131" customFormat="1" ht="11.5" customHeight="1">
      <c r="A125" s="715"/>
      <c r="B125" s="715"/>
      <c r="C125" s="715"/>
      <c r="D125" s="715"/>
      <c r="E125" s="715"/>
      <c r="F125" s="57"/>
      <c r="G125" s="57"/>
      <c r="H125" s="131"/>
      <c r="N125" s="53"/>
      <c r="P125" s="53"/>
      <c r="Q125" s="57"/>
      <c r="R125" s="57"/>
      <c r="S125" s="53"/>
      <c r="T125" s="53"/>
      <c r="U125" s="53"/>
      <c r="V125" s="53"/>
      <c r="W125" s="57"/>
      <c r="X125" s="53"/>
      <c r="Y125" s="53"/>
      <c r="Z125" s="716"/>
      <c r="AA125" s="53"/>
      <c r="AB125" s="53"/>
      <c r="AC125" s="53"/>
      <c r="AD125" s="53"/>
      <c r="AE125" s="53"/>
      <c r="AF125" s="56"/>
      <c r="AG125" s="54"/>
      <c r="AH125" s="54"/>
      <c r="AI125" s="54"/>
      <c r="AJ125" s="54"/>
      <c r="AK125" s="131">
        <v>11</v>
      </c>
    </row>
    <row r="126" s="131" customFormat="1" ht="11.5" customHeight="1">
      <c r="A126" s="715"/>
      <c r="B126" s="715"/>
      <c r="C126" s="715"/>
      <c r="D126" s="715"/>
      <c r="E126" s="715"/>
      <c r="F126" s="57"/>
      <c r="G126" s="57"/>
      <c r="H126" s="131"/>
      <c r="N126" s="53"/>
      <c r="P126" s="53"/>
      <c r="Q126" s="57"/>
      <c r="R126" s="57"/>
      <c r="S126" s="53"/>
      <c r="T126" s="53"/>
      <c r="U126" s="53"/>
      <c r="V126" s="53"/>
      <c r="W126" s="57"/>
      <c r="X126" s="53"/>
      <c r="Y126" s="53"/>
      <c r="Z126" s="716"/>
      <c r="AA126" s="53"/>
      <c r="AB126" s="53"/>
      <c r="AC126" s="53"/>
      <c r="AD126" s="53"/>
      <c r="AE126" s="53"/>
      <c r="AF126" s="56"/>
      <c r="AG126" s="54"/>
      <c r="AH126" s="54"/>
      <c r="AI126" s="54"/>
      <c r="AJ126" s="54"/>
      <c r="AK126" s="131">
        <v>11</v>
      </c>
    </row>
    <row r="127" s="131" customFormat="1" ht="11.5" customHeight="1">
      <c r="A127" s="715"/>
      <c r="B127" s="715"/>
      <c r="C127" s="715"/>
      <c r="D127" s="715"/>
      <c r="E127" s="715"/>
      <c r="F127" s="57"/>
      <c r="G127" s="57"/>
      <c r="H127" s="131"/>
      <c r="N127" s="53"/>
      <c r="P127" s="53"/>
      <c r="Q127" s="57"/>
      <c r="R127" s="57"/>
      <c r="S127" s="53"/>
      <c r="T127" s="53"/>
      <c r="U127" s="53"/>
      <c r="V127" s="53"/>
      <c r="W127" s="57"/>
      <c r="X127" s="53"/>
      <c r="Y127" s="53"/>
      <c r="Z127" s="716"/>
      <c r="AA127" s="53"/>
      <c r="AB127" s="53"/>
      <c r="AC127" s="53"/>
      <c r="AD127" s="53"/>
      <c r="AE127" s="53"/>
      <c r="AF127" s="56"/>
      <c r="AG127" s="54"/>
      <c r="AH127" s="54"/>
      <c r="AI127" s="54"/>
      <c r="AJ127" s="54"/>
      <c r="AK127" s="131">
        <v>11</v>
      </c>
    </row>
    <row r="128" s="131" customFormat="1" ht="11.5" customHeight="1">
      <c r="A128" s="715"/>
      <c r="B128" s="715"/>
      <c r="C128" s="715"/>
      <c r="D128" s="715"/>
      <c r="E128" s="715"/>
      <c r="F128" s="57"/>
      <c r="G128" s="57"/>
      <c r="H128" s="131"/>
      <c r="N128" s="53"/>
      <c r="P128" s="53"/>
      <c r="Q128" s="57"/>
      <c r="R128" s="57"/>
      <c r="S128" s="53"/>
      <c r="T128" s="53"/>
      <c r="U128" s="53"/>
      <c r="V128" s="53"/>
      <c r="W128" s="57"/>
      <c r="X128" s="53"/>
      <c r="Y128" s="53"/>
      <c r="Z128" s="716"/>
      <c r="AA128" s="53"/>
      <c r="AB128" s="53"/>
      <c r="AC128" s="53"/>
      <c r="AD128" s="53"/>
      <c r="AE128" s="53"/>
      <c r="AF128" s="56"/>
      <c r="AG128" s="54"/>
      <c r="AH128" s="54"/>
      <c r="AI128" s="54"/>
      <c r="AJ128" s="54"/>
      <c r="AK128" s="131">
        <v>11</v>
      </c>
    </row>
    <row r="129" s="131" customFormat="1" ht="11.5" customHeight="1">
      <c r="A129" s="715"/>
      <c r="B129" s="715"/>
      <c r="C129" s="715"/>
      <c r="D129" s="715"/>
      <c r="E129" s="715"/>
      <c r="F129" s="57"/>
      <c r="G129" s="57"/>
      <c r="H129" s="131"/>
      <c r="N129" s="53"/>
      <c r="P129" s="53"/>
      <c r="Q129" s="57"/>
      <c r="R129" s="57"/>
      <c r="S129" s="53"/>
      <c r="T129" s="53"/>
      <c r="U129" s="53"/>
      <c r="V129" s="53"/>
      <c r="W129" s="57"/>
      <c r="X129" s="53"/>
      <c r="Y129" s="53"/>
      <c r="Z129" s="716"/>
      <c r="AA129" s="53"/>
      <c r="AB129" s="53"/>
      <c r="AC129" s="53"/>
      <c r="AD129" s="53"/>
      <c r="AE129" s="53"/>
      <c r="AF129" s="56"/>
      <c r="AG129" s="54"/>
      <c r="AH129" s="54"/>
      <c r="AI129" s="54"/>
      <c r="AJ129" s="54"/>
      <c r="AK129" s="131">
        <v>11</v>
      </c>
    </row>
    <row r="130" s="131" customFormat="1" ht="11.5" customHeight="1">
      <c r="A130" s="715"/>
      <c r="B130" s="715"/>
      <c r="C130" s="715"/>
      <c r="D130" s="715"/>
      <c r="E130" s="715"/>
      <c r="F130" s="57"/>
      <c r="G130" s="57"/>
      <c r="H130" s="131"/>
      <c r="N130" s="53"/>
      <c r="P130" s="53"/>
      <c r="Q130" s="57"/>
      <c r="R130" s="57"/>
      <c r="S130" s="53"/>
      <c r="T130" s="53"/>
      <c r="U130" s="53"/>
      <c r="V130" s="53"/>
      <c r="W130" s="57"/>
      <c r="X130" s="53"/>
      <c r="Y130" s="53"/>
      <c r="Z130" s="716"/>
      <c r="AA130" s="53"/>
      <c r="AB130" s="53"/>
      <c r="AC130" s="53"/>
      <c r="AD130" s="53"/>
      <c r="AE130" s="53"/>
      <c r="AF130" s="56"/>
      <c r="AG130" s="54"/>
      <c r="AH130" s="54"/>
      <c r="AI130" s="54"/>
      <c r="AJ130" s="54"/>
      <c r="AK130" s="131">
        <v>11</v>
      </c>
    </row>
    <row r="131" s="131" customFormat="1" ht="11.5" customHeight="1">
      <c r="A131" s="715"/>
      <c r="B131" s="715"/>
      <c r="C131" s="715"/>
      <c r="D131" s="715"/>
      <c r="E131" s="715"/>
      <c r="F131" s="57"/>
      <c r="G131" s="57"/>
      <c r="H131" s="131"/>
      <c r="N131" s="53"/>
      <c r="P131" s="53"/>
      <c r="Q131" s="57"/>
      <c r="R131" s="57"/>
      <c r="S131" s="53"/>
      <c r="T131" s="53"/>
      <c r="U131" s="53"/>
      <c r="V131" s="53"/>
      <c r="W131" s="57"/>
      <c r="X131" s="53"/>
      <c r="Y131" s="53"/>
      <c r="Z131" s="716"/>
      <c r="AA131" s="53"/>
      <c r="AB131" s="53"/>
      <c r="AC131" s="53"/>
      <c r="AD131" s="53"/>
      <c r="AE131" s="53"/>
      <c r="AF131" s="56"/>
      <c r="AG131" s="54"/>
      <c r="AH131" s="54"/>
      <c r="AI131" s="54"/>
      <c r="AJ131" s="54"/>
      <c r="AK131" s="131">
        <v>11</v>
      </c>
    </row>
    <row r="132" s="131" customFormat="1" ht="11.5" customHeight="1">
      <c r="A132" s="715"/>
      <c r="B132" s="715"/>
      <c r="C132" s="715"/>
      <c r="D132" s="715"/>
      <c r="E132" s="715"/>
      <c r="F132" s="57"/>
      <c r="G132" s="57"/>
      <c r="H132" s="131"/>
      <c r="N132" s="53"/>
      <c r="P132" s="53"/>
      <c r="Q132" s="57"/>
      <c r="R132" s="57"/>
      <c r="S132" s="53"/>
      <c r="T132" s="53"/>
      <c r="U132" s="53"/>
      <c r="V132" s="53"/>
      <c r="W132" s="57"/>
      <c r="X132" s="53"/>
      <c r="Y132" s="53"/>
      <c r="Z132" s="716"/>
      <c r="AA132" s="53"/>
      <c r="AB132" s="53"/>
      <c r="AC132" s="53"/>
      <c r="AD132" s="53"/>
      <c r="AE132" s="53"/>
      <c r="AF132" s="56"/>
      <c r="AG132" s="54"/>
      <c r="AH132" s="54"/>
      <c r="AI132" s="54"/>
      <c r="AJ132" s="54"/>
      <c r="AK132" s="131">
        <v>11</v>
      </c>
    </row>
    <row r="133" s="131" customFormat="1" ht="11.5" customHeight="1">
      <c r="A133" s="715"/>
      <c r="B133" s="715"/>
      <c r="C133" s="715"/>
      <c r="D133" s="715"/>
      <c r="E133" s="715"/>
      <c r="F133" s="57"/>
      <c r="G133" s="57"/>
      <c r="H133" s="131"/>
      <c r="N133" s="53"/>
      <c r="P133" s="53"/>
      <c r="Q133" s="57"/>
      <c r="R133" s="57"/>
      <c r="S133" s="53"/>
      <c r="T133" s="53"/>
      <c r="U133" s="53"/>
      <c r="V133" s="53"/>
      <c r="W133" s="57"/>
      <c r="X133" s="53"/>
      <c r="Y133" s="53"/>
      <c r="Z133" s="716"/>
      <c r="AA133" s="53"/>
      <c r="AB133" s="53"/>
      <c r="AC133" s="53"/>
      <c r="AD133" s="53"/>
      <c r="AE133" s="53"/>
      <c r="AF133" s="56"/>
      <c r="AG133" s="54"/>
      <c r="AH133" s="54"/>
      <c r="AI133" s="54"/>
      <c r="AJ133" s="54"/>
      <c r="AK133" s="131">
        <v>11</v>
      </c>
    </row>
    <row r="134" s="131" customFormat="1" ht="11.5" customHeight="1">
      <c r="A134" s="715"/>
      <c r="B134" s="715"/>
      <c r="C134" s="715"/>
      <c r="D134" s="715"/>
      <c r="E134" s="715"/>
      <c r="F134" s="57"/>
      <c r="G134" s="57"/>
      <c r="H134" s="131"/>
      <c r="N134" s="53"/>
      <c r="P134" s="53"/>
      <c r="Q134" s="57"/>
      <c r="R134" s="57"/>
      <c r="S134" s="53"/>
      <c r="T134" s="53"/>
      <c r="U134" s="53"/>
      <c r="V134" s="53"/>
      <c r="W134" s="57"/>
      <c r="X134" s="53"/>
      <c r="Y134" s="53"/>
      <c r="Z134" s="716"/>
      <c r="AA134" s="53"/>
      <c r="AB134" s="53"/>
      <c r="AC134" s="53"/>
      <c r="AD134" s="53"/>
      <c r="AE134" s="53"/>
      <c r="AF134" s="56"/>
      <c r="AG134" s="54"/>
      <c r="AH134" s="54"/>
      <c r="AI134" s="54"/>
      <c r="AJ134" s="54"/>
      <c r="AK134" s="131">
        <v>11</v>
      </c>
    </row>
    <row r="135" s="131" customFormat="1" ht="11.5" customHeight="1">
      <c r="A135" s="715"/>
      <c r="B135" s="715"/>
      <c r="C135" s="715"/>
      <c r="D135" s="715"/>
      <c r="E135" s="715"/>
      <c r="F135" s="57"/>
      <c r="G135" s="57"/>
      <c r="H135" s="131"/>
      <c r="N135" s="53"/>
      <c r="P135" s="53"/>
      <c r="Q135" s="57"/>
      <c r="R135" s="57"/>
      <c r="S135" s="53"/>
      <c r="T135" s="53"/>
      <c r="U135" s="53"/>
      <c r="V135" s="53"/>
      <c r="W135" s="57"/>
      <c r="X135" s="53"/>
      <c r="Y135" s="53"/>
      <c r="Z135" s="716"/>
      <c r="AA135" s="53"/>
      <c r="AB135" s="53"/>
      <c r="AC135" s="53"/>
      <c r="AD135" s="53"/>
      <c r="AE135" s="53"/>
      <c r="AF135" s="56"/>
      <c r="AG135" s="54"/>
      <c r="AH135" s="54"/>
      <c r="AI135" s="54"/>
      <c r="AJ135" s="54"/>
      <c r="AK135" s="131">
        <v>11</v>
      </c>
    </row>
    <row r="136" s="131" customFormat="1" ht="11.5" customHeight="1">
      <c r="A136" s="715"/>
      <c r="B136" s="715"/>
      <c r="C136" s="715"/>
      <c r="D136" s="715"/>
      <c r="E136" s="715"/>
      <c r="F136" s="57"/>
      <c r="G136" s="57"/>
      <c r="H136" s="131"/>
      <c r="N136" s="53"/>
      <c r="P136" s="53"/>
      <c r="Q136" s="57"/>
      <c r="R136" s="57"/>
      <c r="S136" s="53"/>
      <c r="T136" s="53"/>
      <c r="U136" s="53"/>
      <c r="V136" s="53"/>
      <c r="W136" s="57"/>
      <c r="X136" s="53"/>
      <c r="Y136" s="53"/>
      <c r="Z136" s="716"/>
      <c r="AA136" s="53"/>
      <c r="AB136" s="53"/>
      <c r="AC136" s="53"/>
      <c r="AD136" s="53"/>
      <c r="AE136" s="53"/>
      <c r="AF136" s="56"/>
      <c r="AG136" s="54"/>
      <c r="AH136" s="54"/>
      <c r="AI136" s="54"/>
      <c r="AJ136" s="54"/>
      <c r="AK136" s="131">
        <v>11</v>
      </c>
    </row>
    <row r="137" s="131" customFormat="1" ht="11.5" customHeight="1">
      <c r="A137" s="715"/>
      <c r="B137" s="715"/>
      <c r="C137" s="715"/>
      <c r="D137" s="715"/>
      <c r="E137" s="715"/>
      <c r="F137" s="57"/>
      <c r="G137" s="57"/>
      <c r="H137" s="131"/>
      <c r="N137" s="53"/>
      <c r="P137" s="53"/>
      <c r="Q137" s="57"/>
      <c r="R137" s="57"/>
      <c r="S137" s="53"/>
      <c r="T137" s="53"/>
      <c r="U137" s="53"/>
      <c r="V137" s="53"/>
      <c r="W137" s="57"/>
      <c r="X137" s="53"/>
      <c r="Y137" s="53"/>
      <c r="Z137" s="716"/>
      <c r="AA137" s="53"/>
      <c r="AB137" s="53"/>
      <c r="AC137" s="53"/>
      <c r="AD137" s="53"/>
      <c r="AE137" s="53"/>
      <c r="AF137" s="56"/>
      <c r="AG137" s="54"/>
      <c r="AH137" s="54"/>
      <c r="AI137" s="54"/>
      <c r="AJ137" s="54"/>
      <c r="AK137" s="131">
        <v>11</v>
      </c>
    </row>
    <row r="138" s="131" customFormat="1" ht="11.5" customHeight="1">
      <c r="A138" s="715"/>
      <c r="B138" s="715"/>
      <c r="C138" s="715"/>
      <c r="D138" s="715"/>
      <c r="E138" s="715"/>
      <c r="F138" s="57"/>
      <c r="G138" s="57"/>
      <c r="H138" s="131"/>
      <c r="N138" s="53"/>
      <c r="P138" s="53"/>
      <c r="Q138" s="57"/>
      <c r="R138" s="57"/>
      <c r="S138" s="53"/>
      <c r="T138" s="53"/>
      <c r="U138" s="53"/>
      <c r="V138" s="53"/>
      <c r="W138" s="57"/>
      <c r="X138" s="53"/>
      <c r="Y138" s="53"/>
      <c r="Z138" s="716"/>
      <c r="AA138" s="53"/>
      <c r="AB138" s="53"/>
      <c r="AC138" s="53"/>
      <c r="AD138" s="53"/>
      <c r="AE138" s="53"/>
      <c r="AF138" s="56"/>
      <c r="AG138" s="54"/>
      <c r="AH138" s="54"/>
      <c r="AI138" s="54"/>
      <c r="AJ138" s="54"/>
      <c r="AK138" s="131">
        <v>11</v>
      </c>
    </row>
    <row r="139" s="131" customFormat="1" ht="11.5" customHeight="1">
      <c r="A139" s="715"/>
      <c r="B139" s="715"/>
      <c r="C139" s="715"/>
      <c r="D139" s="715"/>
      <c r="E139" s="715"/>
      <c r="F139" s="57"/>
      <c r="G139" s="57"/>
      <c r="H139" s="131"/>
      <c r="N139" s="53"/>
      <c r="P139" s="53"/>
      <c r="Q139" s="57"/>
      <c r="R139" s="57"/>
      <c r="S139" s="53"/>
      <c r="T139" s="53"/>
      <c r="U139" s="53"/>
      <c r="V139" s="53"/>
      <c r="W139" s="57"/>
      <c r="X139" s="53"/>
      <c r="Y139" s="53"/>
      <c r="Z139" s="716"/>
      <c r="AA139" s="53"/>
      <c r="AB139" s="53"/>
      <c r="AC139" s="53"/>
      <c r="AD139" s="53"/>
      <c r="AE139" s="53"/>
      <c r="AF139" s="56"/>
      <c r="AG139" s="54"/>
      <c r="AH139" s="54"/>
      <c r="AI139" s="54"/>
      <c r="AJ139" s="54"/>
      <c r="AK139" s="131">
        <v>11</v>
      </c>
    </row>
    <row r="140" s="131" customFormat="1" ht="11.5" customHeight="1">
      <c r="A140" s="715"/>
      <c r="B140" s="715"/>
      <c r="C140" s="715"/>
      <c r="D140" s="715"/>
      <c r="E140" s="715"/>
      <c r="F140" s="57"/>
      <c r="G140" s="57"/>
      <c r="H140" s="131"/>
      <c r="N140" s="53"/>
      <c r="P140" s="53"/>
      <c r="Q140" s="57"/>
      <c r="R140" s="57"/>
      <c r="S140" s="53"/>
      <c r="T140" s="53"/>
      <c r="U140" s="53"/>
      <c r="V140" s="53"/>
      <c r="W140" s="57"/>
      <c r="X140" s="53"/>
      <c r="Y140" s="53"/>
      <c r="Z140" s="716"/>
      <c r="AA140" s="53"/>
      <c r="AB140" s="53"/>
      <c r="AC140" s="53"/>
      <c r="AD140" s="53"/>
      <c r="AE140" s="53"/>
      <c r="AF140" s="56"/>
      <c r="AG140" s="54"/>
      <c r="AH140" s="54"/>
      <c r="AI140" s="54"/>
      <c r="AJ140" s="54"/>
      <c r="AK140" s="131">
        <v>11</v>
      </c>
    </row>
    <row r="141" s="131" customFormat="1" ht="11.5" customHeight="1">
      <c r="A141" s="715"/>
      <c r="B141" s="715"/>
      <c r="C141" s="715"/>
      <c r="D141" s="715"/>
      <c r="E141" s="715"/>
      <c r="F141" s="57"/>
      <c r="G141" s="57"/>
      <c r="H141" s="131"/>
      <c r="N141" s="53"/>
      <c r="P141" s="53"/>
      <c r="Q141" s="57"/>
      <c r="R141" s="57"/>
      <c r="S141" s="53"/>
      <c r="T141" s="53"/>
      <c r="U141" s="53"/>
      <c r="V141" s="53"/>
      <c r="W141" s="57"/>
      <c r="X141" s="53"/>
      <c r="Y141" s="53"/>
      <c r="Z141" s="716"/>
      <c r="AA141" s="53"/>
      <c r="AB141" s="53"/>
      <c r="AC141" s="53"/>
      <c r="AD141" s="53"/>
      <c r="AE141" s="53"/>
      <c r="AF141" s="56"/>
      <c r="AG141" s="54"/>
      <c r="AH141" s="54"/>
      <c r="AI141" s="54"/>
      <c r="AJ141" s="54"/>
      <c r="AK141" s="131">
        <v>11</v>
      </c>
    </row>
    <row r="142" s="131" customFormat="1" ht="11.5" customHeight="1">
      <c r="A142" s="715"/>
      <c r="B142" s="715"/>
      <c r="C142" s="715"/>
      <c r="D142" s="715"/>
      <c r="E142" s="715"/>
      <c r="F142" s="57"/>
      <c r="G142" s="57"/>
      <c r="H142" s="131"/>
      <c r="N142" s="53"/>
      <c r="P142" s="53"/>
      <c r="Q142" s="57"/>
      <c r="R142" s="57"/>
      <c r="S142" s="53"/>
      <c r="T142" s="53"/>
      <c r="U142" s="53"/>
      <c r="V142" s="53"/>
      <c r="W142" s="57"/>
      <c r="X142" s="53"/>
      <c r="Y142" s="53"/>
      <c r="Z142" s="716"/>
      <c r="AA142" s="53"/>
      <c r="AB142" s="53"/>
      <c r="AC142" s="53"/>
      <c r="AD142" s="53"/>
      <c r="AE142" s="53"/>
      <c r="AF142" s="56"/>
      <c r="AG142" s="54"/>
      <c r="AH142" s="54"/>
      <c r="AI142" s="54"/>
      <c r="AJ142" s="54"/>
      <c r="AK142" s="131">
        <v>11</v>
      </c>
    </row>
    <row r="143" s="131" customFormat="1" ht="11.5" customHeight="1">
      <c r="A143" s="715"/>
      <c r="B143" s="715"/>
      <c r="C143" s="715"/>
      <c r="D143" s="715"/>
      <c r="E143" s="715"/>
      <c r="F143" s="57"/>
      <c r="G143" s="57"/>
      <c r="H143" s="131"/>
      <c r="N143" s="53"/>
      <c r="P143" s="53"/>
      <c r="Q143" s="57"/>
      <c r="R143" s="57"/>
      <c r="S143" s="53"/>
      <c r="T143" s="53"/>
      <c r="U143" s="53"/>
      <c r="V143" s="53"/>
      <c r="W143" s="57"/>
      <c r="X143" s="53"/>
      <c r="Y143" s="53"/>
      <c r="Z143" s="716"/>
      <c r="AA143" s="53"/>
      <c r="AB143" s="53"/>
      <c r="AC143" s="53"/>
      <c r="AD143" s="53"/>
      <c r="AE143" s="53"/>
      <c r="AF143" s="56"/>
      <c r="AG143" s="54"/>
      <c r="AH143" s="54"/>
      <c r="AI143" s="54"/>
      <c r="AJ143" s="54"/>
      <c r="AK143" s="131">
        <v>11</v>
      </c>
    </row>
    <row r="144" s="131" customFormat="1" ht="11.5" customHeight="1">
      <c r="A144" s="715"/>
      <c r="B144" s="715"/>
      <c r="C144" s="715"/>
      <c r="D144" s="715"/>
      <c r="E144" s="715"/>
      <c r="F144" s="57"/>
      <c r="G144" s="57"/>
      <c r="H144" s="131"/>
      <c r="N144" s="53"/>
      <c r="P144" s="53"/>
      <c r="Q144" s="57"/>
      <c r="R144" s="57"/>
      <c r="S144" s="53"/>
      <c r="T144" s="53"/>
      <c r="U144" s="53"/>
      <c r="V144" s="53"/>
      <c r="W144" s="57"/>
      <c r="X144" s="53"/>
      <c r="Y144" s="53"/>
      <c r="Z144" s="716"/>
      <c r="AA144" s="53"/>
      <c r="AB144" s="53"/>
      <c r="AC144" s="53"/>
      <c r="AD144" s="53"/>
      <c r="AE144" s="53"/>
      <c r="AF144" s="56"/>
      <c r="AG144" s="54"/>
      <c r="AH144" s="54"/>
      <c r="AI144" s="54"/>
      <c r="AJ144" s="54"/>
      <c r="AK144" s="131">
        <v>11</v>
      </c>
    </row>
    <row r="145" s="131" customFormat="1" ht="11.5" customHeight="1">
      <c r="A145" s="715"/>
      <c r="B145" s="715"/>
      <c r="C145" s="715"/>
      <c r="D145" s="715"/>
      <c r="E145" s="715"/>
      <c r="F145" s="57"/>
      <c r="G145" s="57"/>
      <c r="H145" s="131"/>
      <c r="N145" s="53"/>
      <c r="P145" s="53"/>
      <c r="Q145" s="57"/>
      <c r="R145" s="57"/>
      <c r="S145" s="53"/>
      <c r="T145" s="53"/>
      <c r="U145" s="53"/>
      <c r="V145" s="53"/>
      <c r="W145" s="57"/>
      <c r="X145" s="53"/>
      <c r="Y145" s="53"/>
      <c r="Z145" s="716"/>
      <c r="AA145" s="53"/>
      <c r="AB145" s="53"/>
      <c r="AC145" s="53"/>
      <c r="AD145" s="53"/>
      <c r="AE145" s="53"/>
      <c r="AF145" s="56"/>
      <c r="AG145" s="54"/>
      <c r="AH145" s="54"/>
      <c r="AI145" s="54"/>
      <c r="AJ145" s="54"/>
      <c r="AK145" s="131">
        <v>11</v>
      </c>
    </row>
    <row r="146" s="131" customFormat="1" ht="11.5" customHeight="1">
      <c r="A146" s="715"/>
      <c r="B146" s="715"/>
      <c r="C146" s="715"/>
      <c r="D146" s="715"/>
      <c r="E146" s="715"/>
      <c r="F146" s="57"/>
      <c r="G146" s="57"/>
      <c r="H146" s="131"/>
      <c r="N146" s="53"/>
      <c r="P146" s="53"/>
      <c r="Q146" s="57"/>
      <c r="R146" s="57"/>
      <c r="S146" s="53"/>
      <c r="T146" s="53"/>
      <c r="U146" s="53"/>
      <c r="V146" s="53"/>
      <c r="W146" s="57"/>
      <c r="X146" s="53"/>
      <c r="Y146" s="53"/>
      <c r="Z146" s="716"/>
      <c r="AA146" s="53"/>
      <c r="AB146" s="53"/>
      <c r="AC146" s="53"/>
      <c r="AD146" s="53"/>
      <c r="AE146" s="53"/>
      <c r="AF146" s="56"/>
      <c r="AG146" s="54"/>
      <c r="AH146" s="54"/>
      <c r="AI146" s="54"/>
      <c r="AJ146" s="54"/>
      <c r="AK146" s="131">
        <v>11</v>
      </c>
    </row>
    <row r="147" s="131" customFormat="1" ht="11.5" customHeight="1">
      <c r="A147" s="715"/>
      <c r="B147" s="715"/>
      <c r="C147" s="715"/>
      <c r="D147" s="715"/>
      <c r="E147" s="715"/>
      <c r="F147" s="57"/>
      <c r="G147" s="57"/>
      <c r="H147" s="131"/>
      <c r="N147" s="53"/>
      <c r="P147" s="53"/>
      <c r="Q147" s="57"/>
      <c r="R147" s="57"/>
      <c r="S147" s="53"/>
      <c r="T147" s="53"/>
      <c r="U147" s="53"/>
      <c r="V147" s="53"/>
      <c r="W147" s="57"/>
      <c r="X147" s="53"/>
      <c r="Y147" s="53"/>
      <c r="Z147" s="716"/>
      <c r="AA147" s="53"/>
      <c r="AB147" s="53"/>
      <c r="AC147" s="53"/>
      <c r="AD147" s="53"/>
      <c r="AE147" s="53"/>
      <c r="AF147" s="56"/>
      <c r="AG147" s="54"/>
      <c r="AH147" s="54"/>
      <c r="AI147" s="54"/>
      <c r="AJ147" s="54"/>
      <c r="AK147" s="131">
        <v>11</v>
      </c>
    </row>
    <row r="148" s="131" customFormat="1" ht="11.5" customHeight="1">
      <c r="A148" s="715"/>
      <c r="B148" s="715"/>
      <c r="C148" s="715"/>
      <c r="D148" s="715"/>
      <c r="E148" s="715"/>
      <c r="F148" s="57"/>
      <c r="G148" s="57"/>
      <c r="H148" s="131"/>
      <c r="N148" s="53"/>
      <c r="P148" s="53"/>
      <c r="Q148" s="57"/>
      <c r="R148" s="57"/>
      <c r="S148" s="53"/>
      <c r="T148" s="53"/>
      <c r="U148" s="53"/>
      <c r="V148" s="53"/>
      <c r="W148" s="57"/>
      <c r="X148" s="53"/>
      <c r="Y148" s="53"/>
      <c r="Z148" s="716"/>
      <c r="AA148" s="53"/>
      <c r="AB148" s="53"/>
      <c r="AC148" s="53"/>
      <c r="AD148" s="53"/>
      <c r="AE148" s="53"/>
      <c r="AF148" s="56"/>
      <c r="AG148" s="54"/>
      <c r="AH148" s="54"/>
      <c r="AI148" s="54"/>
      <c r="AJ148" s="54"/>
      <c r="AK148" s="131">
        <v>11</v>
      </c>
    </row>
    <row r="149" s="131" customFormat="1" ht="11.5" customHeight="1">
      <c r="A149" s="715"/>
      <c r="B149" s="715"/>
      <c r="C149" s="715"/>
      <c r="D149" s="715"/>
      <c r="E149" s="715"/>
      <c r="F149" s="57"/>
      <c r="G149" s="57"/>
      <c r="H149" s="131"/>
      <c r="N149" s="53"/>
      <c r="P149" s="53"/>
      <c r="Q149" s="57"/>
      <c r="R149" s="57"/>
      <c r="S149" s="53"/>
      <c r="T149" s="53"/>
      <c r="U149" s="53"/>
      <c r="V149" s="53"/>
      <c r="W149" s="57"/>
      <c r="X149" s="53"/>
      <c r="Y149" s="53"/>
      <c r="Z149" s="716"/>
      <c r="AA149" s="53"/>
      <c r="AB149" s="53"/>
      <c r="AC149" s="53"/>
      <c r="AD149" s="53"/>
      <c r="AE149" s="53"/>
      <c r="AF149" s="56"/>
      <c r="AG149" s="54"/>
      <c r="AH149" s="54"/>
      <c r="AI149" s="54"/>
      <c r="AJ149" s="54"/>
      <c r="AK149" s="131">
        <v>11</v>
      </c>
    </row>
    <row r="150" s="131" customFormat="1" ht="11.5" customHeight="1">
      <c r="A150" s="715"/>
      <c r="B150" s="715"/>
      <c r="C150" s="715"/>
      <c r="D150" s="715"/>
      <c r="E150" s="715"/>
      <c r="F150" s="57"/>
      <c r="G150" s="57"/>
      <c r="H150" s="131"/>
      <c r="N150" s="53"/>
      <c r="P150" s="53"/>
      <c r="Q150" s="57"/>
      <c r="R150" s="57"/>
      <c r="S150" s="53"/>
      <c r="T150" s="53"/>
      <c r="U150" s="53"/>
      <c r="V150" s="53"/>
      <c r="W150" s="57"/>
      <c r="X150" s="53"/>
      <c r="Y150" s="53"/>
      <c r="Z150" s="716"/>
      <c r="AA150" s="53"/>
      <c r="AB150" s="53"/>
      <c r="AC150" s="53"/>
      <c r="AD150" s="53"/>
      <c r="AE150" s="53"/>
      <c r="AF150" s="56"/>
      <c r="AG150" s="54"/>
      <c r="AH150" s="54"/>
      <c r="AI150" s="54"/>
      <c r="AJ150" s="54"/>
      <c r="AK150" s="131">
        <v>11</v>
      </c>
    </row>
    <row r="151" s="131" customFormat="1" ht="11.5" customHeight="1">
      <c r="A151" s="715"/>
      <c r="B151" s="715"/>
      <c r="C151" s="715"/>
      <c r="D151" s="715"/>
      <c r="E151" s="715"/>
      <c r="F151" s="57"/>
      <c r="G151" s="57"/>
      <c r="H151" s="131"/>
      <c r="N151" s="53"/>
      <c r="P151" s="53"/>
      <c r="Q151" s="57"/>
      <c r="R151" s="57"/>
      <c r="S151" s="53"/>
      <c r="T151" s="53"/>
      <c r="U151" s="53"/>
      <c r="V151" s="53"/>
      <c r="W151" s="57"/>
      <c r="X151" s="53"/>
      <c r="Y151" s="53"/>
      <c r="Z151" s="716"/>
      <c r="AA151" s="53"/>
      <c r="AB151" s="53"/>
      <c r="AC151" s="53"/>
      <c r="AD151" s="53"/>
      <c r="AE151" s="53"/>
      <c r="AF151" s="56"/>
      <c r="AG151" s="54"/>
      <c r="AH151" s="54"/>
      <c r="AI151" s="54"/>
      <c r="AJ151" s="54"/>
      <c r="AK151" s="131">
        <v>11</v>
      </c>
    </row>
    <row r="152" s="131" customFormat="1" ht="11.5" customHeight="1">
      <c r="A152" s="715"/>
      <c r="B152" s="715"/>
      <c r="C152" s="715"/>
      <c r="D152" s="715"/>
      <c r="E152" s="715"/>
      <c r="F152" s="57"/>
      <c r="G152" s="57"/>
      <c r="H152" s="131"/>
      <c r="N152" s="53"/>
      <c r="P152" s="53"/>
      <c r="Q152" s="57"/>
      <c r="R152" s="57"/>
      <c r="S152" s="53"/>
      <c r="T152" s="53"/>
      <c r="U152" s="53"/>
      <c r="V152" s="53"/>
      <c r="W152" s="57"/>
      <c r="X152" s="53"/>
      <c r="Y152" s="53"/>
      <c r="Z152" s="716"/>
      <c r="AA152" s="53"/>
      <c r="AB152" s="53"/>
      <c r="AC152" s="53"/>
      <c r="AD152" s="53"/>
      <c r="AE152" s="53"/>
      <c r="AF152" s="56"/>
      <c r="AG152" s="54"/>
      <c r="AH152" s="54"/>
      <c r="AI152" s="54"/>
      <c r="AJ152" s="54"/>
      <c r="AK152" s="131">
        <v>11</v>
      </c>
    </row>
    <row r="153" s="131" customFormat="1" ht="11.5" customHeight="1">
      <c r="A153" s="715"/>
      <c r="B153" s="715"/>
      <c r="C153" s="715"/>
      <c r="D153" s="715"/>
      <c r="E153" s="715"/>
      <c r="F153" s="57"/>
      <c r="G153" s="57"/>
      <c r="H153" s="131"/>
      <c r="N153" s="53"/>
      <c r="P153" s="53"/>
      <c r="Q153" s="57"/>
      <c r="R153" s="57"/>
      <c r="S153" s="53"/>
      <c r="T153" s="53"/>
      <c r="U153" s="53"/>
      <c r="V153" s="53"/>
      <c r="W153" s="57"/>
      <c r="X153" s="53"/>
      <c r="Y153" s="53"/>
      <c r="Z153" s="716"/>
      <c r="AA153" s="53"/>
      <c r="AB153" s="53"/>
      <c r="AC153" s="53"/>
      <c r="AD153" s="53"/>
      <c r="AE153" s="53"/>
      <c r="AF153" s="56"/>
      <c r="AG153" s="54"/>
      <c r="AH153" s="54"/>
      <c r="AI153" s="54"/>
      <c r="AJ153" s="54"/>
      <c r="AK153" s="131">
        <v>11</v>
      </c>
    </row>
    <row r="154" s="131" customFormat="1" ht="11.5" customHeight="1">
      <c r="A154" s="715"/>
      <c r="B154" s="715"/>
      <c r="C154" s="715"/>
      <c r="D154" s="715"/>
      <c r="E154" s="715"/>
      <c r="F154" s="57"/>
      <c r="G154" s="57"/>
      <c r="H154" s="131"/>
      <c r="N154" s="53"/>
      <c r="P154" s="53"/>
      <c r="Q154" s="57"/>
      <c r="R154" s="57"/>
      <c r="S154" s="53"/>
      <c r="T154" s="53"/>
      <c r="U154" s="53"/>
      <c r="V154" s="53"/>
      <c r="W154" s="57"/>
      <c r="X154" s="53"/>
      <c r="Y154" s="53"/>
      <c r="Z154" s="716"/>
      <c r="AA154" s="53"/>
      <c r="AB154" s="53"/>
      <c r="AC154" s="53"/>
      <c r="AD154" s="53"/>
      <c r="AE154" s="53"/>
      <c r="AF154" s="56"/>
      <c r="AG154" s="54"/>
      <c r="AH154" s="54"/>
      <c r="AI154" s="54"/>
      <c r="AJ154" s="54"/>
      <c r="AK154" s="131">
        <v>11</v>
      </c>
    </row>
    <row r="155" s="131" customFormat="1" ht="11.5" customHeight="1">
      <c r="A155" s="715"/>
      <c r="B155" s="715"/>
      <c r="C155" s="715"/>
      <c r="D155" s="715"/>
      <c r="E155" s="715"/>
      <c r="F155" s="57"/>
      <c r="G155" s="57"/>
      <c r="H155" s="131"/>
      <c r="N155" s="53"/>
      <c r="P155" s="53"/>
      <c r="Q155" s="57"/>
      <c r="R155" s="57"/>
      <c r="S155" s="53"/>
      <c r="T155" s="53"/>
      <c r="U155" s="53"/>
      <c r="V155" s="53"/>
      <c r="W155" s="57"/>
      <c r="X155" s="53"/>
      <c r="Y155" s="53"/>
      <c r="Z155" s="716"/>
      <c r="AA155" s="53"/>
      <c r="AB155" s="53"/>
      <c r="AC155" s="53"/>
      <c r="AD155" s="53"/>
      <c r="AE155" s="53"/>
      <c r="AF155" s="56"/>
      <c r="AG155" s="54"/>
      <c r="AH155" s="54"/>
      <c r="AI155" s="54"/>
      <c r="AJ155" s="54"/>
      <c r="AK155" s="131">
        <v>11</v>
      </c>
    </row>
    <row r="156" s="131" customFormat="1" ht="11.5" customHeight="1">
      <c r="A156" s="715"/>
      <c r="B156" s="715"/>
      <c r="C156" s="715"/>
      <c r="D156" s="715"/>
      <c r="E156" s="715"/>
      <c r="F156" s="57"/>
      <c r="G156" s="57"/>
      <c r="H156" s="131"/>
      <c r="N156" s="53"/>
      <c r="P156" s="53"/>
      <c r="Q156" s="57"/>
      <c r="R156" s="57"/>
      <c r="S156" s="53"/>
      <c r="T156" s="53"/>
      <c r="U156" s="53"/>
      <c r="V156" s="53"/>
      <c r="W156" s="57"/>
      <c r="X156" s="53"/>
      <c r="Y156" s="53"/>
      <c r="Z156" s="716"/>
      <c r="AA156" s="53"/>
      <c r="AB156" s="53"/>
      <c r="AC156" s="53"/>
      <c r="AD156" s="53"/>
      <c r="AE156" s="53"/>
      <c r="AF156" s="56"/>
      <c r="AG156" s="54"/>
      <c r="AH156" s="54"/>
      <c r="AI156" s="54"/>
      <c r="AJ156" s="54"/>
      <c r="AK156" s="131">
        <v>11</v>
      </c>
    </row>
    <row r="157" s="131" customFormat="1" ht="11.5" customHeight="1">
      <c r="A157" s="715"/>
      <c r="B157" s="715"/>
      <c r="C157" s="715"/>
      <c r="D157" s="715"/>
      <c r="E157" s="715"/>
      <c r="F157" s="57"/>
      <c r="G157" s="57"/>
      <c r="H157" s="131"/>
      <c r="N157" s="53"/>
      <c r="P157" s="53"/>
      <c r="Q157" s="57"/>
      <c r="R157" s="57"/>
      <c r="S157" s="53"/>
      <c r="T157" s="53"/>
      <c r="U157" s="53"/>
      <c r="V157" s="53"/>
      <c r="W157" s="57"/>
      <c r="X157" s="53"/>
      <c r="Y157" s="53"/>
      <c r="Z157" s="716"/>
      <c r="AA157" s="53"/>
      <c r="AB157" s="53"/>
      <c r="AC157" s="53"/>
      <c r="AD157" s="53"/>
      <c r="AE157" s="53"/>
      <c r="AF157" s="56"/>
      <c r="AG157" s="54"/>
      <c r="AH157" s="54"/>
      <c r="AI157" s="54"/>
      <c r="AJ157" s="54"/>
      <c r="AK157" s="131">
        <v>11</v>
      </c>
    </row>
    <row r="158" s="131" customFormat="1" ht="11.5" customHeight="1">
      <c r="A158" s="715"/>
      <c r="B158" s="715"/>
      <c r="C158" s="715"/>
      <c r="D158" s="715"/>
      <c r="E158" s="715"/>
      <c r="F158" s="57"/>
      <c r="G158" s="57"/>
      <c r="H158" s="131"/>
      <c r="N158" s="53"/>
      <c r="P158" s="53"/>
      <c r="Q158" s="57"/>
      <c r="R158" s="57"/>
      <c r="S158" s="53"/>
      <c r="T158" s="53"/>
      <c r="U158" s="53"/>
      <c r="V158" s="53"/>
      <c r="W158" s="57"/>
      <c r="X158" s="53"/>
      <c r="Y158" s="53"/>
      <c r="Z158" s="716"/>
      <c r="AA158" s="53"/>
      <c r="AB158" s="53"/>
      <c r="AC158" s="53"/>
      <c r="AD158" s="53"/>
      <c r="AE158" s="53"/>
      <c r="AF158" s="56"/>
      <c r="AG158" s="54"/>
      <c r="AH158" s="54"/>
      <c r="AI158" s="54"/>
      <c r="AJ158" s="54"/>
      <c r="AK158" s="131">
        <v>11</v>
      </c>
    </row>
    <row r="159" s="131" customFormat="1" ht="11.5" customHeight="1">
      <c r="A159" s="715"/>
      <c r="B159" s="715"/>
      <c r="C159" s="715"/>
      <c r="D159" s="715"/>
      <c r="E159" s="715"/>
      <c r="F159" s="57"/>
      <c r="G159" s="57"/>
      <c r="H159" s="131"/>
      <c r="N159" s="53"/>
      <c r="P159" s="53"/>
      <c r="Q159" s="57"/>
      <c r="R159" s="57"/>
      <c r="S159" s="53"/>
      <c r="T159" s="53"/>
      <c r="U159" s="53"/>
      <c r="V159" s="53"/>
      <c r="W159" s="57"/>
      <c r="X159" s="53"/>
      <c r="Y159" s="53"/>
      <c r="Z159" s="716"/>
      <c r="AA159" s="53"/>
      <c r="AB159" s="53"/>
      <c r="AC159" s="53"/>
      <c r="AD159" s="53"/>
      <c r="AE159" s="53"/>
      <c r="AF159" s="56"/>
      <c r="AG159" s="54"/>
      <c r="AH159" s="54"/>
      <c r="AI159" s="54"/>
      <c r="AJ159" s="54"/>
      <c r="AK159" s="131">
        <v>11</v>
      </c>
    </row>
    <row r="160" s="131" customFormat="1" ht="11.5" customHeight="1">
      <c r="A160" s="715"/>
      <c r="B160" s="715"/>
      <c r="C160" s="715"/>
      <c r="D160" s="715"/>
      <c r="E160" s="715"/>
      <c r="F160" s="57"/>
      <c r="G160" s="57"/>
      <c r="H160" s="131"/>
      <c r="N160" s="53"/>
      <c r="P160" s="53"/>
      <c r="Q160" s="57"/>
      <c r="R160" s="57"/>
      <c r="S160" s="53"/>
      <c r="T160" s="53"/>
      <c r="U160" s="53"/>
      <c r="V160" s="53"/>
      <c r="W160" s="57"/>
      <c r="X160" s="53"/>
      <c r="Y160" s="53"/>
      <c r="Z160" s="716"/>
      <c r="AA160" s="53"/>
      <c r="AB160" s="53"/>
      <c r="AC160" s="53"/>
      <c r="AD160" s="53"/>
      <c r="AE160" s="53"/>
      <c r="AF160" s="56"/>
      <c r="AG160" s="54"/>
      <c r="AH160" s="54"/>
      <c r="AI160" s="54"/>
      <c r="AJ160" s="54"/>
      <c r="AK160" s="131">
        <v>11</v>
      </c>
    </row>
    <row r="161" s="131" customFormat="1" ht="11.5" customHeight="1">
      <c r="A161" s="715"/>
      <c r="B161" s="715"/>
      <c r="C161" s="715"/>
      <c r="D161" s="715"/>
      <c r="E161" s="715"/>
      <c r="F161" s="57"/>
      <c r="G161" s="57"/>
      <c r="H161" s="131"/>
      <c r="N161" s="53"/>
      <c r="P161" s="53"/>
      <c r="Q161" s="57"/>
      <c r="R161" s="57"/>
      <c r="S161" s="53"/>
      <c r="T161" s="53"/>
      <c r="U161" s="53"/>
      <c r="V161" s="53"/>
      <c r="W161" s="57"/>
      <c r="X161" s="53"/>
      <c r="Y161" s="53"/>
      <c r="Z161" s="716"/>
      <c r="AA161" s="53"/>
      <c r="AB161" s="53"/>
      <c r="AC161" s="53"/>
      <c r="AD161" s="53"/>
      <c r="AE161" s="53"/>
      <c r="AF161" s="56"/>
      <c r="AG161" s="54"/>
      <c r="AH161" s="54"/>
      <c r="AI161" s="54"/>
      <c r="AJ161" s="54"/>
      <c r="AK161" s="131">
        <v>11</v>
      </c>
    </row>
    <row r="162" s="131" customFormat="1" ht="11.5" customHeight="1">
      <c r="A162" s="715"/>
      <c r="B162" s="715"/>
      <c r="C162" s="715"/>
      <c r="D162" s="715"/>
      <c r="E162" s="715"/>
      <c r="F162" s="57"/>
      <c r="G162" s="57"/>
      <c r="H162" s="131"/>
      <c r="N162" s="53"/>
      <c r="P162" s="53"/>
      <c r="Q162" s="57"/>
      <c r="R162" s="57"/>
      <c r="S162" s="53"/>
      <c r="T162" s="53"/>
      <c r="U162" s="53"/>
      <c r="V162" s="53"/>
      <c r="W162" s="57"/>
      <c r="X162" s="53"/>
      <c r="Y162" s="53"/>
      <c r="Z162" s="716"/>
      <c r="AA162" s="53"/>
      <c r="AB162" s="53"/>
      <c r="AC162" s="53"/>
      <c r="AD162" s="53"/>
      <c r="AE162" s="53"/>
      <c r="AF162" s="56"/>
      <c r="AG162" s="54"/>
      <c r="AH162" s="54"/>
      <c r="AI162" s="54"/>
      <c r="AJ162" s="54"/>
      <c r="AK162" s="131">
        <v>11</v>
      </c>
    </row>
    <row r="163" s="131" customFormat="1" ht="11.5" customHeight="1">
      <c r="A163" s="715"/>
      <c r="B163" s="715"/>
      <c r="C163" s="715"/>
      <c r="D163" s="715"/>
      <c r="E163" s="715"/>
      <c r="F163" s="57"/>
      <c r="G163" s="57"/>
      <c r="H163" s="131"/>
      <c r="N163" s="53"/>
      <c r="P163" s="53"/>
      <c r="Q163" s="57"/>
      <c r="R163" s="57"/>
      <c r="S163" s="53"/>
      <c r="T163" s="53"/>
      <c r="U163" s="53"/>
      <c r="V163" s="53"/>
      <c r="W163" s="57"/>
      <c r="X163" s="53"/>
      <c r="Y163" s="53"/>
      <c r="Z163" s="716"/>
      <c r="AA163" s="53"/>
      <c r="AB163" s="53"/>
      <c r="AC163" s="53"/>
      <c r="AD163" s="53"/>
      <c r="AE163" s="53"/>
      <c r="AF163" s="56"/>
      <c r="AG163" s="54"/>
      <c r="AH163" s="54"/>
      <c r="AI163" s="54"/>
      <c r="AJ163" s="54"/>
      <c r="AK163" s="131">
        <v>11</v>
      </c>
    </row>
    <row r="164" s="131" customFormat="1" ht="11.5" customHeight="1">
      <c r="A164" s="715"/>
      <c r="B164" s="715"/>
      <c r="C164" s="715"/>
      <c r="D164" s="715"/>
      <c r="E164" s="715"/>
      <c r="F164" s="57"/>
      <c r="G164" s="57"/>
      <c r="H164" s="131"/>
      <c r="N164" s="53"/>
      <c r="P164" s="53"/>
      <c r="Q164" s="57"/>
      <c r="R164" s="57"/>
      <c r="S164" s="53"/>
      <c r="T164" s="53"/>
      <c r="U164" s="53"/>
      <c r="V164" s="53"/>
      <c r="W164" s="57"/>
      <c r="X164" s="53"/>
      <c r="Y164" s="53"/>
      <c r="Z164" s="716"/>
      <c r="AA164" s="53"/>
      <c r="AB164" s="53"/>
      <c r="AC164" s="53"/>
      <c r="AD164" s="53"/>
      <c r="AE164" s="53"/>
      <c r="AF164" s="56"/>
      <c r="AG164" s="54"/>
      <c r="AH164" s="54"/>
      <c r="AI164" s="54"/>
      <c r="AJ164" s="54"/>
      <c r="AK164" s="131">
        <v>11</v>
      </c>
    </row>
    <row r="165" s="131" customFormat="1" ht="11.5" customHeight="1">
      <c r="A165" s="715"/>
      <c r="B165" s="715"/>
      <c r="C165" s="715"/>
      <c r="D165" s="715"/>
      <c r="E165" s="715"/>
      <c r="F165" s="57"/>
      <c r="G165" s="57"/>
      <c r="H165" s="131"/>
      <c r="N165" s="53"/>
      <c r="P165" s="53"/>
      <c r="Q165" s="57"/>
      <c r="R165" s="57"/>
      <c r="S165" s="53"/>
      <c r="T165" s="53"/>
      <c r="U165" s="53"/>
      <c r="V165" s="53"/>
      <c r="W165" s="57"/>
      <c r="X165" s="53"/>
      <c r="Y165" s="53"/>
      <c r="Z165" s="716"/>
      <c r="AA165" s="53"/>
      <c r="AB165" s="53"/>
      <c r="AC165" s="53"/>
      <c r="AD165" s="53"/>
      <c r="AE165" s="53"/>
      <c r="AF165" s="56"/>
      <c r="AG165" s="54"/>
      <c r="AH165" s="54"/>
      <c r="AI165" s="54"/>
      <c r="AJ165" s="54"/>
      <c r="AK165" s="131">
        <v>11</v>
      </c>
    </row>
    <row r="166" s="131" customFormat="1" ht="11.5" customHeight="1">
      <c r="A166" s="715"/>
      <c r="B166" s="715"/>
      <c r="C166" s="715"/>
      <c r="D166" s="715"/>
      <c r="E166" s="715"/>
      <c r="F166" s="57"/>
      <c r="G166" s="57"/>
      <c r="H166" s="131"/>
      <c r="N166" s="53"/>
      <c r="P166" s="53"/>
      <c r="Q166" s="57"/>
      <c r="R166" s="57"/>
      <c r="S166" s="53"/>
      <c r="T166" s="53"/>
      <c r="U166" s="53"/>
      <c r="V166" s="53"/>
      <c r="W166" s="57"/>
      <c r="X166" s="53"/>
      <c r="Y166" s="53"/>
      <c r="Z166" s="716"/>
      <c r="AA166" s="53"/>
      <c r="AB166" s="53"/>
      <c r="AC166" s="53"/>
      <c r="AD166" s="53"/>
      <c r="AE166" s="53"/>
      <c r="AF166" s="56"/>
      <c r="AG166" s="54"/>
      <c r="AH166" s="54"/>
      <c r="AI166" s="54"/>
      <c r="AJ166" s="54"/>
      <c r="AK166" s="131">
        <v>11</v>
      </c>
    </row>
    <row r="167" s="131" customFormat="1" ht="11.5" customHeight="1">
      <c r="A167" s="715"/>
      <c r="B167" s="715"/>
      <c r="C167" s="715"/>
      <c r="D167" s="715"/>
      <c r="E167" s="715"/>
      <c r="F167" s="57"/>
      <c r="G167" s="57"/>
      <c r="H167" s="131"/>
      <c r="N167" s="53"/>
      <c r="P167" s="53"/>
      <c r="Q167" s="57"/>
      <c r="R167" s="57"/>
      <c r="S167" s="53"/>
      <c r="T167" s="53"/>
      <c r="U167" s="53"/>
      <c r="V167" s="53"/>
      <c r="W167" s="57"/>
      <c r="X167" s="53"/>
      <c r="Y167" s="53"/>
      <c r="Z167" s="716"/>
      <c r="AA167" s="53"/>
      <c r="AB167" s="53"/>
      <c r="AC167" s="53"/>
      <c r="AD167" s="53"/>
      <c r="AE167" s="53"/>
      <c r="AF167" s="56"/>
      <c r="AG167" s="54"/>
      <c r="AH167" s="54"/>
      <c r="AI167" s="54"/>
      <c r="AJ167" s="54"/>
      <c r="AK167" s="131">
        <v>11</v>
      </c>
    </row>
    <row r="168" s="131" customFormat="1" ht="11.5" customHeight="1">
      <c r="A168" s="715"/>
      <c r="B168" s="715"/>
      <c r="C168" s="715"/>
      <c r="D168" s="715"/>
      <c r="E168" s="715"/>
      <c r="F168" s="57"/>
      <c r="G168" s="57"/>
      <c r="H168" s="131"/>
      <c r="N168" s="53"/>
      <c r="P168" s="53"/>
      <c r="Q168" s="57"/>
      <c r="R168" s="57"/>
      <c r="S168" s="53"/>
      <c r="T168" s="53"/>
      <c r="U168" s="53"/>
      <c r="V168" s="53"/>
      <c r="W168" s="57"/>
      <c r="X168" s="53"/>
      <c r="Y168" s="53"/>
      <c r="Z168" s="716"/>
      <c r="AA168" s="53"/>
      <c r="AB168" s="53"/>
      <c r="AC168" s="53"/>
      <c r="AD168" s="53"/>
      <c r="AE168" s="53"/>
      <c r="AF168" s="56"/>
      <c r="AG168" s="54"/>
      <c r="AH168" s="54"/>
      <c r="AI168" s="54"/>
      <c r="AJ168" s="54"/>
      <c r="AK168" s="131">
        <v>11</v>
      </c>
    </row>
    <row r="169" s="131" customFormat="1" ht="11.5" customHeight="1">
      <c r="A169" s="715"/>
      <c r="B169" s="715"/>
      <c r="C169" s="715"/>
      <c r="D169" s="715"/>
      <c r="E169" s="715"/>
      <c r="F169" s="57"/>
      <c r="G169" s="57"/>
      <c r="H169" s="131"/>
      <c r="N169" s="53"/>
      <c r="P169" s="53"/>
      <c r="Q169" s="57"/>
      <c r="R169" s="57"/>
      <c r="S169" s="53"/>
      <c r="T169" s="53"/>
      <c r="U169" s="53"/>
      <c r="V169" s="53"/>
      <c r="W169" s="57"/>
      <c r="X169" s="53"/>
      <c r="Y169" s="53"/>
      <c r="Z169" s="716"/>
      <c r="AA169" s="53"/>
      <c r="AB169" s="53"/>
      <c r="AC169" s="53"/>
      <c r="AD169" s="53"/>
      <c r="AE169" s="53"/>
      <c r="AF169" s="56"/>
      <c r="AG169" s="54"/>
      <c r="AH169" s="54"/>
      <c r="AI169" s="54"/>
      <c r="AJ169" s="54"/>
      <c r="AK169" s="131">
        <v>11</v>
      </c>
    </row>
    <row r="170" s="131" customFormat="1" ht="11.5" customHeight="1">
      <c r="A170" s="715"/>
      <c r="B170" s="715"/>
      <c r="C170" s="715"/>
      <c r="D170" s="715"/>
      <c r="E170" s="715"/>
      <c r="F170" s="57"/>
      <c r="G170" s="57"/>
      <c r="H170" s="131"/>
      <c r="N170" s="53"/>
      <c r="P170" s="53"/>
      <c r="Q170" s="57"/>
      <c r="R170" s="57"/>
      <c r="S170" s="53"/>
      <c r="T170" s="53"/>
      <c r="U170" s="53"/>
      <c r="V170" s="53"/>
      <c r="W170" s="57"/>
      <c r="X170" s="53"/>
      <c r="Y170" s="53"/>
      <c r="Z170" s="716"/>
      <c r="AA170" s="53"/>
      <c r="AB170" s="53"/>
      <c r="AC170" s="53"/>
      <c r="AD170" s="53"/>
      <c r="AE170" s="53"/>
      <c r="AF170" s="56"/>
      <c r="AG170" s="54"/>
      <c r="AH170" s="54"/>
      <c r="AI170" s="54"/>
      <c r="AJ170" s="54"/>
      <c r="AK170" s="131">
        <v>11</v>
      </c>
    </row>
    <row r="171" s="131" customFormat="1" ht="11.5" customHeight="1">
      <c r="A171" s="715"/>
      <c r="B171" s="715"/>
      <c r="C171" s="715"/>
      <c r="D171" s="715"/>
      <c r="E171" s="715"/>
      <c r="F171" s="57"/>
      <c r="G171" s="57"/>
      <c r="H171" s="131"/>
      <c r="N171" s="53"/>
      <c r="P171" s="53"/>
      <c r="Q171" s="57"/>
      <c r="R171" s="57"/>
      <c r="S171" s="53"/>
      <c r="T171" s="53"/>
      <c r="U171" s="53"/>
      <c r="V171" s="53"/>
      <c r="W171" s="57"/>
      <c r="X171" s="53"/>
      <c r="Y171" s="53"/>
      <c r="Z171" s="716"/>
      <c r="AA171" s="53"/>
      <c r="AB171" s="53"/>
      <c r="AC171" s="53"/>
      <c r="AD171" s="53"/>
      <c r="AE171" s="53"/>
      <c r="AF171" s="56"/>
      <c r="AG171" s="54"/>
      <c r="AH171" s="54"/>
      <c r="AI171" s="54"/>
      <c r="AJ171" s="54"/>
      <c r="AK171" s="131">
        <v>11</v>
      </c>
    </row>
    <row r="172" s="131" customFormat="1" ht="11.5" customHeight="1">
      <c r="A172" s="715"/>
      <c r="B172" s="715"/>
      <c r="C172" s="715"/>
      <c r="D172" s="715"/>
      <c r="E172" s="715"/>
      <c r="F172" s="57"/>
      <c r="G172" s="57"/>
      <c r="H172" s="131"/>
      <c r="N172" s="53"/>
      <c r="P172" s="53"/>
      <c r="Q172" s="57"/>
      <c r="R172" s="57"/>
      <c r="S172" s="53"/>
      <c r="T172" s="53"/>
      <c r="U172" s="53"/>
      <c r="V172" s="53"/>
      <c r="W172" s="57"/>
      <c r="X172" s="53"/>
      <c r="Y172" s="53"/>
      <c r="Z172" s="716"/>
      <c r="AA172" s="53"/>
      <c r="AB172" s="53"/>
      <c r="AC172" s="53"/>
      <c r="AD172" s="53"/>
      <c r="AE172" s="53"/>
      <c r="AF172" s="56"/>
      <c r="AG172" s="54"/>
      <c r="AH172" s="54"/>
      <c r="AI172" s="54"/>
      <c r="AJ172" s="54"/>
      <c r="AK172" s="131">
        <v>11</v>
      </c>
    </row>
    <row r="173" s="131" customFormat="1" ht="11.5" customHeight="1">
      <c r="A173" s="715"/>
      <c r="B173" s="715"/>
      <c r="C173" s="715"/>
      <c r="D173" s="715"/>
      <c r="E173" s="715"/>
      <c r="F173" s="57"/>
      <c r="G173" s="57"/>
      <c r="H173" s="131"/>
      <c r="N173" s="53"/>
      <c r="P173" s="53"/>
      <c r="Q173" s="57"/>
      <c r="R173" s="57"/>
      <c r="S173" s="53"/>
      <c r="T173" s="53"/>
      <c r="U173" s="53"/>
      <c r="V173" s="53"/>
      <c r="W173" s="57"/>
      <c r="X173" s="53"/>
      <c r="Y173" s="53"/>
      <c r="Z173" s="716"/>
      <c r="AA173" s="53"/>
      <c r="AB173" s="53"/>
      <c r="AC173" s="53"/>
      <c r="AD173" s="53"/>
      <c r="AE173" s="53"/>
      <c r="AF173" s="56"/>
      <c r="AG173" s="54"/>
      <c r="AH173" s="54"/>
      <c r="AI173" s="54"/>
      <c r="AJ173" s="54"/>
      <c r="AK173" s="131">
        <v>11</v>
      </c>
    </row>
    <row r="174" s="131" customFormat="1" ht="11.5" customHeight="1">
      <c r="A174" s="715"/>
      <c r="B174" s="715"/>
      <c r="C174" s="715"/>
      <c r="D174" s="715"/>
      <c r="E174" s="715"/>
      <c r="F174" s="57"/>
      <c r="G174" s="57"/>
      <c r="H174" s="131"/>
      <c r="N174" s="53"/>
      <c r="P174" s="53"/>
      <c r="Q174" s="57"/>
      <c r="R174" s="57"/>
      <c r="S174" s="53"/>
      <c r="T174" s="53"/>
      <c r="U174" s="53"/>
      <c r="V174" s="53"/>
      <c r="W174" s="57"/>
      <c r="X174" s="53"/>
      <c r="Y174" s="53"/>
      <c r="Z174" s="716"/>
      <c r="AA174" s="53"/>
      <c r="AB174" s="53"/>
      <c r="AC174" s="53"/>
      <c r="AD174" s="53"/>
      <c r="AE174" s="53"/>
      <c r="AF174" s="56"/>
      <c r="AG174" s="54"/>
      <c r="AH174" s="54"/>
      <c r="AI174" s="54"/>
      <c r="AJ174" s="54"/>
      <c r="AK174" s="131">
        <v>11</v>
      </c>
    </row>
    <row r="175" s="131" customFormat="1" ht="11.5" customHeight="1">
      <c r="A175" s="715"/>
      <c r="B175" s="715"/>
      <c r="C175" s="715"/>
      <c r="D175" s="715"/>
      <c r="E175" s="715"/>
      <c r="F175" s="57"/>
      <c r="G175" s="57"/>
      <c r="H175" s="131"/>
      <c r="N175" s="53"/>
      <c r="P175" s="53"/>
      <c r="Q175" s="57"/>
      <c r="R175" s="57"/>
      <c r="S175" s="53"/>
      <c r="T175" s="53"/>
      <c r="U175" s="53"/>
      <c r="V175" s="53"/>
      <c r="W175" s="57"/>
      <c r="X175" s="53"/>
      <c r="Y175" s="53"/>
      <c r="Z175" s="716"/>
      <c r="AA175" s="53"/>
      <c r="AB175" s="53"/>
      <c r="AC175" s="53"/>
      <c r="AD175" s="53"/>
      <c r="AE175" s="53"/>
      <c r="AF175" s="56"/>
      <c r="AG175" s="54"/>
      <c r="AH175" s="54"/>
      <c r="AI175" s="54"/>
      <c r="AJ175" s="54"/>
      <c r="AK175" s="131">
        <v>11</v>
      </c>
    </row>
    <row r="176" s="131" customFormat="1" ht="11.5" customHeight="1">
      <c r="A176" s="715"/>
      <c r="B176" s="715"/>
      <c r="C176" s="715"/>
      <c r="D176" s="715"/>
      <c r="E176" s="715"/>
      <c r="F176" s="57"/>
      <c r="G176" s="57"/>
      <c r="H176" s="131"/>
      <c r="N176" s="53"/>
      <c r="P176" s="53"/>
      <c r="Q176" s="57"/>
      <c r="R176" s="57"/>
      <c r="S176" s="53"/>
      <c r="T176" s="53"/>
      <c r="U176" s="53"/>
      <c r="V176" s="53"/>
      <c r="W176" s="57"/>
      <c r="X176" s="53"/>
      <c r="Y176" s="53"/>
      <c r="Z176" s="716"/>
      <c r="AA176" s="53"/>
      <c r="AB176" s="53"/>
      <c r="AC176" s="53"/>
      <c r="AD176" s="53"/>
      <c r="AE176" s="53"/>
      <c r="AF176" s="56"/>
      <c r="AG176" s="54"/>
      <c r="AH176" s="54"/>
      <c r="AI176" s="54"/>
      <c r="AJ176" s="54"/>
      <c r="AK176" s="131">
        <v>11</v>
      </c>
    </row>
    <row r="177" s="131" customFormat="1" ht="11.5" customHeight="1">
      <c r="A177" s="715"/>
      <c r="B177" s="715"/>
      <c r="C177" s="715"/>
      <c r="D177" s="715"/>
      <c r="E177" s="715"/>
      <c r="F177" s="57"/>
      <c r="G177" s="57"/>
      <c r="H177" s="131"/>
      <c r="N177" s="53"/>
      <c r="P177" s="53"/>
      <c r="Q177" s="57"/>
      <c r="R177" s="57"/>
      <c r="S177" s="53"/>
      <c r="T177" s="53"/>
      <c r="U177" s="53"/>
      <c r="V177" s="53"/>
      <c r="W177" s="57"/>
      <c r="X177" s="53"/>
      <c r="Y177" s="53"/>
      <c r="Z177" s="716"/>
      <c r="AA177" s="53"/>
      <c r="AB177" s="53"/>
      <c r="AC177" s="53"/>
      <c r="AD177" s="53"/>
      <c r="AE177" s="53"/>
      <c r="AF177" s="56"/>
      <c r="AG177" s="54"/>
      <c r="AH177" s="54"/>
      <c r="AI177" s="54"/>
      <c r="AJ177" s="54"/>
      <c r="AK177" s="131">
        <v>11</v>
      </c>
    </row>
    <row r="178" s="131" customFormat="1" ht="11.5" customHeight="1">
      <c r="A178" s="715"/>
      <c r="B178" s="715"/>
      <c r="C178" s="715"/>
      <c r="D178" s="715"/>
      <c r="E178" s="715"/>
      <c r="F178" s="57"/>
      <c r="G178" s="57"/>
      <c r="H178" s="131"/>
      <c r="N178" s="53"/>
      <c r="P178" s="53"/>
      <c r="Q178" s="57"/>
      <c r="R178" s="57"/>
      <c r="S178" s="53"/>
      <c r="T178" s="53"/>
      <c r="U178" s="53"/>
      <c r="V178" s="53"/>
      <c r="W178" s="57"/>
      <c r="X178" s="53"/>
      <c r="Y178" s="53"/>
      <c r="Z178" s="716"/>
      <c r="AA178" s="53"/>
      <c r="AB178" s="53"/>
      <c r="AC178" s="53"/>
      <c r="AD178" s="53"/>
      <c r="AE178" s="53"/>
      <c r="AF178" s="56"/>
      <c r="AG178" s="54"/>
      <c r="AH178" s="54"/>
      <c r="AI178" s="54"/>
      <c r="AJ178" s="54"/>
      <c r="AK178" s="131">
        <v>11</v>
      </c>
    </row>
    <row r="179" s="131" customFormat="1" ht="11.5" customHeight="1">
      <c r="A179" s="715"/>
      <c r="B179" s="715"/>
      <c r="C179" s="715"/>
      <c r="D179" s="715"/>
      <c r="E179" s="715"/>
      <c r="F179" s="57"/>
      <c r="G179" s="57"/>
      <c r="H179" s="131"/>
      <c r="N179" s="53"/>
      <c r="P179" s="53"/>
      <c r="Q179" s="57"/>
      <c r="R179" s="57"/>
      <c r="S179" s="53"/>
      <c r="T179" s="53"/>
      <c r="U179" s="53"/>
      <c r="V179" s="53"/>
      <c r="W179" s="57"/>
      <c r="X179" s="53"/>
      <c r="Y179" s="53"/>
      <c r="Z179" s="716"/>
      <c r="AA179" s="53"/>
      <c r="AB179" s="53"/>
      <c r="AC179" s="53"/>
      <c r="AD179" s="53"/>
      <c r="AE179" s="53"/>
      <c r="AF179" s="56"/>
      <c r="AG179" s="54"/>
      <c r="AH179" s="54"/>
      <c r="AI179" s="54"/>
      <c r="AJ179" s="54"/>
      <c r="AK179" s="131">
        <v>11</v>
      </c>
    </row>
    <row r="180" s="131" customFormat="1" ht="11.5" customHeight="1">
      <c r="A180" s="715"/>
      <c r="B180" s="715"/>
      <c r="C180" s="715"/>
      <c r="D180" s="715"/>
      <c r="E180" s="715"/>
      <c r="F180" s="57"/>
      <c r="G180" s="57"/>
      <c r="H180" s="131"/>
      <c r="N180" s="53"/>
      <c r="P180" s="53"/>
      <c r="Q180" s="57"/>
      <c r="R180" s="57"/>
      <c r="S180" s="53"/>
      <c r="T180" s="53"/>
      <c r="U180" s="53"/>
      <c r="V180" s="53"/>
      <c r="W180" s="57"/>
      <c r="X180" s="53"/>
      <c r="Y180" s="53"/>
      <c r="Z180" s="716"/>
      <c r="AA180" s="53"/>
      <c r="AB180" s="53"/>
      <c r="AC180" s="53"/>
      <c r="AD180" s="53"/>
      <c r="AE180" s="53"/>
      <c r="AF180" s="56"/>
      <c r="AG180" s="54"/>
      <c r="AH180" s="54"/>
      <c r="AI180" s="54"/>
      <c r="AJ180" s="54"/>
      <c r="AK180" s="131">
        <v>11</v>
      </c>
    </row>
    <row r="181" s="131" customFormat="1" ht="11.5" customHeight="1">
      <c r="A181" s="715"/>
      <c r="B181" s="715"/>
      <c r="C181" s="715"/>
      <c r="D181" s="715"/>
      <c r="E181" s="715"/>
      <c r="F181" s="57"/>
      <c r="G181" s="57"/>
      <c r="H181" s="131"/>
      <c r="N181" s="53"/>
      <c r="P181" s="53"/>
      <c r="Q181" s="57"/>
      <c r="R181" s="57"/>
      <c r="S181" s="53"/>
      <c r="T181" s="53"/>
      <c r="U181" s="53"/>
      <c r="V181" s="53"/>
      <c r="W181" s="57"/>
      <c r="X181" s="53"/>
      <c r="Y181" s="53"/>
      <c r="Z181" s="716"/>
      <c r="AA181" s="53"/>
      <c r="AB181" s="53"/>
      <c r="AC181" s="53"/>
      <c r="AD181" s="53"/>
      <c r="AE181" s="53"/>
      <c r="AF181" s="56"/>
      <c r="AG181" s="54"/>
      <c r="AH181" s="54"/>
      <c r="AI181" s="54"/>
      <c r="AJ181" s="54"/>
      <c r="AK181" s="131">
        <v>11</v>
      </c>
    </row>
    <row r="182" s="131" customFormat="1" ht="11.5" customHeight="1">
      <c r="A182" s="715"/>
      <c r="B182" s="715"/>
      <c r="C182" s="715"/>
      <c r="D182" s="715"/>
      <c r="E182" s="715"/>
      <c r="F182" s="57"/>
      <c r="G182" s="57"/>
      <c r="H182" s="131"/>
      <c r="N182" s="53"/>
      <c r="P182" s="53"/>
      <c r="Q182" s="57"/>
      <c r="R182" s="57"/>
      <c r="S182" s="53"/>
      <c r="T182" s="53"/>
      <c r="U182" s="53"/>
      <c r="V182" s="53"/>
      <c r="W182" s="57"/>
      <c r="X182" s="53"/>
      <c r="Y182" s="53"/>
      <c r="Z182" s="716"/>
      <c r="AA182" s="53"/>
      <c r="AB182" s="53"/>
      <c r="AC182" s="53"/>
      <c r="AD182" s="53"/>
      <c r="AE182" s="53"/>
      <c r="AF182" s="56"/>
      <c r="AG182" s="54"/>
      <c r="AH182" s="54"/>
      <c r="AI182" s="54"/>
      <c r="AJ182" s="54"/>
      <c r="AK182" s="131">
        <v>11</v>
      </c>
    </row>
    <row r="183" s="131" customFormat="1" ht="11.5" customHeight="1">
      <c r="A183" s="715"/>
      <c r="B183" s="715"/>
      <c r="C183" s="715"/>
      <c r="D183" s="715"/>
      <c r="E183" s="715"/>
      <c r="F183" s="57"/>
      <c r="G183" s="57"/>
      <c r="H183" s="131"/>
      <c r="N183" s="53"/>
      <c r="P183" s="53"/>
      <c r="Q183" s="57"/>
      <c r="R183" s="57"/>
      <c r="S183" s="53"/>
      <c r="T183" s="53"/>
      <c r="U183" s="53"/>
      <c r="V183" s="53"/>
      <c r="W183" s="57"/>
      <c r="X183" s="53"/>
      <c r="Y183" s="53"/>
      <c r="Z183" s="716"/>
      <c r="AA183" s="53"/>
      <c r="AB183" s="53"/>
      <c r="AC183" s="53"/>
      <c r="AD183" s="53"/>
      <c r="AE183" s="53"/>
      <c r="AF183" s="56"/>
      <c r="AG183" s="54"/>
      <c r="AH183" s="54"/>
      <c r="AI183" s="54"/>
      <c r="AJ183" s="54"/>
      <c r="AK183" s="131">
        <v>11</v>
      </c>
    </row>
    <row r="184" s="131" customFormat="1" ht="11.5" customHeight="1">
      <c r="A184" s="715"/>
      <c r="B184" s="715"/>
      <c r="C184" s="715"/>
      <c r="D184" s="715"/>
      <c r="E184" s="715"/>
      <c r="F184" s="57"/>
      <c r="G184" s="57"/>
      <c r="H184" s="131"/>
      <c r="N184" s="53"/>
      <c r="P184" s="53"/>
      <c r="Q184" s="57"/>
      <c r="R184" s="57"/>
      <c r="S184" s="53"/>
      <c r="T184" s="53"/>
      <c r="U184" s="53"/>
      <c r="V184" s="53"/>
      <c r="W184" s="57"/>
      <c r="X184" s="53"/>
      <c r="Y184" s="53"/>
      <c r="Z184" s="716"/>
      <c r="AA184" s="53"/>
      <c r="AB184" s="53"/>
      <c r="AC184" s="53"/>
      <c r="AD184" s="53"/>
      <c r="AE184" s="53"/>
      <c r="AF184" s="56"/>
      <c r="AG184" s="54"/>
      <c r="AH184" s="54"/>
      <c r="AI184" s="54"/>
      <c r="AJ184" s="54"/>
      <c r="AK184" s="131">
        <v>11</v>
      </c>
    </row>
    <row r="185" s="131" customFormat="1" ht="11.5" customHeight="1">
      <c r="A185" s="715"/>
      <c r="B185" s="715"/>
      <c r="C185" s="715"/>
      <c r="D185" s="715"/>
      <c r="E185" s="715"/>
      <c r="F185" s="57"/>
      <c r="G185" s="57"/>
      <c r="H185" s="131"/>
      <c r="N185" s="53"/>
      <c r="P185" s="53"/>
      <c r="Q185" s="57"/>
      <c r="R185" s="57"/>
      <c r="S185" s="53"/>
      <c r="T185" s="53"/>
      <c r="U185" s="53"/>
      <c r="V185" s="53"/>
      <c r="W185" s="57"/>
      <c r="X185" s="53"/>
      <c r="Y185" s="53"/>
      <c r="Z185" s="716"/>
      <c r="AA185" s="53"/>
      <c r="AB185" s="53"/>
      <c r="AC185" s="53"/>
      <c r="AD185" s="53"/>
      <c r="AE185" s="53"/>
      <c r="AF185" s="56"/>
      <c r="AG185" s="54"/>
      <c r="AH185" s="54"/>
      <c r="AI185" s="54"/>
      <c r="AJ185" s="54"/>
      <c r="AK185" s="131">
        <v>11</v>
      </c>
    </row>
    <row r="186" s="131" customFormat="1" ht="11.5" customHeight="1">
      <c r="A186" s="715"/>
      <c r="B186" s="715"/>
      <c r="C186" s="715"/>
      <c r="D186" s="715"/>
      <c r="E186" s="715"/>
      <c r="F186" s="57"/>
      <c r="G186" s="57"/>
      <c r="H186" s="131"/>
      <c r="N186" s="53"/>
      <c r="P186" s="53"/>
      <c r="Q186" s="57"/>
      <c r="R186" s="57"/>
      <c r="S186" s="53"/>
      <c r="T186" s="53"/>
      <c r="U186" s="53"/>
      <c r="V186" s="53"/>
      <c r="W186" s="57"/>
      <c r="X186" s="53"/>
      <c r="Y186" s="53"/>
      <c r="Z186" s="716"/>
      <c r="AA186" s="53"/>
      <c r="AB186" s="53"/>
      <c r="AC186" s="53"/>
      <c r="AD186" s="53"/>
      <c r="AE186" s="53"/>
      <c r="AF186" s="56"/>
      <c r="AG186" s="54"/>
      <c r="AH186" s="54"/>
      <c r="AI186" s="54"/>
      <c r="AJ186" s="54"/>
      <c r="AK186" s="131">
        <v>11</v>
      </c>
    </row>
    <row r="187" s="131" customFormat="1" ht="11.5" customHeight="1">
      <c r="A187" s="715"/>
      <c r="B187" s="715"/>
      <c r="C187" s="715"/>
      <c r="D187" s="715"/>
      <c r="E187" s="715"/>
      <c r="F187" s="57"/>
      <c r="G187" s="57"/>
      <c r="H187" s="131"/>
      <c r="N187" s="53"/>
      <c r="P187" s="53"/>
      <c r="Q187" s="57"/>
      <c r="R187" s="57"/>
      <c r="S187" s="53"/>
      <c r="T187" s="53"/>
      <c r="U187" s="53"/>
      <c r="V187" s="53"/>
      <c r="W187" s="57"/>
      <c r="X187" s="53"/>
      <c r="Y187" s="53"/>
      <c r="Z187" s="716"/>
      <c r="AA187" s="53"/>
      <c r="AB187" s="53"/>
      <c r="AC187" s="53"/>
      <c r="AD187" s="53"/>
      <c r="AE187" s="53"/>
      <c r="AF187" s="56"/>
      <c r="AG187" s="54"/>
      <c r="AH187" s="54"/>
      <c r="AI187" s="54"/>
      <c r="AJ187" s="54"/>
      <c r="AK187" s="131">
        <v>11</v>
      </c>
    </row>
    <row r="188" s="131" customFormat="1" ht="11.5" customHeight="1">
      <c r="A188" s="715"/>
      <c r="B188" s="715"/>
      <c r="C188" s="715"/>
      <c r="D188" s="715"/>
      <c r="E188" s="715"/>
      <c r="F188" s="57"/>
      <c r="G188" s="57"/>
      <c r="H188" s="131"/>
      <c r="N188" s="53"/>
      <c r="P188" s="53"/>
      <c r="Q188" s="57"/>
      <c r="R188" s="57"/>
      <c r="S188" s="53"/>
      <c r="T188" s="53"/>
      <c r="U188" s="53"/>
      <c r="V188" s="53"/>
      <c r="W188" s="57"/>
      <c r="X188" s="53"/>
      <c r="Y188" s="53"/>
      <c r="Z188" s="716"/>
      <c r="AA188" s="53"/>
      <c r="AB188" s="53"/>
      <c r="AC188" s="53"/>
      <c r="AD188" s="53"/>
      <c r="AE188" s="53"/>
      <c r="AF188" s="56"/>
      <c r="AG188" s="54"/>
      <c r="AH188" s="54"/>
      <c r="AI188" s="54"/>
      <c r="AJ188" s="54"/>
      <c r="AK188" s="131">
        <v>11</v>
      </c>
    </row>
    <row r="189" s="131" customFormat="1" ht="11.5" customHeight="1">
      <c r="A189" s="715"/>
      <c r="B189" s="715"/>
      <c r="C189" s="715"/>
      <c r="D189" s="715"/>
      <c r="E189" s="715"/>
      <c r="F189" s="57"/>
      <c r="G189" s="57"/>
      <c r="H189" s="131"/>
      <c r="N189" s="53"/>
      <c r="P189" s="53"/>
      <c r="Q189" s="57"/>
      <c r="R189" s="57"/>
      <c r="S189" s="53"/>
      <c r="T189" s="53"/>
      <c r="U189" s="53"/>
      <c r="V189" s="53"/>
      <c r="W189" s="57"/>
      <c r="X189" s="53"/>
      <c r="Y189" s="53"/>
      <c r="Z189" s="716"/>
      <c r="AA189" s="53"/>
      <c r="AB189" s="53"/>
      <c r="AC189" s="53"/>
      <c r="AD189" s="53"/>
      <c r="AE189" s="53"/>
      <c r="AF189" s="56"/>
      <c r="AG189" s="54"/>
      <c r="AH189" s="54"/>
      <c r="AI189" s="54"/>
      <c r="AJ189" s="54"/>
      <c r="AK189" s="131">
        <v>11</v>
      </c>
    </row>
    <row r="190" ht="11.5" customHeight="1">
      <c r="AK190" s="50">
        <v>11</v>
      </c>
    </row>
    <row r="191" ht="11.5" customHeight="1">
      <c r="AK191" s="50">
        <v>11</v>
      </c>
    </row>
    <row r="192" ht="11.5" customHeight="1">
      <c r="AK192" s="50">
        <v>11</v>
      </c>
    </row>
    <row r="193" ht="11.5" customHeight="1">
      <c r="A193" s="783"/>
      <c r="B193" s="783"/>
      <c r="C193" s="783"/>
      <c r="D193" s="783"/>
      <c r="E193" s="783"/>
      <c r="F193" s="50"/>
      <c r="H193" s="50"/>
      <c r="N193" s="50"/>
      <c r="P193" s="50"/>
      <c r="S193" s="50"/>
      <c r="T193" s="50"/>
      <c r="U193" s="50"/>
      <c r="V193" s="50"/>
      <c r="X193" s="50"/>
      <c r="Y193" s="50"/>
      <c r="Z193" s="50"/>
      <c r="AA193" s="50"/>
      <c r="AB193" s="50"/>
      <c r="AC193" s="50"/>
      <c r="AD193" s="50"/>
      <c r="AE193" s="50"/>
      <c r="AF193" s="50"/>
      <c r="AG193" s="50"/>
      <c r="AH193" s="50"/>
      <c r="AI193" s="50"/>
      <c r="AJ193" s="50"/>
      <c r="AK193" s="50">
        <v>11</v>
      </c>
    </row>
    <row r="194" ht="11.5" customHeight="1">
      <c r="A194" s="783"/>
      <c r="B194" s="783"/>
      <c r="C194" s="783"/>
      <c r="D194" s="783"/>
      <c r="E194" s="783"/>
      <c r="F194" s="50"/>
      <c r="H194" s="50"/>
      <c r="N194" s="50"/>
      <c r="P194" s="50"/>
      <c r="S194" s="50"/>
      <c r="T194" s="50"/>
      <c r="U194" s="50"/>
      <c r="V194" s="50"/>
      <c r="X194" s="50"/>
      <c r="Y194" s="50"/>
      <c r="Z194" s="50"/>
      <c r="AA194" s="50"/>
      <c r="AB194" s="50"/>
      <c r="AC194" s="50"/>
      <c r="AD194" s="50"/>
      <c r="AE194" s="50"/>
      <c r="AF194" s="50"/>
      <c r="AG194" s="50"/>
      <c r="AH194" s="50"/>
      <c r="AI194" s="50"/>
      <c r="AJ194" s="50"/>
      <c r="AK194" s="50">
        <v>11</v>
      </c>
    </row>
    <row r="195" ht="11.5" customHeight="1">
      <c r="A195" s="783"/>
      <c r="B195" s="783"/>
      <c r="C195" s="783"/>
      <c r="D195" s="783"/>
      <c r="E195" s="783"/>
      <c r="F195" s="50"/>
      <c r="H195" s="50"/>
      <c r="N195" s="50"/>
      <c r="P195" s="50"/>
      <c r="S195" s="50"/>
      <c r="T195" s="50"/>
      <c r="U195" s="50"/>
      <c r="V195" s="50"/>
      <c r="X195" s="50"/>
      <c r="Y195" s="50"/>
      <c r="Z195" s="50"/>
      <c r="AA195" s="50"/>
      <c r="AB195" s="50"/>
      <c r="AC195" s="50"/>
      <c r="AD195" s="50"/>
      <c r="AE195" s="50"/>
      <c r="AF195" s="50"/>
      <c r="AG195" s="50"/>
      <c r="AH195" s="50"/>
      <c r="AI195" s="50"/>
      <c r="AJ195" s="50"/>
      <c r="AK195" s="50">
        <v>11</v>
      </c>
    </row>
    <row r="196" ht="11.5" customHeight="1">
      <c r="A196" s="783"/>
      <c r="B196" s="783"/>
      <c r="C196" s="783"/>
      <c r="D196" s="783"/>
      <c r="E196" s="783"/>
      <c r="F196" s="50"/>
      <c r="H196" s="50"/>
      <c r="N196" s="50"/>
      <c r="P196" s="50"/>
      <c r="S196" s="50"/>
      <c r="T196" s="50"/>
      <c r="U196" s="50"/>
      <c r="V196" s="50"/>
      <c r="X196" s="50"/>
      <c r="Y196" s="50"/>
      <c r="Z196" s="50"/>
      <c r="AA196" s="50"/>
      <c r="AB196" s="50"/>
      <c r="AC196" s="50"/>
      <c r="AD196" s="50"/>
      <c r="AE196" s="50"/>
      <c r="AF196" s="50"/>
      <c r="AG196" s="50"/>
      <c r="AH196" s="50"/>
      <c r="AI196" s="50"/>
      <c r="AJ196" s="50"/>
      <c r="AK196" s="50">
        <v>11</v>
      </c>
    </row>
    <row r="197" ht="11.5" customHeight="1">
      <c r="A197" s="783"/>
      <c r="B197" s="783"/>
      <c r="C197" s="783"/>
      <c r="D197" s="783"/>
      <c r="E197" s="783"/>
      <c r="F197" s="50"/>
      <c r="H197" s="50"/>
      <c r="N197" s="50"/>
      <c r="P197" s="50"/>
      <c r="S197" s="50"/>
      <c r="T197" s="50"/>
      <c r="U197" s="50"/>
      <c r="V197" s="50"/>
      <c r="X197" s="50"/>
      <c r="Y197" s="50"/>
      <c r="Z197" s="50"/>
      <c r="AA197" s="50"/>
      <c r="AB197" s="50"/>
      <c r="AC197" s="50"/>
      <c r="AD197" s="50"/>
      <c r="AE197" s="50"/>
      <c r="AF197" s="50"/>
      <c r="AG197" s="50"/>
      <c r="AH197" s="50"/>
      <c r="AI197" s="50"/>
      <c r="AJ197" s="50"/>
      <c r="AK197" s="50">
        <v>11</v>
      </c>
    </row>
    <row r="198" ht="11.5" customHeight="1">
      <c r="A198" s="783"/>
      <c r="B198" s="783"/>
      <c r="C198" s="783"/>
      <c r="D198" s="783"/>
      <c r="E198" s="783"/>
      <c r="F198" s="50"/>
      <c r="H198" s="50"/>
      <c r="N198" s="50"/>
      <c r="P198" s="50"/>
      <c r="S198" s="50"/>
      <c r="T198" s="50"/>
      <c r="U198" s="50"/>
      <c r="V198" s="50"/>
      <c r="X198" s="50"/>
      <c r="Y198" s="50"/>
      <c r="Z198" s="50"/>
      <c r="AA198" s="50"/>
      <c r="AB198" s="50"/>
      <c r="AC198" s="50"/>
      <c r="AD198" s="50"/>
      <c r="AE198" s="50"/>
      <c r="AF198" s="50"/>
      <c r="AG198" s="50"/>
      <c r="AH198" s="50"/>
      <c r="AI198" s="50"/>
      <c r="AJ198" s="50"/>
      <c r="AK198" s="50">
        <v>11</v>
      </c>
    </row>
    <row r="199" ht="11.5" customHeight="1">
      <c r="A199" s="783"/>
      <c r="B199" s="783"/>
      <c r="C199" s="783"/>
      <c r="D199" s="783"/>
      <c r="E199" s="783"/>
      <c r="F199" s="50"/>
      <c r="H199" s="50"/>
      <c r="N199" s="50"/>
      <c r="P199" s="50"/>
      <c r="S199" s="50"/>
      <c r="T199" s="50"/>
      <c r="U199" s="50"/>
      <c r="V199" s="50"/>
      <c r="X199" s="50"/>
      <c r="Y199" s="50"/>
      <c r="Z199" s="50"/>
      <c r="AA199" s="50"/>
      <c r="AB199" s="50"/>
      <c r="AC199" s="50"/>
      <c r="AD199" s="50"/>
      <c r="AE199" s="50"/>
      <c r="AF199" s="50"/>
      <c r="AG199" s="50"/>
      <c r="AH199" s="50"/>
      <c r="AI199" s="50"/>
      <c r="AJ199" s="50"/>
      <c r="AK199" s="50">
        <v>11</v>
      </c>
    </row>
    <row r="200" ht="11.5" customHeight="1">
      <c r="A200" s="783"/>
      <c r="B200" s="783"/>
      <c r="C200" s="783"/>
      <c r="D200" s="783"/>
      <c r="E200" s="783"/>
      <c r="F200" s="50"/>
      <c r="H200" s="50"/>
      <c r="N200" s="50"/>
      <c r="P200" s="50"/>
      <c r="S200" s="50"/>
      <c r="T200" s="50"/>
      <c r="U200" s="50"/>
      <c r="V200" s="50"/>
      <c r="X200" s="50"/>
      <c r="Y200" s="50"/>
      <c r="Z200" s="50"/>
      <c r="AA200" s="50"/>
      <c r="AB200" s="50"/>
      <c r="AC200" s="50"/>
      <c r="AD200" s="50"/>
      <c r="AE200" s="50"/>
      <c r="AF200" s="50"/>
      <c r="AG200" s="50"/>
      <c r="AH200" s="50"/>
      <c r="AI200" s="50"/>
      <c r="AJ200" s="50"/>
      <c r="AK200" s="50">
        <v>11</v>
      </c>
    </row>
    <row r="201" ht="11.5" customHeight="1">
      <c r="A201" s="783"/>
      <c r="B201" s="783"/>
      <c r="C201" s="783"/>
      <c r="D201" s="783"/>
      <c r="E201" s="783"/>
      <c r="F201" s="50"/>
      <c r="H201" s="50"/>
      <c r="N201" s="50"/>
      <c r="P201" s="50"/>
      <c r="S201" s="50"/>
      <c r="T201" s="50"/>
      <c r="U201" s="50"/>
      <c r="V201" s="50"/>
      <c r="X201" s="50"/>
      <c r="Y201" s="50"/>
      <c r="Z201" s="50"/>
      <c r="AA201" s="50"/>
      <c r="AB201" s="50"/>
      <c r="AC201" s="50"/>
      <c r="AD201" s="50"/>
      <c r="AE201" s="50"/>
      <c r="AF201" s="50"/>
      <c r="AG201" s="50"/>
      <c r="AH201" s="50"/>
      <c r="AI201" s="50"/>
      <c r="AJ201" s="50"/>
      <c r="AK201" s="50">
        <v>11</v>
      </c>
    </row>
    <row r="202" ht="11.5" customHeight="1">
      <c r="A202" s="783"/>
      <c r="B202" s="783"/>
      <c r="C202" s="783"/>
      <c r="D202" s="783"/>
      <c r="E202" s="783"/>
      <c r="F202" s="50"/>
      <c r="H202" s="50"/>
      <c r="N202" s="50"/>
      <c r="P202" s="50"/>
      <c r="S202" s="50"/>
      <c r="T202" s="50"/>
      <c r="U202" s="50"/>
      <c r="V202" s="50"/>
      <c r="X202" s="50"/>
      <c r="Y202" s="50"/>
      <c r="Z202" s="50"/>
      <c r="AA202" s="50"/>
      <c r="AB202" s="50"/>
      <c r="AC202" s="50"/>
      <c r="AD202" s="50"/>
      <c r="AE202" s="50"/>
      <c r="AF202" s="50"/>
      <c r="AG202" s="50"/>
      <c r="AH202" s="50"/>
      <c r="AI202" s="50"/>
      <c r="AJ202" s="50"/>
      <c r="AK202" s="50">
        <v>11</v>
      </c>
    </row>
    <row r="203" ht="11.5" customHeight="1">
      <c r="A203" s="783"/>
      <c r="B203" s="783"/>
      <c r="C203" s="783"/>
      <c r="D203" s="783"/>
      <c r="E203" s="783"/>
      <c r="F203" s="50"/>
      <c r="H203" s="50"/>
      <c r="N203" s="50"/>
      <c r="P203" s="50"/>
      <c r="S203" s="50"/>
      <c r="T203" s="50"/>
      <c r="U203" s="50"/>
      <c r="V203" s="50"/>
      <c r="X203" s="50"/>
      <c r="Y203" s="50"/>
      <c r="Z203" s="50"/>
      <c r="AA203" s="50"/>
      <c r="AB203" s="50"/>
      <c r="AC203" s="50"/>
      <c r="AD203" s="50"/>
      <c r="AE203" s="50"/>
      <c r="AF203" s="50"/>
      <c r="AG203" s="50"/>
      <c r="AH203" s="50"/>
      <c r="AI203" s="50"/>
      <c r="AJ203" s="50"/>
      <c r="AK203" s="50">
        <v>11</v>
      </c>
    </row>
    <row r="204" ht="12.75" hidden="1" customHeight="1">
      <c r="A204" s="715" t="s">
        <v>83</v>
      </c>
      <c r="B204" s="715" t="s">
        <v>149</v>
      </c>
      <c r="C204" s="715" t="s">
        <v>149</v>
      </c>
      <c r="D204" s="715" t="s">
        <v>149</v>
      </c>
      <c r="E204" s="715" t="s">
        <v>149</v>
      </c>
      <c r="F204" s="50">
        <v>16</v>
      </c>
      <c r="G204" s="57">
        <v>0</v>
      </c>
      <c r="H204" s="50">
        <v>3</v>
      </c>
      <c r="I204" s="50">
        <v>7</v>
      </c>
      <c r="J204" s="50">
        <v>56</v>
      </c>
      <c r="K204" s="50">
        <v>10</v>
      </c>
      <c r="L204" s="50">
        <v>40</v>
      </c>
      <c r="M204" s="50">
        <v>40</v>
      </c>
      <c r="N204" s="53">
        <v>9</v>
      </c>
      <c r="O204" s="50">
        <v>102</v>
      </c>
      <c r="P204" s="53">
        <v>9</v>
      </c>
      <c r="Q204" s="57">
        <v>5</v>
      </c>
      <c r="R204" s="57">
        <v>3</v>
      </c>
      <c r="S204" s="53">
        <v>3</v>
      </c>
      <c r="T204" s="53">
        <v>3</v>
      </c>
      <c r="U204" s="53">
        <v>3</v>
      </c>
      <c r="V204" s="53">
        <v>3</v>
      </c>
      <c r="W204" s="57">
        <v>10</v>
      </c>
      <c r="X204" s="53">
        <v>34</v>
      </c>
      <c r="Y204" s="53">
        <v>9</v>
      </c>
      <c r="Z204" s="716">
        <v>8</v>
      </c>
      <c r="AA204" s="53">
        <v>8</v>
      </c>
      <c r="AB204" s="53">
        <v>8</v>
      </c>
      <c r="AC204" s="53">
        <v>8</v>
      </c>
      <c r="AD204" s="53">
        <v>8</v>
      </c>
      <c r="AE204" s="53">
        <v>8</v>
      </c>
      <c r="AF204" s="56">
        <v>8</v>
      </c>
      <c r="AG204" s="56">
        <v>8</v>
      </c>
      <c r="AH204" s="56">
        <v>8</v>
      </c>
      <c r="AI204" s="56">
        <v>8</v>
      </c>
      <c r="AJ204" s="56">
        <v>8</v>
      </c>
      <c r="AK204" s="50">
        <v>11</v>
      </c>
    </row>
  </sheetData>
  <sheetProtection autoFilter="0" deleteColumns="1" deleteRows="1" formatCells="1" formatColumns="1" formatRows="1" insertColumns="1" insertHyperlinks="1" insertRows="1" objects="0" pivotTables="1" scenarios="0" selectLockedCells="0" selectUnlockedCells="0" sheet="1" sort="1"/>
  <mergeCells count="7">
    <mergeCell ref="I6:M6"/>
    <mergeCell ref="I7:M7"/>
    <mergeCell ref="J10:K10"/>
    <mergeCell ref="O10:O14"/>
    <mergeCell ref="J11:K11"/>
    <mergeCell ref="J12:K12"/>
    <mergeCell ref="I13:K13"/>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090024-005D-42F5-91BC-00BF00B300ED}"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L15:M15 L34:M34</xm:sqref>
        </x14:dataValidation>
        <x14:dataValidation xr:uid="{004B0093-001D-4B0A-B969-00FF00E00099}" type="whole" allowBlank="1" error="Допускается ввод только неотрицательных целых чисел!" errorStyle="stop" errorTitle="Ошибка" imeMode="noControl" operator="between" showDropDown="0" showErrorMessage="1" showInputMessage="0">
          <x14:formula1>
            <xm:f>0</xm:f>
          </x14:formula1>
          <x14:formula2>
            <xm:f>9.99999999999999E+23</xm:f>
          </x14:formula2>
          <xm:sqref>L30:M31</xm:sqref>
        </x14:dataValidation>
        <x14:dataValidation xr:uid="{00710033-0087-41A8-83E3-00EA0041004D}" type="textLength" allowBlank="1" error="Допускается ввод не более 900 символов!" errorStyle="stop" errorTitle="Ошибка" imeMode="noControl" operator="lessThanOrEqual" prompt="Введите наименование прочих расходов" showDropDown="0" showErrorMessage="1" showInputMessage="1">
          <x14:formula1>
            <xm:f>900</xm:f>
          </x14:formula1>
          <xm:sqref>L17:M17</xm:sqref>
        </x14:dataValidation>
        <x14:dataValidation xr:uid="{00EE002E-00B5-4701-94C8-0040003B0091}" type="decimal" allowBlank="1" error="Допускается ввод только неотрицательных чисел!" errorStyle="stop" errorTitle="Ошибка" imeMode="noControl" operator="between" showDropDown="0" showErrorMessage="1" showInputMessage="0">
          <x14:formula1>
            <xm:f>0</xm:f>
          </x14:formula1>
          <x14:formula2>
            <xm:f>9.99999999999999E+23</xm:f>
          </x14:formula2>
          <xm:sqref>L32:M33 L19:M29 L16:M16 L2:M2</xm:sqref>
        </x14:dataValidation>
      </x14:dataValidations>
    </ext>
  </extLst>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outlinePr applyStyles="0" summaryBelow="1" summaryRight="1" showOutlineSymbols="1"/>
    <pageSetUpPr autoPageBreaks="1" fitToPage="0"/>
  </sheetPr>
  <sheetViews>
    <sheetView showGridLines="0" zoomScale="90" workbookViewId="0">
      <pane xSplit="11" ySplit="9" topLeftCell="L10" activePane="bottomRight" state="frozen"/>
      <selection activeCell="A1" activeCellId="0" sqref="A1"/>
    </sheetView>
  </sheetViews>
  <sheetFormatPr defaultColWidth="10.57421875" defaultRowHeight="14.25" customHeight="1"/>
  <cols>
    <col hidden="1" min="1" max="4" style="50" width="10.57421875"/>
    <col customWidth="1" hidden="1" min="5" max="5" style="60" width="9.140625"/>
    <col customWidth="1" hidden="1" min="6" max="7" style="53" width="9.140625"/>
    <col customWidth="1" min="8" max="8" style="487" width="3.00390625"/>
    <col customWidth="1" min="9" max="9" style="50" width="6.00390625"/>
    <col customWidth="1" min="10" max="10" style="50" width="63.00390625"/>
    <col customWidth="1" min="11" max="11" style="50" width="9.00390625"/>
    <col customWidth="1" min="12" max="12" style="50" width="39.00390625"/>
    <col customWidth="1" min="13" max="13" style="50" width="89.00390625"/>
    <col customWidth="1" min="14" max="14" style="50" width="10.00390625"/>
    <col customWidth="1" min="15" max="16" style="129" width="10.00390625"/>
    <col customWidth="1" min="17" max="22" style="50" width="10.00390625"/>
    <col hidden="1" min="23" max="23" style="50" width="10.57421875"/>
  </cols>
  <sheetData>
    <row r="1" ht="22.5" hidden="1" customHeight="1">
      <c r="S1" s="830"/>
      <c r="T1" s="830"/>
      <c r="V1" s="830"/>
      <c r="W1" s="50" t="s">
        <v>14</v>
      </c>
    </row>
    <row r="2" ht="22.5" hidden="1" customHeight="1">
      <c r="B2" s="811" t="s">
        <v>691</v>
      </c>
      <c r="C2" s="811" t="s">
        <v>692</v>
      </c>
      <c r="D2" s="812" t="s">
        <v>631</v>
      </c>
      <c r="E2" s="813">
        <f>I2-3</f>
        <v>-3</v>
      </c>
      <c r="F2" s="813">
        <f>J2</f>
        <v>0</v>
      </c>
      <c r="H2" s="831" t="s">
        <v>693</v>
      </c>
      <c r="I2" s="355"/>
      <c r="J2" s="392"/>
      <c r="K2" s="145" t="s">
        <v>311</v>
      </c>
      <c r="L2" s="479"/>
      <c r="M2" s="832"/>
      <c r="N2" s="129"/>
      <c r="P2" s="50"/>
      <c r="W2" s="50">
        <v>0</v>
      </c>
    </row>
    <row r="3" ht="14.25" hidden="1" customHeight="1">
      <c r="W3" s="50">
        <v>0</v>
      </c>
    </row>
    <row r="4" ht="6.2999999999999998" customHeight="1">
      <c r="H4" s="548"/>
      <c r="I4" s="91"/>
      <c r="J4" s="91"/>
      <c r="K4" s="91"/>
      <c r="L4" s="833"/>
      <c r="M4" s="833"/>
      <c r="W4" s="50">
        <v>6</v>
      </c>
    </row>
    <row r="5" ht="50.25" customHeight="1">
      <c r="H5" s="548"/>
      <c r="I5" s="461" t="s">
        <v>694</v>
      </c>
      <c r="J5" s="461"/>
      <c r="K5" s="461"/>
      <c r="L5" s="461"/>
      <c r="M5" s="239"/>
      <c r="W5" s="50">
        <v>48</v>
      </c>
    </row>
    <row r="6" ht="18" customHeight="1">
      <c r="H6" s="548"/>
      <c r="I6" s="316" t="str">
        <f>IF(org=0,"Не определено",org)</f>
        <v xml:space="preserve">АО "ДГК"</v>
      </c>
      <c r="J6" s="316"/>
      <c r="K6" s="316"/>
      <c r="L6" s="316"/>
      <c r="M6" s="239"/>
      <c r="W6" s="50">
        <v>17</v>
      </c>
    </row>
    <row r="7" ht="14.65" customHeight="1">
      <c r="H7" s="548"/>
      <c r="I7" s="91"/>
      <c r="J7" s="83"/>
      <c r="K7" s="83"/>
      <c r="L7" s="352"/>
      <c r="M7" s="834"/>
      <c r="W7" s="50">
        <v>14</v>
      </c>
    </row>
    <row r="8" ht="14.65" customHeight="1">
      <c r="H8" s="548"/>
      <c r="I8" s="835" t="s">
        <v>305</v>
      </c>
      <c r="J8" s="836"/>
      <c r="K8" s="836"/>
      <c r="L8" s="837"/>
      <c r="M8" s="838" t="s">
        <v>306</v>
      </c>
      <c r="W8" s="50">
        <v>14</v>
      </c>
    </row>
    <row r="9" ht="35.649999999999999" customHeight="1">
      <c r="E9" s="814" t="s">
        <v>622</v>
      </c>
      <c r="F9" s="814" t="s">
        <v>628</v>
      </c>
      <c r="H9" s="548"/>
      <c r="I9" s="358" t="s">
        <v>89</v>
      </c>
      <c r="J9" s="246" t="s">
        <v>307</v>
      </c>
      <c r="K9" s="424" t="s">
        <v>570</v>
      </c>
      <c r="L9" s="246" t="s">
        <v>308</v>
      </c>
      <c r="M9" s="838"/>
      <c r="W9" s="50">
        <v>34</v>
      </c>
    </row>
    <row r="10" ht="35.649999999999999" customHeight="1">
      <c r="B10" s="811" t="s">
        <v>695</v>
      </c>
      <c r="C10" s="811" t="s">
        <v>696</v>
      </c>
      <c r="D10" s="812" t="s">
        <v>631</v>
      </c>
      <c r="E10" s="813" t="s">
        <v>632</v>
      </c>
      <c r="F10" s="813" t="s">
        <v>632</v>
      </c>
      <c r="H10" s="548"/>
      <c r="I10" s="355" t="s">
        <v>109</v>
      </c>
      <c r="J10" s="839" t="s">
        <v>697</v>
      </c>
      <c r="K10" s="145" t="s">
        <v>311</v>
      </c>
      <c r="L10" s="768"/>
      <c r="M10" s="832" t="s">
        <v>698</v>
      </c>
      <c r="W10" s="50">
        <v>34</v>
      </c>
    </row>
    <row r="11" ht="50.25" customHeight="1">
      <c r="B11" s="811" t="s">
        <v>699</v>
      </c>
      <c r="C11" s="811" t="s">
        <v>700</v>
      </c>
      <c r="D11" s="812" t="s">
        <v>631</v>
      </c>
      <c r="E11" s="813" t="s">
        <v>632</v>
      </c>
      <c r="F11" s="813" t="s">
        <v>632</v>
      </c>
      <c r="H11" s="548"/>
      <c r="I11" s="355" t="s">
        <v>110</v>
      </c>
      <c r="J11" s="839" t="s">
        <v>701</v>
      </c>
      <c r="K11" s="145" t="s">
        <v>311</v>
      </c>
      <c r="L11" s="768"/>
      <c r="M11" s="832" t="s">
        <v>698</v>
      </c>
      <c r="W11" s="50">
        <v>48</v>
      </c>
    </row>
    <row r="12" ht="48.25" customHeight="1">
      <c r="B12" s="811" t="s">
        <v>702</v>
      </c>
      <c r="C12" s="811" t="s">
        <v>703</v>
      </c>
      <c r="D12" s="812" t="s">
        <v>631</v>
      </c>
      <c r="E12" s="813" t="s">
        <v>632</v>
      </c>
      <c r="F12" s="813" t="s">
        <v>632</v>
      </c>
      <c r="H12" s="391"/>
      <c r="I12" s="355" t="s">
        <v>91</v>
      </c>
      <c r="J12" s="840" t="s">
        <v>704</v>
      </c>
      <c r="K12" s="145" t="s">
        <v>311</v>
      </c>
      <c r="L12" s="768"/>
      <c r="M12" s="832" t="s">
        <v>705</v>
      </c>
      <c r="N12" s="129"/>
      <c r="P12" s="50"/>
      <c r="W12" s="50">
        <v>46</v>
      </c>
    </row>
    <row r="13" ht="14.65" customHeight="1">
      <c r="E13" s="143"/>
      <c r="H13" s="548"/>
      <c r="I13" s="841"/>
      <c r="J13" s="177" t="s">
        <v>706</v>
      </c>
      <c r="K13" s="235"/>
      <c r="L13" s="842"/>
      <c r="M13" s="832"/>
      <c r="W13" s="50">
        <v>14</v>
      </c>
    </row>
    <row r="14" ht="14.65" customHeight="1">
      <c r="E14" s="143"/>
      <c r="H14" s="548"/>
      <c r="I14" s="785"/>
      <c r="J14" s="843"/>
      <c r="K14" s="844"/>
      <c r="L14" s="845"/>
      <c r="M14" s="583"/>
      <c r="W14" s="50">
        <v>14</v>
      </c>
    </row>
    <row r="15" ht="14.65" customHeight="1">
      <c r="I15" s="485"/>
      <c r="J15" s="583"/>
      <c r="K15" s="583"/>
      <c r="L15" s="583"/>
      <c r="M15" s="583"/>
      <c r="W15" s="50">
        <v>14</v>
      </c>
    </row>
    <row r="16" ht="21" hidden="1" customHeight="1">
      <c r="A16" s="60" t="s">
        <v>83</v>
      </c>
      <c r="B16" s="50">
        <v>9</v>
      </c>
      <c r="C16" s="50">
        <v>9</v>
      </c>
      <c r="D16" s="50">
        <v>9</v>
      </c>
      <c r="E16" s="60" t="s">
        <v>148</v>
      </c>
      <c r="F16" s="60" t="s">
        <v>148</v>
      </c>
      <c r="G16" s="60"/>
      <c r="H16" s="487">
        <v>3</v>
      </c>
      <c r="I16" s="50">
        <v>6</v>
      </c>
      <c r="J16" s="50">
        <v>63</v>
      </c>
      <c r="K16" s="50">
        <v>9</v>
      </c>
      <c r="L16" s="50">
        <v>39</v>
      </c>
      <c r="M16" s="50">
        <v>89</v>
      </c>
      <c r="N16" s="50">
        <v>10</v>
      </c>
      <c r="O16" s="129">
        <v>10</v>
      </c>
      <c r="P16" s="129">
        <v>10</v>
      </c>
      <c r="Q16" s="50">
        <v>10</v>
      </c>
      <c r="R16" s="50">
        <v>10</v>
      </c>
      <c r="S16" s="50">
        <v>10</v>
      </c>
      <c r="T16" s="50">
        <v>10</v>
      </c>
      <c r="U16" s="50">
        <v>10</v>
      </c>
      <c r="V16" s="50">
        <v>10</v>
      </c>
      <c r="W16" s="50">
        <v>23</v>
      </c>
    </row>
  </sheetData>
  <sheetProtection autoFilter="0" deleteColumns="1" deleteRows="1" formatCells="1" formatColumns="0" formatRows="0" insertColumns="1" insertHyperlinks="1" insertRows="1" objects="0" pivotTables="1" scenarios="0" selectLockedCells="0" selectUnlockedCells="0" sheet="1" sort="1"/>
  <mergeCells count="5">
    <mergeCell ref="I5:L5"/>
    <mergeCell ref="I6:L6"/>
    <mergeCell ref="I8:L8"/>
    <mergeCell ref="M8:M9"/>
    <mergeCell ref="J15:M15"/>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disablePrompts="0">
        <x14:dataValidation xr:uid="{00E30067-00D3-4F4A-86F9-00AF00ED0068}"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howDropDown="0" showErrorMessage="1" showInputMessage="1">
          <x14:formula1>
            <xm:f>900</xm:f>
          </x14:formula1>
          <xm:sqref>L2 L10:L12</xm:sqref>
        </x14:dataValidation>
        <x14:dataValidation xr:uid="{00D10009-0049-4D84-A630-00B6006700B3}" type="textLength" allowBlank="1" error="Допускается ввод не более 900 символов!" errorStyle="stop" errorTitle="Ошибка" imeMode="noControl" operator="lessThanOrEqual" showDropDown="0" showErrorMessage="1" showInputMessage="1">
          <x14:formula1>
            <xm:f>900</xm:f>
          </x14:formula1>
          <xm:sqref>M10 J2</xm:sqref>
        </x14:dataValidation>
      </x14:dataValidations>
    </ext>
  </extLst>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outlinePr applyStyles="0" summaryBelow="1" summaryRight="1" showOutlineSymbols="1"/>
    <pageSetUpPr autoPageBreaks="1" fitToPage="0"/>
  </sheetPr>
  <sheetViews>
    <sheetView showGridLines="0" zoomScale="90" workbookViewId="0">
      <pane xSplit="8" ySplit="14" topLeftCell="I15" activePane="bottomRight" state="frozen"/>
      <selection activeCell="A1" activeCellId="0" sqref="A1"/>
    </sheetView>
  </sheetViews>
  <sheetFormatPr defaultColWidth="9.140625" defaultRowHeight="11.25" customHeight="1"/>
  <cols>
    <col customWidth="1" hidden="1" min="1" max="1" style="715" width="10.7109375"/>
    <col customWidth="1" hidden="1" min="2" max="2" style="53" width="16.8515625"/>
    <col customWidth="1" hidden="1" min="3" max="3" style="57" width="5.57421875"/>
    <col customWidth="1" min="4" max="4" style="50" width="3.00390625"/>
    <col customWidth="1" min="5" max="5" style="50" width="7.00390625"/>
    <col customWidth="1" min="6" max="6" style="50" width="56.00390625"/>
    <col customWidth="1" min="7" max="7" style="50" width="10.00390625"/>
    <col customWidth="1" hidden="1" min="8" max="8" style="50" width="40.7109375"/>
    <col customWidth="1" min="9" max="9" style="50" width="40.00390625"/>
    <col customWidth="1" min="10" max="10" style="50" width="102.00390625"/>
    <col customWidth="1" min="11" max="11" style="53" width="9.00390625"/>
    <col customWidth="1" min="12" max="12" style="57" width="5.00390625"/>
    <col customWidth="1" min="13" max="13" style="57" width="3.00390625"/>
    <col customWidth="1" min="14" max="17" style="53" width="3.00390625"/>
    <col customWidth="1" min="18" max="18" style="57" width="10.00390625"/>
    <col customWidth="1" min="19" max="19" style="53" width="34.00390625"/>
    <col customWidth="1" min="20" max="20" style="53" width="9.00390625"/>
    <col customWidth="1" min="21" max="21" style="716" width="8.00390625"/>
    <col customWidth="1" min="22" max="26" style="53" width="8.00390625"/>
    <col customWidth="1" min="27" max="31" style="56" width="8.00390625"/>
    <col customWidth="1" hidden="1" min="32" max="32" style="50" width="10.421875"/>
  </cols>
  <sheetData>
    <row r="1" s="53" customFormat="1" ht="22.5" hidden="1" customHeight="1">
      <c r="A1" s="715"/>
      <c r="C1" s="57"/>
      <c r="D1" s="53"/>
      <c r="H1" s="53">
        <v>4</v>
      </c>
      <c r="I1" s="53">
        <v>4</v>
      </c>
      <c r="L1" s="57"/>
      <c r="M1" s="57"/>
      <c r="R1" s="57"/>
      <c r="AF1" s="53" t="s">
        <v>14</v>
      </c>
    </row>
    <row r="2" s="53" customFormat="1" ht="22.5" hidden="1" customHeight="1">
      <c r="A2" s="715"/>
      <c r="C2" s="57"/>
      <c r="D2" s="725"/>
      <c r="E2" s="157"/>
      <c r="F2" s="159"/>
      <c r="G2" s="157" t="s">
        <v>556</v>
      </c>
      <c r="H2" s="516"/>
      <c r="I2" s="516"/>
      <c r="J2" s="726" t="s">
        <v>707</v>
      </c>
      <c r="K2" s="719"/>
      <c r="L2" s="57"/>
      <c r="M2" s="57"/>
      <c r="R2" s="57"/>
      <c r="U2" s="716"/>
      <c r="AA2" s="56"/>
      <c r="AB2" s="56"/>
      <c r="AC2" s="56"/>
      <c r="AD2" s="56"/>
      <c r="AE2" s="56"/>
      <c r="AF2" s="53">
        <v>0</v>
      </c>
    </row>
    <row r="3" ht="11.25" hidden="1" customHeight="1">
      <c r="AF3" s="50">
        <v>0</v>
      </c>
    </row>
    <row r="4" s="56" customFormat="1" ht="11.25" hidden="1" customHeight="1">
      <c r="A4" s="715"/>
      <c r="B4" s="53"/>
      <c r="C4" s="57"/>
      <c r="D4" s="56"/>
      <c r="J4" s="56">
        <v>4</v>
      </c>
      <c r="K4" s="53"/>
      <c r="L4" s="57"/>
      <c r="M4" s="57"/>
      <c r="N4" s="53"/>
      <c r="O4" s="53"/>
      <c r="P4" s="53"/>
      <c r="Q4" s="53"/>
      <c r="R4" s="57"/>
      <c r="S4" s="53"/>
      <c r="T4" s="53"/>
      <c r="U4" s="716"/>
      <c r="V4" s="53"/>
      <c r="W4" s="53"/>
      <c r="X4" s="53"/>
      <c r="Y4" s="53"/>
      <c r="Z4" s="53"/>
      <c r="AF4" s="56">
        <v>0</v>
      </c>
    </row>
    <row r="5" ht="11.5" customHeight="1">
      <c r="AF5" s="50">
        <v>11</v>
      </c>
    </row>
    <row r="6" ht="31.5" customHeight="1">
      <c r="E6" s="311" t="s">
        <v>708</v>
      </c>
      <c r="F6" s="311"/>
      <c r="G6" s="311"/>
      <c r="H6" s="311"/>
      <c r="I6" s="311"/>
      <c r="J6" s="240"/>
      <c r="AF6" s="50">
        <v>30</v>
      </c>
    </row>
    <row r="7" ht="11.5" customHeight="1">
      <c r="E7" s="316" t="str">
        <f>IF(org=0,"Не определено",org)</f>
        <v xml:space="preserve">АО "ДГК"</v>
      </c>
      <c r="F7" s="316"/>
      <c r="G7" s="316"/>
      <c r="H7" s="316"/>
      <c r="I7" s="316"/>
      <c r="AF7" s="50">
        <v>11</v>
      </c>
    </row>
    <row r="8" ht="11.5" customHeight="1">
      <c r="E8" s="729"/>
      <c r="F8" s="729"/>
      <c r="G8" s="729"/>
      <c r="H8" s="729"/>
      <c r="I8" s="729"/>
      <c r="AF8" s="50">
        <v>11</v>
      </c>
    </row>
    <row r="9" s="57" customFormat="1" ht="4.2000000000000002" customHeight="1">
      <c r="A9" s="540"/>
      <c r="D9" s="57"/>
      <c r="H9" s="730"/>
      <c r="I9" s="730" t="s">
        <v>117</v>
      </c>
      <c r="AF9" s="57">
        <v>4</v>
      </c>
    </row>
    <row r="10" ht="11.5" customHeight="1">
      <c r="E10" s="731"/>
      <c r="F10" s="732" t="s">
        <v>105</v>
      </c>
      <c r="G10" s="733"/>
      <c r="H10" s="734" t="str">
        <f>IF(H9="","",INDEX(DIFFERENTIATION_UNMERGE_VD,MATCH(H9,DIFFERENTIATION_ID_DIFF,0)))</f>
        <v/>
      </c>
      <c r="I10" s="734">
        <f>IF(I9="","",INDEX(DIFFERENTIATION_UNMERGE_VD,MATCH(I9,DIFFERENTIATION_ID_DIFF,0)))</f>
        <v>0</v>
      </c>
      <c r="J10" s="157"/>
      <c r="AF10" s="50">
        <v>11</v>
      </c>
    </row>
    <row r="11" ht="11.5" customHeight="1">
      <c r="E11" s="731"/>
      <c r="F11" s="732" t="s">
        <v>568</v>
      </c>
      <c r="G11" s="733"/>
      <c r="H11" s="734" t="str">
        <f>IF(H9="","",INDEX(DIFFERENTIATION_UNMERGE_AREA,MATCH(H9,DIFFERENTIATION_ID_DIFF,0)))</f>
        <v/>
      </c>
      <c r="I11" s="734" t="str">
        <f>IF(I9="","",INDEX(DIFFERENTIATION_UNMERGE_AREA,MATCH(I9,DIFFERENTIATION_ID_DIFF,0)))</f>
        <v/>
      </c>
      <c r="J11" s="157"/>
      <c r="AF11" s="50">
        <v>11</v>
      </c>
    </row>
    <row r="12" ht="1.05" customHeight="1">
      <c r="E12" s="816"/>
      <c r="F12" s="846" t="s">
        <v>569</v>
      </c>
      <c r="G12" s="847"/>
      <c r="H12" s="848" t="str">
        <f>IF(H9="","",INDEX(DIFFERENTIATION_UNMERGE_SYSTEM,MATCH(H9,DIFFERENTIATION_ID_DIFF,0)))</f>
        <v/>
      </c>
      <c r="I12" s="848" t="str">
        <f>IF(I9="","",INDEX(DIFFERENTIATION_UNMERGE_SYSTEM,MATCH(I9,DIFFERENTIATION_ID_DIFF,0)))</f>
        <v xml:space="preserve">без дифференциации</v>
      </c>
      <c r="J12" s="157"/>
      <c r="AF12" s="50">
        <v>1</v>
      </c>
    </row>
    <row r="13" ht="11.5" customHeight="1">
      <c r="E13" s="735" t="s">
        <v>305</v>
      </c>
      <c r="F13" s="736"/>
      <c r="G13" s="736"/>
      <c r="H13" s="732"/>
      <c r="I13" s="732"/>
      <c r="J13" s="157"/>
      <c r="AF13" s="50">
        <v>11</v>
      </c>
    </row>
    <row r="14" ht="24" customHeight="1">
      <c r="E14" s="157" t="s">
        <v>89</v>
      </c>
      <c r="F14" s="157" t="s">
        <v>307</v>
      </c>
      <c r="G14" s="157" t="s">
        <v>570</v>
      </c>
      <c r="H14" s="157" t="s">
        <v>308</v>
      </c>
      <c r="I14" s="157" t="s">
        <v>308</v>
      </c>
      <c r="J14" s="157"/>
      <c r="AF14" s="50">
        <v>23</v>
      </c>
    </row>
    <row r="15" ht="19.949999999999999" customHeight="1">
      <c r="D15" s="125"/>
      <c r="E15" s="819" t="s">
        <v>109</v>
      </c>
      <c r="F15" s="326" t="s">
        <v>709</v>
      </c>
      <c r="G15" s="157" t="s">
        <v>556</v>
      </c>
      <c r="H15" s="737"/>
      <c r="I15" s="737"/>
      <c r="J15" s="494" t="s">
        <v>710</v>
      </c>
      <c r="K15" s="719" t="s">
        <v>634</v>
      </c>
      <c r="AF15" s="50">
        <v>19</v>
      </c>
    </row>
    <row r="16" ht="35.649999999999999" customHeight="1">
      <c r="D16" s="125"/>
      <c r="E16" s="819" t="s">
        <v>110</v>
      </c>
      <c r="F16" s="326" t="s">
        <v>711</v>
      </c>
      <c r="G16" s="157" t="s">
        <v>556</v>
      </c>
      <c r="H16" s="738">
        <f>SUM(H17,H20:H32)</f>
        <v>0</v>
      </c>
      <c r="I16" s="738">
        <f>SUM(I17,I20,I23,I26,I29:I32)</f>
        <v>0</v>
      </c>
      <c r="J16" s="494" t="s">
        <v>712</v>
      </c>
      <c r="K16" s="719" t="s">
        <v>634</v>
      </c>
      <c r="AF16" s="50">
        <v>34</v>
      </c>
    </row>
    <row r="17" ht="19.949999999999999" customHeight="1">
      <c r="D17" s="125"/>
      <c r="E17" s="825" t="s">
        <v>713</v>
      </c>
      <c r="F17" s="682" t="s">
        <v>714</v>
      </c>
      <c r="G17" s="72" t="s">
        <v>556</v>
      </c>
      <c r="H17" s="737"/>
      <c r="I17" s="737"/>
      <c r="J17" s="494" t="s">
        <v>715</v>
      </c>
      <c r="K17" s="719"/>
      <c r="AF17" s="50">
        <v>19</v>
      </c>
    </row>
    <row r="18" ht="24" customHeight="1">
      <c r="D18" s="125"/>
      <c r="E18" s="825" t="s">
        <v>716</v>
      </c>
      <c r="F18" s="753" t="s">
        <v>717</v>
      </c>
      <c r="G18" s="72" t="s">
        <v>556</v>
      </c>
      <c r="H18" s="737"/>
      <c r="I18" s="737"/>
      <c r="J18" s="494" t="s">
        <v>718</v>
      </c>
      <c r="K18" s="719"/>
      <c r="AF18" s="50">
        <v>23</v>
      </c>
    </row>
    <row r="19" ht="35.649999999999999" customHeight="1">
      <c r="D19" s="125"/>
      <c r="E19" s="825" t="s">
        <v>719</v>
      </c>
      <c r="F19" s="753" t="s">
        <v>720</v>
      </c>
      <c r="G19" s="72" t="s">
        <v>556</v>
      </c>
      <c r="H19" s="737"/>
      <c r="I19" s="737"/>
      <c r="J19" s="494"/>
      <c r="K19" s="719"/>
      <c r="AF19" s="50">
        <v>34</v>
      </c>
    </row>
    <row r="20" ht="19.949999999999999" customHeight="1">
      <c r="D20" s="125"/>
      <c r="E20" s="825" t="s">
        <v>312</v>
      </c>
      <c r="F20" s="682" t="s">
        <v>721</v>
      </c>
      <c r="G20" s="72" t="s">
        <v>556</v>
      </c>
      <c r="H20" s="737"/>
      <c r="I20" s="737"/>
      <c r="J20" s="494" t="s">
        <v>722</v>
      </c>
      <c r="K20" s="719"/>
      <c r="AF20" s="50">
        <v>19</v>
      </c>
    </row>
    <row r="21" ht="19.949999999999999" customHeight="1">
      <c r="D21" s="125"/>
      <c r="E21" s="825" t="s">
        <v>723</v>
      </c>
      <c r="F21" s="753" t="s">
        <v>724</v>
      </c>
      <c r="G21" s="72" t="s">
        <v>556</v>
      </c>
      <c r="H21" s="737"/>
      <c r="I21" s="737"/>
      <c r="J21" s="494"/>
      <c r="K21" s="719"/>
      <c r="AF21" s="50">
        <v>19</v>
      </c>
    </row>
    <row r="22" ht="19.949999999999999" customHeight="1">
      <c r="D22" s="125"/>
      <c r="E22" s="825" t="s">
        <v>725</v>
      </c>
      <c r="F22" s="753" t="s">
        <v>726</v>
      </c>
      <c r="G22" s="72" t="s">
        <v>556</v>
      </c>
      <c r="H22" s="737"/>
      <c r="I22" s="737"/>
      <c r="J22" s="494"/>
      <c r="K22" s="719"/>
      <c r="AF22" s="50">
        <v>19</v>
      </c>
    </row>
    <row r="23" ht="24" customHeight="1">
      <c r="D23" s="125"/>
      <c r="E23" s="825" t="s">
        <v>315</v>
      </c>
      <c r="F23" s="682" t="s">
        <v>727</v>
      </c>
      <c r="G23" s="72" t="s">
        <v>556</v>
      </c>
      <c r="H23" s="737"/>
      <c r="I23" s="737"/>
      <c r="J23" s="494" t="s">
        <v>728</v>
      </c>
      <c r="K23" s="719"/>
      <c r="AF23" s="50">
        <v>23</v>
      </c>
    </row>
    <row r="24" ht="19.949999999999999" customHeight="1">
      <c r="D24" s="125"/>
      <c r="E24" s="825" t="s">
        <v>729</v>
      </c>
      <c r="F24" s="753" t="s">
        <v>730</v>
      </c>
      <c r="G24" s="72" t="s">
        <v>556</v>
      </c>
      <c r="H24" s="737"/>
      <c r="I24" s="737"/>
      <c r="J24" s="494"/>
      <c r="K24" s="719"/>
      <c r="AF24" s="50">
        <v>19</v>
      </c>
    </row>
    <row r="25" ht="35.649999999999999" customHeight="1">
      <c r="D25" s="125"/>
      <c r="E25" s="825" t="s">
        <v>731</v>
      </c>
      <c r="F25" s="753" t="s">
        <v>732</v>
      </c>
      <c r="G25" s="72" t="s">
        <v>556</v>
      </c>
      <c r="H25" s="737"/>
      <c r="I25" s="737"/>
      <c r="J25" s="494"/>
      <c r="K25" s="719"/>
      <c r="AF25" s="50">
        <v>34</v>
      </c>
    </row>
    <row r="26" ht="24" customHeight="1">
      <c r="D26" s="125"/>
      <c r="E26" s="825" t="s">
        <v>733</v>
      </c>
      <c r="F26" s="682" t="s">
        <v>734</v>
      </c>
      <c r="G26" s="72" t="s">
        <v>556</v>
      </c>
      <c r="H26" s="737"/>
      <c r="I26" s="737"/>
      <c r="J26" s="494" t="s">
        <v>735</v>
      </c>
      <c r="K26" s="719"/>
      <c r="AF26" s="50">
        <v>23</v>
      </c>
    </row>
    <row r="27" ht="19.949999999999999" customHeight="1">
      <c r="D27" s="125"/>
      <c r="E27" s="827" t="s">
        <v>736</v>
      </c>
      <c r="F27" s="753" t="s">
        <v>737</v>
      </c>
      <c r="G27" s="72" t="s">
        <v>556</v>
      </c>
      <c r="H27" s="823"/>
      <c r="I27" s="823"/>
      <c r="J27" s="494"/>
      <c r="K27" s="719"/>
      <c r="AF27" s="50">
        <v>19</v>
      </c>
    </row>
    <row r="28" ht="19.949999999999999" customHeight="1">
      <c r="D28" s="125"/>
      <c r="E28" s="827" t="s">
        <v>738</v>
      </c>
      <c r="F28" s="753" t="s">
        <v>739</v>
      </c>
      <c r="G28" s="72" t="s">
        <v>556</v>
      </c>
      <c r="H28" s="823"/>
      <c r="I28" s="823"/>
      <c r="J28" s="494"/>
      <c r="K28" s="719"/>
      <c r="AF28" s="50">
        <v>19</v>
      </c>
    </row>
    <row r="29" ht="19.949999999999999" customHeight="1">
      <c r="D29" s="125"/>
      <c r="E29" s="827" t="s">
        <v>740</v>
      </c>
      <c r="F29" s="682" t="s">
        <v>741</v>
      </c>
      <c r="G29" s="72" t="s">
        <v>556</v>
      </c>
      <c r="H29" s="823"/>
      <c r="I29" s="823"/>
      <c r="J29" s="494"/>
      <c r="K29" s="719"/>
      <c r="AF29" s="50">
        <v>19</v>
      </c>
    </row>
    <row r="30" ht="19.949999999999999" customHeight="1">
      <c r="D30" s="125"/>
      <c r="E30" s="827" t="s">
        <v>742</v>
      </c>
      <c r="F30" s="682" t="s">
        <v>743</v>
      </c>
      <c r="G30" s="72" t="s">
        <v>556</v>
      </c>
      <c r="H30" s="823"/>
      <c r="I30" s="823"/>
      <c r="J30" s="494"/>
      <c r="K30" s="719"/>
      <c r="AF30" s="50">
        <v>19</v>
      </c>
    </row>
    <row r="31" ht="19.949999999999999" customHeight="1">
      <c r="D31" s="125"/>
      <c r="E31" s="827" t="s">
        <v>744</v>
      </c>
      <c r="F31" s="682" t="s">
        <v>745</v>
      </c>
      <c r="G31" s="72" t="s">
        <v>556</v>
      </c>
      <c r="H31" s="823"/>
      <c r="I31" s="823"/>
      <c r="J31" s="494"/>
      <c r="K31" s="719"/>
      <c r="AF31" s="50">
        <v>19</v>
      </c>
    </row>
    <row r="32" s="53" customFormat="1" ht="35.649999999999999" customHeight="1">
      <c r="A32" s="715"/>
      <c r="C32" s="57"/>
      <c r="D32" s="125"/>
      <c r="E32" s="827" t="s">
        <v>746</v>
      </c>
      <c r="F32" s="682" t="s">
        <v>747</v>
      </c>
      <c r="G32" s="320" t="s">
        <v>556</v>
      </c>
      <c r="H32" s="760">
        <f>SUM(H33:H34)</f>
        <v>0</v>
      </c>
      <c r="I32" s="760">
        <f>SUM(I33:I34)</f>
        <v>0</v>
      </c>
      <c r="J32" s="494" t="s">
        <v>748</v>
      </c>
      <c r="K32" s="719"/>
      <c r="L32" s="57"/>
      <c r="M32" s="57"/>
      <c r="R32" s="57"/>
      <c r="U32" s="716"/>
      <c r="AA32" s="56"/>
      <c r="AB32" s="56"/>
      <c r="AC32" s="56"/>
      <c r="AD32" s="56"/>
      <c r="AE32" s="56"/>
      <c r="AF32" s="53">
        <v>34</v>
      </c>
    </row>
    <row r="33" s="57" customFormat="1" ht="1.05" customHeight="1">
      <c r="A33" s="540"/>
      <c r="D33" s="540"/>
      <c r="E33" s="158" t="str">
        <f>E32&amp;".0"</f>
        <v>2.8.0</v>
      </c>
      <c r="F33" s="761"/>
      <c r="G33" s="158"/>
      <c r="H33" s="762"/>
      <c r="I33" s="762"/>
      <c r="J33" s="763"/>
      <c r="AF33" s="57">
        <v>1</v>
      </c>
    </row>
    <row r="34" s="53" customFormat="1" ht="19.949999999999999" customHeight="1">
      <c r="A34" s="715"/>
      <c r="C34" s="57"/>
      <c r="D34" s="128"/>
      <c r="E34" s="750"/>
      <c r="F34" s="849" t="s">
        <v>581</v>
      </c>
      <c r="G34" s="751"/>
      <c r="H34" s="752"/>
      <c r="I34" s="752"/>
      <c r="J34" s="558" t="s">
        <v>749</v>
      </c>
      <c r="K34" s="719"/>
      <c r="L34" s="57"/>
      <c r="M34" s="57"/>
      <c r="R34" s="57"/>
      <c r="U34" s="716"/>
      <c r="AA34" s="56"/>
      <c r="AB34" s="56"/>
      <c r="AC34" s="56"/>
      <c r="AD34" s="56"/>
      <c r="AE34" s="56"/>
      <c r="AF34" s="53">
        <v>19</v>
      </c>
    </row>
    <row r="35" ht="60" customHeight="1">
      <c r="D35" s="125"/>
      <c r="E35" s="827" t="s">
        <v>750</v>
      </c>
      <c r="F35" s="682" t="s">
        <v>751</v>
      </c>
      <c r="G35" s="72" t="s">
        <v>556</v>
      </c>
      <c r="H35" s="823"/>
      <c r="I35" s="823"/>
      <c r="J35" s="494" t="s">
        <v>752</v>
      </c>
      <c r="K35" s="719"/>
      <c r="AF35" s="50">
        <v>57</v>
      </c>
    </row>
    <row r="36" s="53" customFormat="1" ht="24" customHeight="1">
      <c r="A36" s="755" t="s">
        <v>582</v>
      </c>
      <c r="C36" s="57"/>
      <c r="D36" s="125"/>
      <c r="E36" s="825" t="s">
        <v>91</v>
      </c>
      <c r="F36" s="326" t="s">
        <v>753</v>
      </c>
      <c r="G36" s="72" t="s">
        <v>556</v>
      </c>
      <c r="H36" s="737"/>
      <c r="I36" s="737"/>
      <c r="J36" s="494" t="s">
        <v>754</v>
      </c>
      <c r="K36" s="719"/>
      <c r="L36" s="57"/>
      <c r="M36" s="57"/>
      <c r="R36" s="57"/>
      <c r="U36" s="716"/>
      <c r="AA36" s="56"/>
      <c r="AB36" s="56"/>
      <c r="AC36" s="56"/>
      <c r="AD36" s="56"/>
      <c r="AE36" s="56"/>
      <c r="AF36" s="53">
        <v>23</v>
      </c>
    </row>
    <row r="37" s="53" customFormat="1" ht="35.649999999999999" customHeight="1">
      <c r="A37" s="755"/>
      <c r="C37" s="57"/>
      <c r="D37" s="125"/>
      <c r="E37" s="825" t="s">
        <v>329</v>
      </c>
      <c r="F37" s="682" t="s">
        <v>755</v>
      </c>
      <c r="G37" s="72"/>
      <c r="H37" s="737"/>
      <c r="I37" s="737"/>
      <c r="J37" s="494"/>
      <c r="K37" s="719"/>
      <c r="L37" s="57"/>
      <c r="M37" s="57"/>
      <c r="R37" s="57"/>
      <c r="U37" s="716"/>
      <c r="AA37" s="56"/>
      <c r="AB37" s="56"/>
      <c r="AC37" s="56"/>
      <c r="AD37" s="56"/>
      <c r="AE37" s="56"/>
      <c r="AF37" s="53">
        <v>34</v>
      </c>
    </row>
    <row r="38" s="53" customFormat="1" ht="19.949999999999999" customHeight="1">
      <c r="A38" s="715"/>
      <c r="C38" s="57"/>
      <c r="D38" s="756"/>
      <c r="E38" s="825" t="s">
        <v>92</v>
      </c>
      <c r="F38" s="326" t="s">
        <v>756</v>
      </c>
      <c r="G38" s="72" t="s">
        <v>556</v>
      </c>
      <c r="H38" s="737"/>
      <c r="I38" s="737"/>
      <c r="J38" s="494" t="s">
        <v>757</v>
      </c>
      <c r="K38" s="719"/>
      <c r="L38" s="57"/>
      <c r="M38" s="57"/>
      <c r="R38" s="57"/>
      <c r="U38" s="716"/>
      <c r="AA38" s="56"/>
      <c r="AB38" s="56"/>
      <c r="AC38" s="56"/>
      <c r="AD38" s="56"/>
      <c r="AE38" s="56"/>
      <c r="AF38" s="53">
        <v>19</v>
      </c>
    </row>
    <row r="39" s="53" customFormat="1" ht="24" customHeight="1">
      <c r="A39" s="715"/>
      <c r="C39" s="57"/>
      <c r="D39" s="756"/>
      <c r="E39" s="825" t="s">
        <v>758</v>
      </c>
      <c r="F39" s="682" t="s">
        <v>759</v>
      </c>
      <c r="G39" s="72" t="s">
        <v>556</v>
      </c>
      <c r="H39" s="737"/>
      <c r="I39" s="737"/>
      <c r="J39" s="494" t="s">
        <v>760</v>
      </c>
      <c r="K39" s="719"/>
      <c r="L39" s="57"/>
      <c r="M39" s="57"/>
      <c r="R39" s="57"/>
      <c r="U39" s="716"/>
      <c r="AA39" s="56"/>
      <c r="AB39" s="56"/>
      <c r="AC39" s="56"/>
      <c r="AD39" s="56"/>
      <c r="AE39" s="56"/>
      <c r="AF39" s="53">
        <v>23</v>
      </c>
    </row>
    <row r="40" s="53" customFormat="1" ht="24" customHeight="1">
      <c r="A40" s="715"/>
      <c r="C40" s="57"/>
      <c r="D40" s="125"/>
      <c r="E40" s="825" t="s">
        <v>761</v>
      </c>
      <c r="F40" s="753" t="s">
        <v>762</v>
      </c>
      <c r="G40" s="72" t="s">
        <v>556</v>
      </c>
      <c r="H40" s="737"/>
      <c r="I40" s="737"/>
      <c r="J40" s="494" t="s">
        <v>763</v>
      </c>
      <c r="K40" s="719"/>
      <c r="L40" s="57"/>
      <c r="M40" s="57"/>
      <c r="R40" s="57"/>
      <c r="U40" s="716"/>
      <c r="AA40" s="56"/>
      <c r="AB40" s="56"/>
      <c r="AC40" s="56"/>
      <c r="AD40" s="56"/>
      <c r="AE40" s="56"/>
      <c r="AF40" s="53">
        <v>23</v>
      </c>
    </row>
    <row r="41" s="53" customFormat="1" ht="24" customHeight="1">
      <c r="A41" s="715"/>
      <c r="C41" s="57"/>
      <c r="D41" s="125"/>
      <c r="E41" s="825" t="s">
        <v>764</v>
      </c>
      <c r="F41" s="753" t="s">
        <v>765</v>
      </c>
      <c r="G41" s="72" t="s">
        <v>556</v>
      </c>
      <c r="H41" s="737"/>
      <c r="I41" s="737"/>
      <c r="J41" s="494" t="s">
        <v>766</v>
      </c>
      <c r="K41" s="719"/>
      <c r="L41" s="57"/>
      <c r="M41" s="57"/>
      <c r="R41" s="57"/>
      <c r="U41" s="716"/>
      <c r="AA41" s="56"/>
      <c r="AB41" s="56"/>
      <c r="AC41" s="56"/>
      <c r="AD41" s="56"/>
      <c r="AE41" s="56"/>
      <c r="AF41" s="53">
        <v>23</v>
      </c>
    </row>
    <row r="42" s="53" customFormat="1" ht="24" customHeight="1">
      <c r="A42" s="715"/>
      <c r="C42" s="57"/>
      <c r="D42" s="125"/>
      <c r="E42" s="825" t="s">
        <v>767</v>
      </c>
      <c r="F42" s="753" t="s">
        <v>768</v>
      </c>
      <c r="G42" s="72" t="s">
        <v>556</v>
      </c>
      <c r="H42" s="737"/>
      <c r="I42" s="737"/>
      <c r="J42" s="494" t="s">
        <v>769</v>
      </c>
      <c r="K42" s="719"/>
      <c r="L42" s="57"/>
      <c r="M42" s="57"/>
      <c r="R42" s="57"/>
      <c r="U42" s="716"/>
      <c r="AA42" s="56"/>
      <c r="AB42" s="56"/>
      <c r="AC42" s="56"/>
      <c r="AD42" s="56"/>
      <c r="AE42" s="56"/>
      <c r="AF42" s="53">
        <v>23</v>
      </c>
    </row>
    <row r="43" s="53" customFormat="1" ht="35.649999999999999" customHeight="1">
      <c r="A43" s="715"/>
      <c r="C43" s="57" t="s">
        <v>592</v>
      </c>
      <c r="D43" s="125"/>
      <c r="E43" s="825" t="s">
        <v>111</v>
      </c>
      <c r="F43" s="326" t="s">
        <v>633</v>
      </c>
      <c r="G43" s="157" t="s">
        <v>770</v>
      </c>
      <c r="H43" s="768"/>
      <c r="I43" s="768"/>
      <c r="J43" s="494" t="s">
        <v>771</v>
      </c>
      <c r="K43" s="719"/>
      <c r="L43" s="57"/>
      <c r="M43" s="57"/>
      <c r="R43" s="57"/>
      <c r="U43" s="716"/>
      <c r="AA43" s="56"/>
      <c r="AB43" s="56"/>
      <c r="AC43" s="56"/>
      <c r="AD43" s="56"/>
      <c r="AE43" s="56"/>
      <c r="AF43" s="53">
        <v>34</v>
      </c>
    </row>
    <row r="44" s="53" customFormat="1" ht="35.649999999999999" customHeight="1">
      <c r="A44" s="715"/>
      <c r="C44" s="57"/>
      <c r="D44" s="125"/>
      <c r="E44" s="825" t="s">
        <v>93</v>
      </c>
      <c r="F44" s="326" t="s">
        <v>772</v>
      </c>
      <c r="G44" s="72" t="s">
        <v>773</v>
      </c>
      <c r="H44" s="727"/>
      <c r="I44" s="727"/>
      <c r="J44" s="494" t="s">
        <v>774</v>
      </c>
      <c r="K44" s="719"/>
      <c r="L44" s="57"/>
      <c r="M44" s="57"/>
      <c r="R44" s="57"/>
      <c r="U44" s="716"/>
      <c r="AA44" s="56"/>
      <c r="AB44" s="56"/>
      <c r="AC44" s="56"/>
      <c r="AD44" s="56"/>
      <c r="AE44" s="56"/>
      <c r="AF44" s="53">
        <v>34</v>
      </c>
    </row>
    <row r="45" s="53" customFormat="1" ht="24" customHeight="1">
      <c r="A45" s="715"/>
      <c r="C45" s="57"/>
      <c r="D45" s="125"/>
      <c r="E45" s="825" t="s">
        <v>94</v>
      </c>
      <c r="F45" s="326" t="s">
        <v>775</v>
      </c>
      <c r="G45" s="72" t="s">
        <v>776</v>
      </c>
      <c r="H45" s="727"/>
      <c r="I45" s="727"/>
      <c r="J45" s="494" t="s">
        <v>777</v>
      </c>
      <c r="K45" s="719"/>
      <c r="L45" s="57"/>
      <c r="M45" s="57"/>
      <c r="R45" s="57"/>
      <c r="U45" s="716"/>
      <c r="AA45" s="56"/>
      <c r="AB45" s="56"/>
      <c r="AC45" s="56"/>
      <c r="AD45" s="56"/>
      <c r="AE45" s="56"/>
      <c r="AF45" s="53">
        <v>23</v>
      </c>
    </row>
    <row r="46" s="53" customFormat="1" ht="19.949999999999999" customHeight="1">
      <c r="A46" s="715"/>
      <c r="C46" s="57"/>
      <c r="D46" s="125"/>
      <c r="E46" s="825" t="s">
        <v>112</v>
      </c>
      <c r="F46" s="326" t="s">
        <v>778</v>
      </c>
      <c r="G46" s="72" t="s">
        <v>594</v>
      </c>
      <c r="H46" s="757"/>
      <c r="I46" s="757"/>
      <c r="J46" s="494"/>
      <c r="K46" s="719"/>
      <c r="L46" s="57"/>
      <c r="M46" s="57"/>
      <c r="R46" s="57"/>
      <c r="U46" s="716"/>
      <c r="AA46" s="56"/>
      <c r="AB46" s="56"/>
      <c r="AC46" s="56"/>
      <c r="AD46" s="56"/>
      <c r="AE46" s="56"/>
      <c r="AF46" s="53">
        <v>19</v>
      </c>
    </row>
    <row r="47" ht="11.5" customHeight="1">
      <c r="D47" s="125"/>
      <c r="AF47" s="50">
        <v>11</v>
      </c>
    </row>
    <row r="48" s="131" customFormat="1" ht="11.5" customHeight="1">
      <c r="A48" s="715"/>
      <c r="B48" s="57"/>
      <c r="C48" s="57"/>
      <c r="D48" s="131"/>
      <c r="K48" s="53"/>
      <c r="L48" s="57"/>
      <c r="M48" s="57"/>
      <c r="N48" s="53"/>
      <c r="O48" s="53"/>
      <c r="P48" s="53"/>
      <c r="Q48" s="53"/>
      <c r="R48" s="57"/>
      <c r="S48" s="53"/>
      <c r="T48" s="53"/>
      <c r="U48" s="716"/>
      <c r="V48" s="53"/>
      <c r="W48" s="53"/>
      <c r="X48" s="53"/>
      <c r="Y48" s="53"/>
      <c r="Z48" s="53"/>
      <c r="AA48" s="56"/>
      <c r="AB48" s="54"/>
      <c r="AC48" s="54"/>
      <c r="AD48" s="54"/>
      <c r="AE48" s="54"/>
      <c r="AF48" s="131">
        <v>11</v>
      </c>
    </row>
    <row r="49" s="131" customFormat="1" ht="11.5" customHeight="1">
      <c r="A49" s="715"/>
      <c r="B49" s="57"/>
      <c r="C49" s="57"/>
      <c r="D49" s="131"/>
      <c r="K49" s="53"/>
      <c r="L49" s="57"/>
      <c r="M49" s="57"/>
      <c r="N49" s="53"/>
      <c r="O49" s="53"/>
      <c r="P49" s="53"/>
      <c r="Q49" s="53"/>
      <c r="R49" s="57"/>
      <c r="S49" s="53"/>
      <c r="T49" s="53"/>
      <c r="U49" s="716"/>
      <c r="V49" s="53"/>
      <c r="W49" s="53"/>
      <c r="X49" s="53"/>
      <c r="Y49" s="53"/>
      <c r="Z49" s="53"/>
      <c r="AA49" s="56"/>
      <c r="AB49" s="54"/>
      <c r="AC49" s="54"/>
      <c r="AD49" s="54"/>
      <c r="AE49" s="54"/>
      <c r="AF49" s="131">
        <v>11</v>
      </c>
    </row>
    <row r="50" s="131" customFormat="1" ht="11.5" customHeight="1">
      <c r="A50" s="715"/>
      <c r="B50" s="57"/>
      <c r="C50" s="57"/>
      <c r="D50" s="131"/>
      <c r="H50" s="54"/>
      <c r="I50" s="54"/>
      <c r="K50" s="53"/>
      <c r="L50" s="57"/>
      <c r="M50" s="57"/>
      <c r="N50" s="53"/>
      <c r="O50" s="53"/>
      <c r="P50" s="53"/>
      <c r="Q50" s="53"/>
      <c r="R50" s="57"/>
      <c r="S50" s="53"/>
      <c r="T50" s="53"/>
      <c r="U50" s="716"/>
      <c r="V50" s="53"/>
      <c r="W50" s="53"/>
      <c r="X50" s="53"/>
      <c r="Y50" s="53"/>
      <c r="Z50" s="53"/>
      <c r="AA50" s="56"/>
      <c r="AB50" s="54"/>
      <c r="AC50" s="54"/>
      <c r="AD50" s="54"/>
      <c r="AE50" s="54"/>
      <c r="AF50" s="131">
        <v>11</v>
      </c>
    </row>
    <row r="51" s="131" customFormat="1" ht="11.5" customHeight="1">
      <c r="A51" s="715"/>
      <c r="B51" s="57"/>
      <c r="C51" s="57"/>
      <c r="D51" s="131"/>
      <c r="K51" s="53"/>
      <c r="L51" s="57"/>
      <c r="M51" s="57"/>
      <c r="N51" s="53"/>
      <c r="O51" s="53"/>
      <c r="P51" s="53"/>
      <c r="Q51" s="53"/>
      <c r="R51" s="57"/>
      <c r="S51" s="53"/>
      <c r="T51" s="53"/>
      <c r="U51" s="716"/>
      <c r="V51" s="53"/>
      <c r="W51" s="53"/>
      <c r="X51" s="53"/>
      <c r="Y51" s="53"/>
      <c r="Z51" s="53"/>
      <c r="AA51" s="56"/>
      <c r="AB51" s="54"/>
      <c r="AC51" s="54"/>
      <c r="AD51" s="54"/>
      <c r="AE51" s="54"/>
      <c r="AF51" s="131">
        <v>11</v>
      </c>
    </row>
    <row r="52" s="131" customFormat="1" ht="11.5" customHeight="1">
      <c r="A52" s="715"/>
      <c r="B52" s="57"/>
      <c r="C52" s="57"/>
      <c r="D52" s="131"/>
      <c r="K52" s="53"/>
      <c r="L52" s="57"/>
      <c r="M52" s="57"/>
      <c r="N52" s="53"/>
      <c r="O52" s="53"/>
      <c r="P52" s="53"/>
      <c r="Q52" s="53"/>
      <c r="R52" s="57"/>
      <c r="S52" s="53"/>
      <c r="T52" s="53"/>
      <c r="U52" s="716"/>
      <c r="V52" s="53"/>
      <c r="W52" s="53"/>
      <c r="X52" s="53"/>
      <c r="Y52" s="53"/>
      <c r="Z52" s="53"/>
      <c r="AA52" s="56"/>
      <c r="AB52" s="54"/>
      <c r="AC52" s="54"/>
      <c r="AD52" s="54"/>
      <c r="AE52" s="54"/>
      <c r="AF52" s="131">
        <v>11</v>
      </c>
    </row>
    <row r="53" s="131" customFormat="1" ht="11.5" customHeight="1">
      <c r="A53" s="715"/>
      <c r="B53" s="57"/>
      <c r="C53" s="57"/>
      <c r="D53" s="131"/>
      <c r="K53" s="53"/>
      <c r="L53" s="57"/>
      <c r="M53" s="57"/>
      <c r="N53" s="53"/>
      <c r="O53" s="53"/>
      <c r="P53" s="53"/>
      <c r="Q53" s="53"/>
      <c r="R53" s="57"/>
      <c r="S53" s="53"/>
      <c r="T53" s="53"/>
      <c r="U53" s="716"/>
      <c r="V53" s="53"/>
      <c r="W53" s="53"/>
      <c r="X53" s="53"/>
      <c r="Y53" s="53"/>
      <c r="Z53" s="53"/>
      <c r="AA53" s="56"/>
      <c r="AB53" s="54"/>
      <c r="AC53" s="54"/>
      <c r="AD53" s="54"/>
      <c r="AE53" s="54"/>
      <c r="AF53" s="131">
        <v>11</v>
      </c>
    </row>
    <row r="54" s="131" customFormat="1" ht="11.5" customHeight="1">
      <c r="A54" s="715"/>
      <c r="B54" s="57"/>
      <c r="C54" s="57"/>
      <c r="D54" s="131"/>
      <c r="K54" s="53"/>
      <c r="L54" s="57"/>
      <c r="M54" s="57"/>
      <c r="N54" s="53"/>
      <c r="O54" s="53"/>
      <c r="P54" s="53"/>
      <c r="Q54" s="53"/>
      <c r="R54" s="57"/>
      <c r="S54" s="53"/>
      <c r="T54" s="53"/>
      <c r="U54" s="716"/>
      <c r="V54" s="53"/>
      <c r="W54" s="53"/>
      <c r="X54" s="53"/>
      <c r="Y54" s="53"/>
      <c r="Z54" s="53"/>
      <c r="AA54" s="56"/>
      <c r="AB54" s="54"/>
      <c r="AC54" s="54"/>
      <c r="AD54" s="54"/>
      <c r="AE54" s="54"/>
      <c r="AF54" s="131">
        <v>11</v>
      </c>
    </row>
    <row r="55" s="131" customFormat="1" ht="11.5" customHeight="1">
      <c r="A55" s="715"/>
      <c r="B55" s="57"/>
      <c r="C55" s="57"/>
      <c r="D55" s="131"/>
      <c r="K55" s="53"/>
      <c r="L55" s="57"/>
      <c r="M55" s="57"/>
      <c r="N55" s="53"/>
      <c r="O55" s="53"/>
      <c r="P55" s="53"/>
      <c r="Q55" s="53"/>
      <c r="R55" s="57"/>
      <c r="S55" s="53"/>
      <c r="T55" s="53"/>
      <c r="U55" s="716"/>
      <c r="V55" s="53"/>
      <c r="W55" s="53"/>
      <c r="X55" s="53"/>
      <c r="Y55" s="53"/>
      <c r="Z55" s="53"/>
      <c r="AA55" s="56"/>
      <c r="AB55" s="54"/>
      <c r="AC55" s="54"/>
      <c r="AD55" s="54"/>
      <c r="AE55" s="54"/>
      <c r="AF55" s="131">
        <v>11</v>
      </c>
    </row>
    <row r="56" s="131" customFormat="1" ht="11.5" customHeight="1">
      <c r="A56" s="715"/>
      <c r="B56" s="57"/>
      <c r="C56" s="57"/>
      <c r="D56" s="131"/>
      <c r="K56" s="53"/>
      <c r="L56" s="57"/>
      <c r="M56" s="57"/>
      <c r="N56" s="53"/>
      <c r="O56" s="53"/>
      <c r="P56" s="53"/>
      <c r="Q56" s="53"/>
      <c r="R56" s="57"/>
      <c r="S56" s="53"/>
      <c r="T56" s="53"/>
      <c r="U56" s="716"/>
      <c r="V56" s="53"/>
      <c r="W56" s="53"/>
      <c r="X56" s="53"/>
      <c r="Y56" s="53"/>
      <c r="Z56" s="53"/>
      <c r="AA56" s="56"/>
      <c r="AB56" s="54"/>
      <c r="AC56" s="54"/>
      <c r="AD56" s="54"/>
      <c r="AE56" s="54"/>
      <c r="AF56" s="131">
        <v>11</v>
      </c>
    </row>
    <row r="57" s="131" customFormat="1" ht="11.5" customHeight="1">
      <c r="A57" s="715"/>
      <c r="B57" s="57"/>
      <c r="C57" s="57"/>
      <c r="D57" s="131"/>
      <c r="K57" s="53"/>
      <c r="L57" s="57"/>
      <c r="M57" s="57"/>
      <c r="N57" s="53"/>
      <c r="O57" s="53"/>
      <c r="P57" s="53"/>
      <c r="Q57" s="53"/>
      <c r="R57" s="57"/>
      <c r="S57" s="53"/>
      <c r="T57" s="53"/>
      <c r="U57" s="716"/>
      <c r="V57" s="53"/>
      <c r="W57" s="53"/>
      <c r="X57" s="53"/>
      <c r="Y57" s="53"/>
      <c r="Z57" s="53"/>
      <c r="AA57" s="56"/>
      <c r="AB57" s="54"/>
      <c r="AC57" s="54"/>
      <c r="AD57" s="54"/>
      <c r="AE57" s="54"/>
      <c r="AF57" s="131">
        <v>11</v>
      </c>
    </row>
    <row r="58" s="131" customFormat="1" ht="11.5" customHeight="1">
      <c r="A58" s="715"/>
      <c r="B58" s="57"/>
      <c r="C58" s="57"/>
      <c r="D58" s="131"/>
      <c r="K58" s="53"/>
      <c r="L58" s="57"/>
      <c r="M58" s="57"/>
      <c r="N58" s="53"/>
      <c r="O58" s="53"/>
      <c r="P58" s="53"/>
      <c r="Q58" s="53"/>
      <c r="R58" s="57"/>
      <c r="S58" s="53"/>
      <c r="T58" s="53"/>
      <c r="U58" s="716"/>
      <c r="V58" s="53"/>
      <c r="W58" s="53"/>
      <c r="X58" s="53"/>
      <c r="Y58" s="53"/>
      <c r="Z58" s="53"/>
      <c r="AA58" s="56"/>
      <c r="AB58" s="54"/>
      <c r="AC58" s="54"/>
      <c r="AD58" s="54"/>
      <c r="AE58" s="54"/>
      <c r="AF58" s="131">
        <v>11</v>
      </c>
    </row>
    <row r="59" s="131" customFormat="1" ht="11.5" customHeight="1">
      <c r="A59" s="715"/>
      <c r="B59" s="57"/>
      <c r="C59" s="57"/>
      <c r="D59" s="131"/>
      <c r="K59" s="53"/>
      <c r="L59" s="57"/>
      <c r="M59" s="57"/>
      <c r="N59" s="53"/>
      <c r="O59" s="53"/>
      <c r="P59" s="53"/>
      <c r="Q59" s="53"/>
      <c r="R59" s="57"/>
      <c r="S59" s="53"/>
      <c r="T59" s="53"/>
      <c r="U59" s="716"/>
      <c r="V59" s="53"/>
      <c r="W59" s="53"/>
      <c r="X59" s="53"/>
      <c r="Y59" s="53"/>
      <c r="Z59" s="53"/>
      <c r="AA59" s="56"/>
      <c r="AB59" s="54"/>
      <c r="AC59" s="54"/>
      <c r="AD59" s="54"/>
      <c r="AE59" s="54"/>
      <c r="AF59" s="131">
        <v>11</v>
      </c>
    </row>
    <row r="60" s="131" customFormat="1" ht="11.5" customHeight="1">
      <c r="A60" s="715"/>
      <c r="B60" s="57"/>
      <c r="C60" s="57"/>
      <c r="D60" s="131"/>
      <c r="K60" s="53"/>
      <c r="L60" s="57"/>
      <c r="M60" s="57"/>
      <c r="N60" s="53"/>
      <c r="O60" s="53"/>
      <c r="P60" s="53"/>
      <c r="Q60" s="53"/>
      <c r="R60" s="57"/>
      <c r="S60" s="53"/>
      <c r="T60" s="53"/>
      <c r="U60" s="716"/>
      <c r="V60" s="53"/>
      <c r="W60" s="53"/>
      <c r="X60" s="53"/>
      <c r="Y60" s="53"/>
      <c r="Z60" s="53"/>
      <c r="AA60" s="56"/>
      <c r="AB60" s="54"/>
      <c r="AC60" s="54"/>
      <c r="AD60" s="54"/>
      <c r="AE60" s="54"/>
      <c r="AF60" s="131">
        <v>11</v>
      </c>
    </row>
    <row r="61" s="131" customFormat="1" ht="11.5" customHeight="1">
      <c r="A61" s="715"/>
      <c r="B61" s="57"/>
      <c r="C61" s="57"/>
      <c r="D61" s="131"/>
      <c r="K61" s="53"/>
      <c r="L61" s="57"/>
      <c r="M61" s="57"/>
      <c r="N61" s="53"/>
      <c r="O61" s="53"/>
      <c r="P61" s="53"/>
      <c r="Q61" s="53"/>
      <c r="R61" s="57"/>
      <c r="S61" s="53"/>
      <c r="T61" s="53"/>
      <c r="U61" s="716"/>
      <c r="V61" s="53"/>
      <c r="W61" s="53"/>
      <c r="X61" s="53"/>
      <c r="Y61" s="53"/>
      <c r="Z61" s="53"/>
      <c r="AA61" s="56"/>
      <c r="AB61" s="54"/>
      <c r="AC61" s="54"/>
      <c r="AD61" s="54"/>
      <c r="AE61" s="54"/>
      <c r="AF61" s="131">
        <v>11</v>
      </c>
    </row>
    <row r="62" s="131" customFormat="1" ht="11.5" customHeight="1">
      <c r="A62" s="715"/>
      <c r="B62" s="57"/>
      <c r="C62" s="57"/>
      <c r="D62" s="131"/>
      <c r="K62" s="53"/>
      <c r="L62" s="57"/>
      <c r="M62" s="57"/>
      <c r="N62" s="53"/>
      <c r="O62" s="53"/>
      <c r="P62" s="53"/>
      <c r="Q62" s="53"/>
      <c r="R62" s="57"/>
      <c r="S62" s="53"/>
      <c r="T62" s="53"/>
      <c r="U62" s="716"/>
      <c r="V62" s="53"/>
      <c r="W62" s="53"/>
      <c r="X62" s="53"/>
      <c r="Y62" s="53"/>
      <c r="Z62" s="53"/>
      <c r="AA62" s="56"/>
      <c r="AB62" s="54"/>
      <c r="AC62" s="54"/>
      <c r="AD62" s="54"/>
      <c r="AE62" s="54"/>
      <c r="AF62" s="131">
        <v>11</v>
      </c>
    </row>
    <row r="63" s="131" customFormat="1" ht="11.5" customHeight="1">
      <c r="A63" s="715"/>
      <c r="B63" s="57"/>
      <c r="C63" s="57"/>
      <c r="D63" s="131"/>
      <c r="K63" s="53"/>
      <c r="L63" s="57"/>
      <c r="M63" s="57"/>
      <c r="N63" s="53"/>
      <c r="O63" s="53"/>
      <c r="P63" s="53"/>
      <c r="Q63" s="53"/>
      <c r="R63" s="57"/>
      <c r="S63" s="53"/>
      <c r="T63" s="53"/>
      <c r="U63" s="716"/>
      <c r="V63" s="53"/>
      <c r="W63" s="53"/>
      <c r="X63" s="53"/>
      <c r="Y63" s="53"/>
      <c r="Z63" s="53"/>
      <c r="AA63" s="56"/>
      <c r="AB63" s="54"/>
      <c r="AC63" s="54"/>
      <c r="AD63" s="54"/>
      <c r="AE63" s="54"/>
      <c r="AF63" s="131">
        <v>11</v>
      </c>
    </row>
    <row r="64" s="131" customFormat="1" ht="11.5" customHeight="1">
      <c r="A64" s="715"/>
      <c r="B64" s="57"/>
      <c r="C64" s="57"/>
      <c r="D64" s="131"/>
      <c r="K64" s="53"/>
      <c r="L64" s="57"/>
      <c r="M64" s="57"/>
      <c r="N64" s="53"/>
      <c r="O64" s="53"/>
      <c r="P64" s="53"/>
      <c r="Q64" s="53"/>
      <c r="R64" s="57"/>
      <c r="S64" s="53"/>
      <c r="T64" s="53"/>
      <c r="U64" s="716"/>
      <c r="V64" s="53"/>
      <c r="W64" s="53"/>
      <c r="X64" s="53"/>
      <c r="Y64" s="53"/>
      <c r="Z64" s="53"/>
      <c r="AA64" s="56"/>
      <c r="AB64" s="54"/>
      <c r="AC64" s="54"/>
      <c r="AD64" s="54"/>
      <c r="AE64" s="54"/>
      <c r="AF64" s="131">
        <v>11</v>
      </c>
    </row>
    <row r="65" s="131" customFormat="1" ht="11.5" customHeight="1">
      <c r="A65" s="715"/>
      <c r="B65" s="57"/>
      <c r="C65" s="57"/>
      <c r="D65" s="131"/>
      <c r="K65" s="53"/>
      <c r="L65" s="57"/>
      <c r="M65" s="57"/>
      <c r="N65" s="53"/>
      <c r="O65" s="53"/>
      <c r="P65" s="53"/>
      <c r="Q65" s="53"/>
      <c r="R65" s="57"/>
      <c r="S65" s="53"/>
      <c r="T65" s="53"/>
      <c r="U65" s="716"/>
      <c r="V65" s="53"/>
      <c r="W65" s="53"/>
      <c r="X65" s="53"/>
      <c r="Y65" s="53"/>
      <c r="Z65" s="53"/>
      <c r="AA65" s="56"/>
      <c r="AB65" s="54"/>
      <c r="AC65" s="54"/>
      <c r="AD65" s="54"/>
      <c r="AE65" s="54"/>
      <c r="AF65" s="131">
        <v>11</v>
      </c>
    </row>
    <row r="66" s="131" customFormat="1" ht="11.5" customHeight="1">
      <c r="A66" s="715"/>
      <c r="B66" s="57"/>
      <c r="C66" s="57"/>
      <c r="D66" s="131"/>
      <c r="K66" s="53"/>
      <c r="L66" s="57"/>
      <c r="M66" s="57"/>
      <c r="N66" s="53"/>
      <c r="O66" s="53"/>
      <c r="P66" s="53"/>
      <c r="Q66" s="53"/>
      <c r="R66" s="57"/>
      <c r="S66" s="53"/>
      <c r="T66" s="53"/>
      <c r="U66" s="716"/>
      <c r="V66" s="53"/>
      <c r="W66" s="53"/>
      <c r="X66" s="53"/>
      <c r="Y66" s="53"/>
      <c r="Z66" s="53"/>
      <c r="AA66" s="56"/>
      <c r="AB66" s="54"/>
      <c r="AC66" s="54"/>
      <c r="AD66" s="54"/>
      <c r="AE66" s="54"/>
      <c r="AF66" s="131">
        <v>11</v>
      </c>
    </row>
    <row r="67" s="131" customFormat="1" ht="11.5" customHeight="1">
      <c r="A67" s="715"/>
      <c r="B67" s="57"/>
      <c r="C67" s="57"/>
      <c r="D67" s="131"/>
      <c r="K67" s="53"/>
      <c r="L67" s="57"/>
      <c r="M67" s="57"/>
      <c r="N67" s="53"/>
      <c r="O67" s="53"/>
      <c r="P67" s="53"/>
      <c r="Q67" s="53"/>
      <c r="R67" s="57"/>
      <c r="S67" s="53"/>
      <c r="T67" s="53"/>
      <c r="U67" s="716"/>
      <c r="V67" s="53"/>
      <c r="W67" s="53"/>
      <c r="X67" s="53"/>
      <c r="Y67" s="53"/>
      <c r="Z67" s="53"/>
      <c r="AA67" s="56"/>
      <c r="AB67" s="54"/>
      <c r="AC67" s="54"/>
      <c r="AD67" s="54"/>
      <c r="AE67" s="54"/>
      <c r="AF67" s="131">
        <v>11</v>
      </c>
    </row>
    <row r="68" s="131" customFormat="1" ht="11.5" customHeight="1">
      <c r="A68" s="715"/>
      <c r="B68" s="57"/>
      <c r="C68" s="57"/>
      <c r="D68" s="131"/>
      <c r="K68" s="53"/>
      <c r="L68" s="57"/>
      <c r="M68" s="57"/>
      <c r="N68" s="53"/>
      <c r="O68" s="53"/>
      <c r="P68" s="53"/>
      <c r="Q68" s="53"/>
      <c r="R68" s="57"/>
      <c r="S68" s="53"/>
      <c r="T68" s="53"/>
      <c r="U68" s="716"/>
      <c r="V68" s="53"/>
      <c r="W68" s="53"/>
      <c r="X68" s="53"/>
      <c r="Y68" s="53"/>
      <c r="Z68" s="53"/>
      <c r="AA68" s="56"/>
      <c r="AB68" s="54"/>
      <c r="AC68" s="54"/>
      <c r="AD68" s="54"/>
      <c r="AE68" s="54"/>
      <c r="AF68" s="131">
        <v>11</v>
      </c>
    </row>
    <row r="69" s="131" customFormat="1" ht="11.5" customHeight="1">
      <c r="A69" s="715"/>
      <c r="B69" s="57"/>
      <c r="C69" s="57"/>
      <c r="D69" s="131"/>
      <c r="K69" s="53"/>
      <c r="L69" s="57"/>
      <c r="M69" s="57"/>
      <c r="N69" s="53"/>
      <c r="O69" s="53"/>
      <c r="P69" s="53"/>
      <c r="Q69" s="53"/>
      <c r="R69" s="57"/>
      <c r="S69" s="53"/>
      <c r="T69" s="53"/>
      <c r="U69" s="716"/>
      <c r="V69" s="53"/>
      <c r="W69" s="53"/>
      <c r="X69" s="53"/>
      <c r="Y69" s="53"/>
      <c r="Z69" s="53"/>
      <c r="AA69" s="56"/>
      <c r="AB69" s="54"/>
      <c r="AC69" s="54"/>
      <c r="AD69" s="54"/>
      <c r="AE69" s="54"/>
      <c r="AF69" s="131">
        <v>11</v>
      </c>
    </row>
    <row r="70" s="131" customFormat="1" ht="11.5" customHeight="1">
      <c r="A70" s="715"/>
      <c r="B70" s="57"/>
      <c r="C70" s="57"/>
      <c r="D70" s="131"/>
      <c r="K70" s="53"/>
      <c r="L70" s="57"/>
      <c r="M70" s="57"/>
      <c r="N70" s="53"/>
      <c r="O70" s="53"/>
      <c r="P70" s="53"/>
      <c r="Q70" s="53"/>
      <c r="R70" s="57"/>
      <c r="S70" s="53"/>
      <c r="T70" s="53"/>
      <c r="U70" s="716"/>
      <c r="V70" s="53"/>
      <c r="W70" s="53"/>
      <c r="X70" s="53"/>
      <c r="Y70" s="53"/>
      <c r="Z70" s="53"/>
      <c r="AA70" s="56"/>
      <c r="AB70" s="54"/>
      <c r="AC70" s="54"/>
      <c r="AD70" s="54"/>
      <c r="AE70" s="54"/>
      <c r="AF70" s="131">
        <v>11</v>
      </c>
    </row>
    <row r="71" s="131" customFormat="1" ht="11.5" customHeight="1">
      <c r="A71" s="715"/>
      <c r="B71" s="57"/>
      <c r="C71" s="57"/>
      <c r="D71" s="131"/>
      <c r="K71" s="53"/>
      <c r="L71" s="57"/>
      <c r="M71" s="57"/>
      <c r="N71" s="53"/>
      <c r="O71" s="53"/>
      <c r="P71" s="53"/>
      <c r="Q71" s="53"/>
      <c r="R71" s="57"/>
      <c r="S71" s="53"/>
      <c r="T71" s="53"/>
      <c r="U71" s="716"/>
      <c r="V71" s="53"/>
      <c r="W71" s="53"/>
      <c r="X71" s="53"/>
      <c r="Y71" s="53"/>
      <c r="Z71" s="53"/>
      <c r="AA71" s="56"/>
      <c r="AB71" s="54"/>
      <c r="AC71" s="54"/>
      <c r="AD71" s="54"/>
      <c r="AE71" s="54"/>
      <c r="AF71" s="131">
        <v>11</v>
      </c>
    </row>
    <row r="72" s="131" customFormat="1" ht="11.5" customHeight="1">
      <c r="A72" s="715"/>
      <c r="B72" s="57"/>
      <c r="C72" s="57"/>
      <c r="D72" s="131"/>
      <c r="K72" s="53"/>
      <c r="L72" s="57"/>
      <c r="M72" s="57"/>
      <c r="N72" s="53"/>
      <c r="O72" s="53"/>
      <c r="P72" s="53"/>
      <c r="Q72" s="53"/>
      <c r="R72" s="57"/>
      <c r="S72" s="53"/>
      <c r="T72" s="53"/>
      <c r="U72" s="716"/>
      <c r="V72" s="53"/>
      <c r="W72" s="53"/>
      <c r="X72" s="53"/>
      <c r="Y72" s="53"/>
      <c r="Z72" s="53"/>
      <c r="AA72" s="56"/>
      <c r="AB72" s="54"/>
      <c r="AC72" s="54"/>
      <c r="AD72" s="54"/>
      <c r="AE72" s="54"/>
      <c r="AF72" s="131">
        <v>11</v>
      </c>
    </row>
    <row r="73" s="131" customFormat="1" ht="11.5" customHeight="1">
      <c r="A73" s="715"/>
      <c r="B73" s="57"/>
      <c r="C73" s="57"/>
      <c r="D73" s="131"/>
      <c r="K73" s="53"/>
      <c r="L73" s="57"/>
      <c r="M73" s="57"/>
      <c r="N73" s="53"/>
      <c r="O73" s="53"/>
      <c r="P73" s="53"/>
      <c r="Q73" s="53"/>
      <c r="R73" s="57"/>
      <c r="S73" s="53"/>
      <c r="T73" s="53"/>
      <c r="U73" s="716"/>
      <c r="V73" s="53"/>
      <c r="W73" s="53"/>
      <c r="X73" s="53"/>
      <c r="Y73" s="53"/>
      <c r="Z73" s="53"/>
      <c r="AA73" s="56"/>
      <c r="AB73" s="54"/>
      <c r="AC73" s="54"/>
      <c r="AD73" s="54"/>
      <c r="AE73" s="54"/>
      <c r="AF73" s="131">
        <v>11</v>
      </c>
    </row>
    <row r="74" s="131" customFormat="1" ht="11.5" customHeight="1">
      <c r="A74" s="715"/>
      <c r="B74" s="57"/>
      <c r="C74" s="57"/>
      <c r="D74" s="131"/>
      <c r="K74" s="53"/>
      <c r="L74" s="57"/>
      <c r="M74" s="57"/>
      <c r="N74" s="53"/>
      <c r="O74" s="53"/>
      <c r="P74" s="53"/>
      <c r="Q74" s="53"/>
      <c r="R74" s="57"/>
      <c r="S74" s="53"/>
      <c r="T74" s="53"/>
      <c r="U74" s="716"/>
      <c r="V74" s="53"/>
      <c r="W74" s="53"/>
      <c r="X74" s="53"/>
      <c r="Y74" s="53"/>
      <c r="Z74" s="53"/>
      <c r="AA74" s="56"/>
      <c r="AB74" s="54"/>
      <c r="AC74" s="54"/>
      <c r="AD74" s="54"/>
      <c r="AE74" s="54"/>
      <c r="AF74" s="131">
        <v>11</v>
      </c>
    </row>
    <row r="75" s="131" customFormat="1" ht="11.5" customHeight="1">
      <c r="A75" s="715"/>
      <c r="B75" s="57"/>
      <c r="C75" s="57"/>
      <c r="D75" s="131"/>
      <c r="K75" s="53"/>
      <c r="L75" s="57"/>
      <c r="M75" s="57"/>
      <c r="N75" s="53"/>
      <c r="O75" s="53"/>
      <c r="P75" s="53"/>
      <c r="Q75" s="53"/>
      <c r="R75" s="57"/>
      <c r="S75" s="53"/>
      <c r="T75" s="53"/>
      <c r="U75" s="716"/>
      <c r="V75" s="53"/>
      <c r="W75" s="53"/>
      <c r="X75" s="53"/>
      <c r="Y75" s="53"/>
      <c r="Z75" s="53"/>
      <c r="AA75" s="56"/>
      <c r="AB75" s="54"/>
      <c r="AC75" s="54"/>
      <c r="AD75" s="54"/>
      <c r="AE75" s="54"/>
      <c r="AF75" s="131">
        <v>11</v>
      </c>
    </row>
    <row r="76" s="131" customFormat="1" ht="11.5" customHeight="1">
      <c r="A76" s="715"/>
      <c r="B76" s="57"/>
      <c r="C76" s="57"/>
      <c r="D76" s="131"/>
      <c r="K76" s="53"/>
      <c r="L76" s="57"/>
      <c r="M76" s="57"/>
      <c r="N76" s="53"/>
      <c r="O76" s="53"/>
      <c r="P76" s="53"/>
      <c r="Q76" s="53"/>
      <c r="R76" s="57"/>
      <c r="S76" s="53"/>
      <c r="T76" s="53"/>
      <c r="U76" s="716"/>
      <c r="V76" s="53"/>
      <c r="W76" s="53"/>
      <c r="X76" s="53"/>
      <c r="Y76" s="53"/>
      <c r="Z76" s="53"/>
      <c r="AA76" s="56"/>
      <c r="AB76" s="54"/>
      <c r="AC76" s="54"/>
      <c r="AD76" s="54"/>
      <c r="AE76" s="54"/>
      <c r="AF76" s="131">
        <v>11</v>
      </c>
    </row>
    <row r="77" s="131" customFormat="1" ht="11.5" customHeight="1">
      <c r="A77" s="715"/>
      <c r="B77" s="57"/>
      <c r="C77" s="57"/>
      <c r="D77" s="131"/>
      <c r="K77" s="53"/>
      <c r="L77" s="57"/>
      <c r="M77" s="57"/>
      <c r="N77" s="53"/>
      <c r="O77" s="53"/>
      <c r="P77" s="53"/>
      <c r="Q77" s="53"/>
      <c r="R77" s="57"/>
      <c r="S77" s="53"/>
      <c r="T77" s="53"/>
      <c r="U77" s="716"/>
      <c r="V77" s="53"/>
      <c r="W77" s="53"/>
      <c r="X77" s="53"/>
      <c r="Y77" s="53"/>
      <c r="Z77" s="53"/>
      <c r="AA77" s="56"/>
      <c r="AB77" s="54"/>
      <c r="AC77" s="54"/>
      <c r="AD77" s="54"/>
      <c r="AE77" s="54"/>
      <c r="AF77" s="131">
        <v>11</v>
      </c>
    </row>
    <row r="78" s="131" customFormat="1" ht="11.5" customHeight="1">
      <c r="A78" s="715"/>
      <c r="B78" s="57"/>
      <c r="C78" s="57"/>
      <c r="D78" s="131"/>
      <c r="K78" s="53"/>
      <c r="L78" s="57"/>
      <c r="M78" s="57"/>
      <c r="N78" s="53"/>
      <c r="O78" s="53"/>
      <c r="P78" s="53"/>
      <c r="Q78" s="53"/>
      <c r="R78" s="57"/>
      <c r="S78" s="53"/>
      <c r="T78" s="53"/>
      <c r="U78" s="716"/>
      <c r="V78" s="53"/>
      <c r="W78" s="53"/>
      <c r="X78" s="53"/>
      <c r="Y78" s="53"/>
      <c r="Z78" s="53"/>
      <c r="AA78" s="56"/>
      <c r="AB78" s="54"/>
      <c r="AC78" s="54"/>
      <c r="AD78" s="54"/>
      <c r="AE78" s="54"/>
      <c r="AF78" s="131">
        <v>11</v>
      </c>
    </row>
    <row r="79" s="131" customFormat="1" ht="11.5" customHeight="1">
      <c r="A79" s="715"/>
      <c r="B79" s="57"/>
      <c r="C79" s="57"/>
      <c r="D79" s="131"/>
      <c r="K79" s="53"/>
      <c r="L79" s="57"/>
      <c r="M79" s="57"/>
      <c r="N79" s="53"/>
      <c r="O79" s="53"/>
      <c r="P79" s="53"/>
      <c r="Q79" s="53"/>
      <c r="R79" s="57"/>
      <c r="S79" s="53"/>
      <c r="T79" s="53"/>
      <c r="U79" s="716"/>
      <c r="V79" s="53"/>
      <c r="W79" s="53"/>
      <c r="X79" s="53"/>
      <c r="Y79" s="53"/>
      <c r="Z79" s="53"/>
      <c r="AA79" s="56"/>
      <c r="AB79" s="54"/>
      <c r="AC79" s="54"/>
      <c r="AD79" s="54"/>
      <c r="AE79" s="54"/>
      <c r="AF79" s="131">
        <v>11</v>
      </c>
    </row>
    <row r="80" s="131" customFormat="1" ht="11.5" customHeight="1">
      <c r="A80" s="715"/>
      <c r="B80" s="57"/>
      <c r="C80" s="57"/>
      <c r="D80" s="131"/>
      <c r="K80" s="53"/>
      <c r="L80" s="57"/>
      <c r="M80" s="57"/>
      <c r="N80" s="53"/>
      <c r="O80" s="53"/>
      <c r="P80" s="53"/>
      <c r="Q80" s="53"/>
      <c r="R80" s="57"/>
      <c r="S80" s="53"/>
      <c r="T80" s="53"/>
      <c r="U80" s="716"/>
      <c r="V80" s="53"/>
      <c r="W80" s="53"/>
      <c r="X80" s="53"/>
      <c r="Y80" s="53"/>
      <c r="Z80" s="53"/>
      <c r="AA80" s="56"/>
      <c r="AB80" s="54"/>
      <c r="AC80" s="54"/>
      <c r="AD80" s="54"/>
      <c r="AE80" s="54"/>
      <c r="AF80" s="131">
        <v>11</v>
      </c>
    </row>
    <row r="81" s="131" customFormat="1" ht="11.5" customHeight="1">
      <c r="A81" s="715"/>
      <c r="B81" s="57"/>
      <c r="C81" s="57"/>
      <c r="D81" s="131"/>
      <c r="K81" s="53"/>
      <c r="L81" s="57"/>
      <c r="M81" s="57"/>
      <c r="N81" s="53"/>
      <c r="O81" s="53"/>
      <c r="P81" s="53"/>
      <c r="Q81" s="53"/>
      <c r="R81" s="57"/>
      <c r="S81" s="53"/>
      <c r="T81" s="53"/>
      <c r="U81" s="716"/>
      <c r="V81" s="53"/>
      <c r="W81" s="53"/>
      <c r="X81" s="53"/>
      <c r="Y81" s="53"/>
      <c r="Z81" s="53"/>
      <c r="AA81" s="56"/>
      <c r="AB81" s="54"/>
      <c r="AC81" s="54"/>
      <c r="AD81" s="54"/>
      <c r="AE81" s="54"/>
      <c r="AF81" s="131">
        <v>11</v>
      </c>
    </row>
    <row r="82" s="131" customFormat="1" ht="11.5" customHeight="1">
      <c r="A82" s="715"/>
      <c r="B82" s="57"/>
      <c r="C82" s="57"/>
      <c r="D82" s="131"/>
      <c r="K82" s="53"/>
      <c r="L82" s="57"/>
      <c r="M82" s="57"/>
      <c r="N82" s="53"/>
      <c r="O82" s="53"/>
      <c r="P82" s="53"/>
      <c r="Q82" s="53"/>
      <c r="R82" s="57"/>
      <c r="S82" s="53"/>
      <c r="T82" s="53"/>
      <c r="U82" s="716"/>
      <c r="V82" s="53"/>
      <c r="W82" s="53"/>
      <c r="X82" s="53"/>
      <c r="Y82" s="53"/>
      <c r="Z82" s="53"/>
      <c r="AA82" s="56"/>
      <c r="AB82" s="54"/>
      <c r="AC82" s="54"/>
      <c r="AD82" s="54"/>
      <c r="AE82" s="54"/>
      <c r="AF82" s="131">
        <v>11</v>
      </c>
    </row>
    <row r="83" s="131" customFormat="1" ht="11.5" customHeight="1">
      <c r="A83" s="715"/>
      <c r="B83" s="57"/>
      <c r="C83" s="57"/>
      <c r="D83" s="131"/>
      <c r="K83" s="53"/>
      <c r="L83" s="57"/>
      <c r="M83" s="57"/>
      <c r="N83" s="53"/>
      <c r="O83" s="53"/>
      <c r="P83" s="53"/>
      <c r="Q83" s="53"/>
      <c r="R83" s="57"/>
      <c r="S83" s="53"/>
      <c r="T83" s="53"/>
      <c r="U83" s="716"/>
      <c r="V83" s="53"/>
      <c r="W83" s="53"/>
      <c r="X83" s="53"/>
      <c r="Y83" s="53"/>
      <c r="Z83" s="53"/>
      <c r="AA83" s="56"/>
      <c r="AB83" s="54"/>
      <c r="AC83" s="54"/>
      <c r="AD83" s="54"/>
      <c r="AE83" s="54"/>
      <c r="AF83" s="131">
        <v>11</v>
      </c>
    </row>
    <row r="84" s="131" customFormat="1" ht="11.5" customHeight="1">
      <c r="A84" s="715"/>
      <c r="B84" s="57"/>
      <c r="C84" s="57"/>
      <c r="D84" s="131"/>
      <c r="K84" s="53"/>
      <c r="L84" s="57"/>
      <c r="M84" s="57"/>
      <c r="N84" s="53"/>
      <c r="O84" s="53"/>
      <c r="P84" s="53"/>
      <c r="Q84" s="53"/>
      <c r="R84" s="57"/>
      <c r="S84" s="53"/>
      <c r="T84" s="53"/>
      <c r="U84" s="716"/>
      <c r="V84" s="53"/>
      <c r="W84" s="53"/>
      <c r="X84" s="53"/>
      <c r="Y84" s="53"/>
      <c r="Z84" s="53"/>
      <c r="AA84" s="56"/>
      <c r="AB84" s="54"/>
      <c r="AC84" s="54"/>
      <c r="AD84" s="54"/>
      <c r="AE84" s="54"/>
      <c r="AF84" s="131">
        <v>11</v>
      </c>
    </row>
    <row r="85" s="131" customFormat="1" ht="11.5" customHeight="1">
      <c r="A85" s="715"/>
      <c r="B85" s="57"/>
      <c r="C85" s="57"/>
      <c r="D85" s="131"/>
      <c r="K85" s="53"/>
      <c r="L85" s="57"/>
      <c r="M85" s="57"/>
      <c r="N85" s="53"/>
      <c r="O85" s="53"/>
      <c r="P85" s="53"/>
      <c r="Q85" s="53"/>
      <c r="R85" s="57"/>
      <c r="S85" s="53"/>
      <c r="T85" s="53"/>
      <c r="U85" s="716"/>
      <c r="V85" s="53"/>
      <c r="W85" s="53"/>
      <c r="X85" s="53"/>
      <c r="Y85" s="53"/>
      <c r="Z85" s="53"/>
      <c r="AA85" s="56"/>
      <c r="AB85" s="54"/>
      <c r="AC85" s="54"/>
      <c r="AD85" s="54"/>
      <c r="AE85" s="54"/>
      <c r="AF85" s="131">
        <v>11</v>
      </c>
    </row>
    <row r="86" s="131" customFormat="1" ht="11.5" customHeight="1">
      <c r="A86" s="715"/>
      <c r="B86" s="57"/>
      <c r="C86" s="57"/>
      <c r="D86" s="131"/>
      <c r="K86" s="53"/>
      <c r="L86" s="57"/>
      <c r="M86" s="57"/>
      <c r="N86" s="53"/>
      <c r="O86" s="53"/>
      <c r="P86" s="53"/>
      <c r="Q86" s="53"/>
      <c r="R86" s="57"/>
      <c r="S86" s="53"/>
      <c r="T86" s="53"/>
      <c r="U86" s="716"/>
      <c r="V86" s="53"/>
      <c r="W86" s="53"/>
      <c r="X86" s="53"/>
      <c r="Y86" s="53"/>
      <c r="Z86" s="53"/>
      <c r="AA86" s="56"/>
      <c r="AB86" s="54"/>
      <c r="AC86" s="54"/>
      <c r="AD86" s="54"/>
      <c r="AE86" s="54"/>
      <c r="AF86" s="131">
        <v>11</v>
      </c>
    </row>
    <row r="87" s="131" customFormat="1" ht="11.5" customHeight="1">
      <c r="A87" s="715"/>
      <c r="B87" s="57"/>
      <c r="C87" s="57"/>
      <c r="D87" s="131"/>
      <c r="K87" s="53"/>
      <c r="L87" s="57"/>
      <c r="M87" s="57"/>
      <c r="N87" s="53"/>
      <c r="O87" s="53"/>
      <c r="P87" s="53"/>
      <c r="Q87" s="53"/>
      <c r="R87" s="57"/>
      <c r="S87" s="53"/>
      <c r="T87" s="53"/>
      <c r="U87" s="716"/>
      <c r="V87" s="53"/>
      <c r="W87" s="53"/>
      <c r="X87" s="53"/>
      <c r="Y87" s="53"/>
      <c r="Z87" s="53"/>
      <c r="AA87" s="56"/>
      <c r="AB87" s="54"/>
      <c r="AC87" s="54"/>
      <c r="AD87" s="54"/>
      <c r="AE87" s="54"/>
      <c r="AF87" s="131">
        <v>11</v>
      </c>
    </row>
    <row r="88" s="131" customFormat="1" ht="11.5" customHeight="1">
      <c r="A88" s="715"/>
      <c r="B88" s="57"/>
      <c r="C88" s="57"/>
      <c r="D88" s="131"/>
      <c r="K88" s="53"/>
      <c r="L88" s="57"/>
      <c r="M88" s="57"/>
      <c r="N88" s="53"/>
      <c r="O88" s="53"/>
      <c r="P88" s="53"/>
      <c r="Q88" s="53"/>
      <c r="R88" s="57"/>
      <c r="S88" s="53"/>
      <c r="T88" s="53"/>
      <c r="U88" s="716"/>
      <c r="V88" s="53"/>
      <c r="W88" s="53"/>
      <c r="X88" s="53"/>
      <c r="Y88" s="53"/>
      <c r="Z88" s="53"/>
      <c r="AA88" s="56"/>
      <c r="AB88" s="54"/>
      <c r="AC88" s="54"/>
      <c r="AD88" s="54"/>
      <c r="AE88" s="54"/>
      <c r="AF88" s="131">
        <v>11</v>
      </c>
    </row>
    <row r="89" s="131" customFormat="1" ht="11.5" customHeight="1">
      <c r="A89" s="715"/>
      <c r="B89" s="57"/>
      <c r="C89" s="57"/>
      <c r="D89" s="131"/>
      <c r="K89" s="53"/>
      <c r="L89" s="57"/>
      <c r="M89" s="57"/>
      <c r="N89" s="53"/>
      <c r="O89" s="53"/>
      <c r="P89" s="53"/>
      <c r="Q89" s="53"/>
      <c r="R89" s="57"/>
      <c r="S89" s="53"/>
      <c r="T89" s="53"/>
      <c r="U89" s="716"/>
      <c r="V89" s="53"/>
      <c r="W89" s="53"/>
      <c r="X89" s="53"/>
      <c r="Y89" s="53"/>
      <c r="Z89" s="53"/>
      <c r="AA89" s="56"/>
      <c r="AB89" s="54"/>
      <c r="AC89" s="54"/>
      <c r="AD89" s="54"/>
      <c r="AE89" s="54"/>
      <c r="AF89" s="131">
        <v>11</v>
      </c>
    </row>
    <row r="90" s="131" customFormat="1" ht="11.5" customHeight="1">
      <c r="A90" s="715"/>
      <c r="B90" s="57"/>
      <c r="C90" s="57"/>
      <c r="D90" s="131"/>
      <c r="K90" s="53"/>
      <c r="L90" s="57"/>
      <c r="M90" s="57"/>
      <c r="N90" s="53"/>
      <c r="O90" s="53"/>
      <c r="P90" s="53"/>
      <c r="Q90" s="53"/>
      <c r="R90" s="57"/>
      <c r="S90" s="53"/>
      <c r="T90" s="53"/>
      <c r="U90" s="716"/>
      <c r="V90" s="53"/>
      <c r="W90" s="53"/>
      <c r="X90" s="53"/>
      <c r="Y90" s="53"/>
      <c r="Z90" s="53"/>
      <c r="AA90" s="56"/>
      <c r="AB90" s="54"/>
      <c r="AC90" s="54"/>
      <c r="AD90" s="54"/>
      <c r="AE90" s="54"/>
      <c r="AF90" s="131">
        <v>11</v>
      </c>
    </row>
    <row r="91" s="131" customFormat="1" ht="11.5" customHeight="1">
      <c r="A91" s="715"/>
      <c r="B91" s="57"/>
      <c r="C91" s="57"/>
      <c r="D91" s="131"/>
      <c r="K91" s="53"/>
      <c r="L91" s="57"/>
      <c r="M91" s="57"/>
      <c r="N91" s="53"/>
      <c r="O91" s="53"/>
      <c r="P91" s="53"/>
      <c r="Q91" s="53"/>
      <c r="R91" s="57"/>
      <c r="S91" s="53"/>
      <c r="T91" s="53"/>
      <c r="U91" s="716"/>
      <c r="V91" s="53"/>
      <c r="W91" s="53"/>
      <c r="X91" s="53"/>
      <c r="Y91" s="53"/>
      <c r="Z91" s="53"/>
      <c r="AA91" s="56"/>
      <c r="AB91" s="54"/>
      <c r="AC91" s="54"/>
      <c r="AD91" s="54"/>
      <c r="AE91" s="54"/>
      <c r="AF91" s="131">
        <v>11</v>
      </c>
    </row>
    <row r="92" s="131" customFormat="1" ht="11.5" customHeight="1">
      <c r="A92" s="715"/>
      <c r="B92" s="57"/>
      <c r="C92" s="57"/>
      <c r="D92" s="131"/>
      <c r="K92" s="53"/>
      <c r="L92" s="57"/>
      <c r="M92" s="57"/>
      <c r="N92" s="53"/>
      <c r="O92" s="53"/>
      <c r="P92" s="53"/>
      <c r="Q92" s="53"/>
      <c r="R92" s="57"/>
      <c r="S92" s="53"/>
      <c r="T92" s="53"/>
      <c r="U92" s="716"/>
      <c r="V92" s="53"/>
      <c r="W92" s="53"/>
      <c r="X92" s="53"/>
      <c r="Y92" s="53"/>
      <c r="Z92" s="53"/>
      <c r="AA92" s="56"/>
      <c r="AB92" s="54"/>
      <c r="AC92" s="54"/>
      <c r="AD92" s="54"/>
      <c r="AE92" s="54"/>
      <c r="AF92" s="131">
        <v>11</v>
      </c>
    </row>
    <row r="93" s="131" customFormat="1" ht="11.5" customHeight="1">
      <c r="A93" s="715"/>
      <c r="B93" s="57"/>
      <c r="C93" s="57"/>
      <c r="D93" s="131"/>
      <c r="K93" s="53"/>
      <c r="L93" s="57"/>
      <c r="M93" s="57"/>
      <c r="N93" s="53"/>
      <c r="O93" s="53"/>
      <c r="P93" s="53"/>
      <c r="Q93" s="53"/>
      <c r="R93" s="57"/>
      <c r="S93" s="53"/>
      <c r="T93" s="53"/>
      <c r="U93" s="716"/>
      <c r="V93" s="53"/>
      <c r="W93" s="53"/>
      <c r="X93" s="53"/>
      <c r="Y93" s="53"/>
      <c r="Z93" s="53"/>
      <c r="AA93" s="56"/>
      <c r="AB93" s="54"/>
      <c r="AC93" s="54"/>
      <c r="AD93" s="54"/>
      <c r="AE93" s="54"/>
      <c r="AF93" s="131">
        <v>11</v>
      </c>
    </row>
    <row r="94" s="131" customFormat="1" ht="11.5" customHeight="1">
      <c r="A94" s="715"/>
      <c r="B94" s="57"/>
      <c r="C94" s="57"/>
      <c r="D94" s="131"/>
      <c r="K94" s="53"/>
      <c r="L94" s="57"/>
      <c r="M94" s="57"/>
      <c r="N94" s="53"/>
      <c r="O94" s="53"/>
      <c r="P94" s="53"/>
      <c r="Q94" s="53"/>
      <c r="R94" s="57"/>
      <c r="S94" s="53"/>
      <c r="T94" s="53"/>
      <c r="U94" s="716"/>
      <c r="V94" s="53"/>
      <c r="W94" s="53"/>
      <c r="X94" s="53"/>
      <c r="Y94" s="53"/>
      <c r="Z94" s="53"/>
      <c r="AA94" s="56"/>
      <c r="AB94" s="54"/>
      <c r="AC94" s="54"/>
      <c r="AD94" s="54"/>
      <c r="AE94" s="54"/>
      <c r="AF94" s="131">
        <v>11</v>
      </c>
    </row>
    <row r="95" s="131" customFormat="1" ht="11.5" customHeight="1">
      <c r="A95" s="715"/>
      <c r="B95" s="57"/>
      <c r="C95" s="57"/>
      <c r="D95" s="131"/>
      <c r="K95" s="53"/>
      <c r="L95" s="57"/>
      <c r="M95" s="57"/>
      <c r="N95" s="53"/>
      <c r="O95" s="53"/>
      <c r="P95" s="53"/>
      <c r="Q95" s="53"/>
      <c r="R95" s="57"/>
      <c r="S95" s="53"/>
      <c r="T95" s="53"/>
      <c r="U95" s="716"/>
      <c r="V95" s="53"/>
      <c r="W95" s="53"/>
      <c r="X95" s="53"/>
      <c r="Y95" s="53"/>
      <c r="Z95" s="53"/>
      <c r="AA95" s="56"/>
      <c r="AB95" s="54"/>
      <c r="AC95" s="54"/>
      <c r="AD95" s="54"/>
      <c r="AE95" s="54"/>
      <c r="AF95" s="131">
        <v>11</v>
      </c>
    </row>
    <row r="96" s="131" customFormat="1" ht="11.5" customHeight="1">
      <c r="A96" s="715"/>
      <c r="B96" s="57"/>
      <c r="C96" s="57"/>
      <c r="D96" s="131"/>
      <c r="K96" s="53"/>
      <c r="L96" s="57"/>
      <c r="M96" s="57"/>
      <c r="N96" s="53"/>
      <c r="O96" s="53"/>
      <c r="P96" s="53"/>
      <c r="Q96" s="53"/>
      <c r="R96" s="57"/>
      <c r="S96" s="53"/>
      <c r="T96" s="53"/>
      <c r="U96" s="716"/>
      <c r="V96" s="53"/>
      <c r="W96" s="53"/>
      <c r="X96" s="53"/>
      <c r="Y96" s="53"/>
      <c r="Z96" s="53"/>
      <c r="AA96" s="56"/>
      <c r="AB96" s="54"/>
      <c r="AC96" s="54"/>
      <c r="AD96" s="54"/>
      <c r="AE96" s="54"/>
      <c r="AF96" s="131">
        <v>11</v>
      </c>
    </row>
    <row r="97" s="131" customFormat="1" ht="11.5" customHeight="1">
      <c r="A97" s="715"/>
      <c r="B97" s="57"/>
      <c r="C97" s="57"/>
      <c r="D97" s="131"/>
      <c r="K97" s="53"/>
      <c r="L97" s="57"/>
      <c r="M97" s="57"/>
      <c r="N97" s="53"/>
      <c r="O97" s="53"/>
      <c r="P97" s="53"/>
      <c r="Q97" s="53"/>
      <c r="R97" s="57"/>
      <c r="S97" s="53"/>
      <c r="T97" s="53"/>
      <c r="U97" s="716"/>
      <c r="V97" s="53"/>
      <c r="W97" s="53"/>
      <c r="X97" s="53"/>
      <c r="Y97" s="53"/>
      <c r="Z97" s="53"/>
      <c r="AA97" s="56"/>
      <c r="AB97" s="54"/>
      <c r="AC97" s="54"/>
      <c r="AD97" s="54"/>
      <c r="AE97" s="54"/>
      <c r="AF97" s="131">
        <v>11</v>
      </c>
    </row>
    <row r="98" s="131" customFormat="1" ht="11.5" customHeight="1">
      <c r="A98" s="715"/>
      <c r="B98" s="57"/>
      <c r="C98" s="57"/>
      <c r="D98" s="131"/>
      <c r="K98" s="53"/>
      <c r="L98" s="57"/>
      <c r="M98" s="57"/>
      <c r="N98" s="53"/>
      <c r="O98" s="53"/>
      <c r="P98" s="53"/>
      <c r="Q98" s="53"/>
      <c r="R98" s="57"/>
      <c r="S98" s="53"/>
      <c r="T98" s="53"/>
      <c r="U98" s="716"/>
      <c r="V98" s="53"/>
      <c r="W98" s="53"/>
      <c r="X98" s="53"/>
      <c r="Y98" s="53"/>
      <c r="Z98" s="53"/>
      <c r="AA98" s="56"/>
      <c r="AB98" s="54"/>
      <c r="AC98" s="54"/>
      <c r="AD98" s="54"/>
      <c r="AE98" s="54"/>
      <c r="AF98" s="131">
        <v>11</v>
      </c>
    </row>
    <row r="99" s="131" customFormat="1" ht="11.5" customHeight="1">
      <c r="A99" s="715"/>
      <c r="B99" s="57"/>
      <c r="C99" s="57"/>
      <c r="D99" s="131"/>
      <c r="K99" s="53"/>
      <c r="L99" s="57"/>
      <c r="M99" s="57"/>
      <c r="N99" s="53"/>
      <c r="O99" s="53"/>
      <c r="P99" s="53"/>
      <c r="Q99" s="53"/>
      <c r="R99" s="57"/>
      <c r="S99" s="53"/>
      <c r="T99" s="53"/>
      <c r="U99" s="716"/>
      <c r="V99" s="53"/>
      <c r="W99" s="53"/>
      <c r="X99" s="53"/>
      <c r="Y99" s="53"/>
      <c r="Z99" s="53"/>
      <c r="AA99" s="56"/>
      <c r="AB99" s="54"/>
      <c r="AC99" s="54"/>
      <c r="AD99" s="54"/>
      <c r="AE99" s="54"/>
      <c r="AF99" s="131">
        <v>11</v>
      </c>
    </row>
    <row r="100" s="131" customFormat="1" ht="11.5" customHeight="1">
      <c r="A100" s="715"/>
      <c r="B100" s="57"/>
      <c r="C100" s="57"/>
      <c r="D100" s="131"/>
      <c r="K100" s="53"/>
      <c r="L100" s="57"/>
      <c r="M100" s="57"/>
      <c r="N100" s="53"/>
      <c r="O100" s="53"/>
      <c r="P100" s="53"/>
      <c r="Q100" s="53"/>
      <c r="R100" s="57"/>
      <c r="S100" s="53"/>
      <c r="T100" s="53"/>
      <c r="U100" s="716"/>
      <c r="V100" s="53"/>
      <c r="W100" s="53"/>
      <c r="X100" s="53"/>
      <c r="Y100" s="53"/>
      <c r="Z100" s="53"/>
      <c r="AA100" s="56"/>
      <c r="AB100" s="54"/>
      <c r="AC100" s="54"/>
      <c r="AD100" s="54"/>
      <c r="AE100" s="54"/>
      <c r="AF100" s="131">
        <v>11</v>
      </c>
    </row>
    <row r="101" s="131" customFormat="1" ht="11.5" customHeight="1">
      <c r="A101" s="715"/>
      <c r="B101" s="57"/>
      <c r="C101" s="57"/>
      <c r="D101" s="131"/>
      <c r="K101" s="53"/>
      <c r="L101" s="57"/>
      <c r="M101" s="57"/>
      <c r="N101" s="53"/>
      <c r="O101" s="53"/>
      <c r="P101" s="53"/>
      <c r="Q101" s="53"/>
      <c r="R101" s="57"/>
      <c r="S101" s="53"/>
      <c r="T101" s="53"/>
      <c r="U101" s="716"/>
      <c r="V101" s="53"/>
      <c r="W101" s="53"/>
      <c r="X101" s="53"/>
      <c r="Y101" s="53"/>
      <c r="Z101" s="53"/>
      <c r="AA101" s="56"/>
      <c r="AB101" s="54"/>
      <c r="AC101" s="54"/>
      <c r="AD101" s="54"/>
      <c r="AE101" s="54"/>
      <c r="AF101" s="131">
        <v>11</v>
      </c>
    </row>
    <row r="102" s="131" customFormat="1" ht="11.5" customHeight="1">
      <c r="A102" s="715"/>
      <c r="B102" s="57"/>
      <c r="C102" s="57"/>
      <c r="D102" s="131"/>
      <c r="K102" s="53"/>
      <c r="L102" s="57"/>
      <c r="M102" s="57"/>
      <c r="N102" s="53"/>
      <c r="O102" s="53"/>
      <c r="P102" s="53"/>
      <c r="Q102" s="53"/>
      <c r="R102" s="57"/>
      <c r="S102" s="53"/>
      <c r="T102" s="53"/>
      <c r="U102" s="716"/>
      <c r="V102" s="53"/>
      <c r="W102" s="53"/>
      <c r="X102" s="53"/>
      <c r="Y102" s="53"/>
      <c r="Z102" s="53"/>
      <c r="AA102" s="56"/>
      <c r="AB102" s="54"/>
      <c r="AC102" s="54"/>
      <c r="AD102" s="54"/>
      <c r="AE102" s="54"/>
      <c r="AF102" s="131">
        <v>11</v>
      </c>
    </row>
    <row r="103" s="131" customFormat="1" ht="11.5" customHeight="1">
      <c r="A103" s="715"/>
      <c r="B103" s="57"/>
      <c r="C103" s="57"/>
      <c r="D103" s="131"/>
      <c r="K103" s="53"/>
      <c r="L103" s="57"/>
      <c r="M103" s="57"/>
      <c r="N103" s="53"/>
      <c r="O103" s="53"/>
      <c r="P103" s="53"/>
      <c r="Q103" s="53"/>
      <c r="R103" s="57"/>
      <c r="S103" s="53"/>
      <c r="T103" s="53"/>
      <c r="U103" s="716"/>
      <c r="V103" s="53"/>
      <c r="W103" s="53"/>
      <c r="X103" s="53"/>
      <c r="Y103" s="53"/>
      <c r="Z103" s="53"/>
      <c r="AA103" s="56"/>
      <c r="AB103" s="54"/>
      <c r="AC103" s="54"/>
      <c r="AD103" s="54"/>
      <c r="AE103" s="54"/>
      <c r="AF103" s="131">
        <v>11</v>
      </c>
    </row>
    <row r="104" s="131" customFormat="1" ht="11.5" customHeight="1">
      <c r="A104" s="715"/>
      <c r="B104" s="57"/>
      <c r="C104" s="57"/>
      <c r="D104" s="131"/>
      <c r="K104" s="53"/>
      <c r="L104" s="57"/>
      <c r="M104" s="57"/>
      <c r="N104" s="53"/>
      <c r="O104" s="53"/>
      <c r="P104" s="53"/>
      <c r="Q104" s="53"/>
      <c r="R104" s="57"/>
      <c r="S104" s="53"/>
      <c r="T104" s="53"/>
      <c r="U104" s="716"/>
      <c r="V104" s="53"/>
      <c r="W104" s="53"/>
      <c r="X104" s="53"/>
      <c r="Y104" s="53"/>
      <c r="Z104" s="53"/>
      <c r="AA104" s="56"/>
      <c r="AB104" s="54"/>
      <c r="AC104" s="54"/>
      <c r="AD104" s="54"/>
      <c r="AE104" s="54"/>
      <c r="AF104" s="131">
        <v>11</v>
      </c>
    </row>
    <row r="105" s="131" customFormat="1" ht="11.5" customHeight="1">
      <c r="A105" s="715"/>
      <c r="B105" s="57"/>
      <c r="C105" s="57"/>
      <c r="D105" s="131"/>
      <c r="K105" s="53"/>
      <c r="L105" s="57"/>
      <c r="M105" s="57"/>
      <c r="N105" s="53"/>
      <c r="O105" s="53"/>
      <c r="P105" s="53"/>
      <c r="Q105" s="53"/>
      <c r="R105" s="57"/>
      <c r="S105" s="53"/>
      <c r="T105" s="53"/>
      <c r="U105" s="716"/>
      <c r="V105" s="53"/>
      <c r="W105" s="53"/>
      <c r="X105" s="53"/>
      <c r="Y105" s="53"/>
      <c r="Z105" s="53"/>
      <c r="AA105" s="56"/>
      <c r="AB105" s="54"/>
      <c r="AC105" s="54"/>
      <c r="AD105" s="54"/>
      <c r="AE105" s="54"/>
      <c r="AF105" s="131">
        <v>11</v>
      </c>
    </row>
    <row r="106" s="131" customFormat="1" ht="11.5" customHeight="1">
      <c r="A106" s="715"/>
      <c r="B106" s="57"/>
      <c r="C106" s="57"/>
      <c r="D106" s="131"/>
      <c r="K106" s="53"/>
      <c r="L106" s="57"/>
      <c r="M106" s="57"/>
      <c r="N106" s="53"/>
      <c r="O106" s="53"/>
      <c r="P106" s="53"/>
      <c r="Q106" s="53"/>
      <c r="R106" s="57"/>
      <c r="S106" s="53"/>
      <c r="T106" s="53"/>
      <c r="U106" s="716"/>
      <c r="V106" s="53"/>
      <c r="W106" s="53"/>
      <c r="X106" s="53"/>
      <c r="Y106" s="53"/>
      <c r="Z106" s="53"/>
      <c r="AA106" s="56"/>
      <c r="AB106" s="54"/>
      <c r="AC106" s="54"/>
      <c r="AD106" s="54"/>
      <c r="AE106" s="54"/>
      <c r="AF106" s="131">
        <v>11</v>
      </c>
    </row>
    <row r="107" s="131" customFormat="1" ht="11.5" customHeight="1">
      <c r="A107" s="715"/>
      <c r="B107" s="57"/>
      <c r="C107" s="57"/>
      <c r="D107" s="131"/>
      <c r="K107" s="53"/>
      <c r="L107" s="57"/>
      <c r="M107" s="57"/>
      <c r="N107" s="53"/>
      <c r="O107" s="53"/>
      <c r="P107" s="53"/>
      <c r="Q107" s="53"/>
      <c r="R107" s="57"/>
      <c r="S107" s="53"/>
      <c r="T107" s="53"/>
      <c r="U107" s="716"/>
      <c r="V107" s="53"/>
      <c r="W107" s="53"/>
      <c r="X107" s="53"/>
      <c r="Y107" s="53"/>
      <c r="Z107" s="53"/>
      <c r="AA107" s="56"/>
      <c r="AB107" s="54"/>
      <c r="AC107" s="54"/>
      <c r="AD107" s="54"/>
      <c r="AE107" s="54"/>
      <c r="AF107" s="131">
        <v>11</v>
      </c>
    </row>
    <row r="108" s="131" customFormat="1" ht="11.5" customHeight="1">
      <c r="A108" s="715"/>
      <c r="B108" s="57"/>
      <c r="C108" s="57"/>
      <c r="D108" s="131"/>
      <c r="K108" s="53"/>
      <c r="L108" s="57"/>
      <c r="M108" s="57"/>
      <c r="N108" s="53"/>
      <c r="O108" s="53"/>
      <c r="P108" s="53"/>
      <c r="Q108" s="53"/>
      <c r="R108" s="57"/>
      <c r="S108" s="53"/>
      <c r="T108" s="53"/>
      <c r="U108" s="716"/>
      <c r="V108" s="53"/>
      <c r="W108" s="53"/>
      <c r="X108" s="53"/>
      <c r="Y108" s="53"/>
      <c r="Z108" s="53"/>
      <c r="AA108" s="56"/>
      <c r="AB108" s="54"/>
      <c r="AC108" s="54"/>
      <c r="AD108" s="54"/>
      <c r="AE108" s="54"/>
      <c r="AF108" s="131">
        <v>11</v>
      </c>
    </row>
    <row r="109" s="131" customFormat="1" ht="11.5" customHeight="1">
      <c r="A109" s="715"/>
      <c r="B109" s="57"/>
      <c r="C109" s="57"/>
      <c r="D109" s="131"/>
      <c r="K109" s="53"/>
      <c r="L109" s="57"/>
      <c r="M109" s="57"/>
      <c r="N109" s="53"/>
      <c r="O109" s="53"/>
      <c r="P109" s="53"/>
      <c r="Q109" s="53"/>
      <c r="R109" s="57"/>
      <c r="S109" s="53"/>
      <c r="T109" s="53"/>
      <c r="U109" s="716"/>
      <c r="V109" s="53"/>
      <c r="W109" s="53"/>
      <c r="X109" s="53"/>
      <c r="Y109" s="53"/>
      <c r="Z109" s="53"/>
      <c r="AA109" s="56"/>
      <c r="AB109" s="54"/>
      <c r="AC109" s="54"/>
      <c r="AD109" s="54"/>
      <c r="AE109" s="54"/>
      <c r="AF109" s="131">
        <v>11</v>
      </c>
    </row>
    <row r="110" s="131" customFormat="1" ht="11.5" customHeight="1">
      <c r="A110" s="715"/>
      <c r="B110" s="57"/>
      <c r="C110" s="57"/>
      <c r="D110" s="131"/>
      <c r="K110" s="53"/>
      <c r="L110" s="57"/>
      <c r="M110" s="57"/>
      <c r="N110" s="53"/>
      <c r="O110" s="53"/>
      <c r="P110" s="53"/>
      <c r="Q110" s="53"/>
      <c r="R110" s="57"/>
      <c r="S110" s="53"/>
      <c r="T110" s="53"/>
      <c r="U110" s="716"/>
      <c r="V110" s="53"/>
      <c r="W110" s="53"/>
      <c r="X110" s="53"/>
      <c r="Y110" s="53"/>
      <c r="Z110" s="53"/>
      <c r="AA110" s="56"/>
      <c r="AB110" s="54"/>
      <c r="AC110" s="54"/>
      <c r="AD110" s="54"/>
      <c r="AE110" s="54"/>
      <c r="AF110" s="131">
        <v>11</v>
      </c>
    </row>
    <row r="111" s="131" customFormat="1" ht="11.5" customHeight="1">
      <c r="A111" s="715"/>
      <c r="B111" s="57"/>
      <c r="C111" s="57"/>
      <c r="D111" s="131"/>
      <c r="K111" s="53"/>
      <c r="L111" s="57"/>
      <c r="M111" s="57"/>
      <c r="N111" s="53"/>
      <c r="O111" s="53"/>
      <c r="P111" s="53"/>
      <c r="Q111" s="53"/>
      <c r="R111" s="57"/>
      <c r="S111" s="53"/>
      <c r="T111" s="53"/>
      <c r="U111" s="716"/>
      <c r="V111" s="53"/>
      <c r="W111" s="53"/>
      <c r="X111" s="53"/>
      <c r="Y111" s="53"/>
      <c r="Z111" s="53"/>
      <c r="AA111" s="56"/>
      <c r="AB111" s="54"/>
      <c r="AC111" s="54"/>
      <c r="AD111" s="54"/>
      <c r="AE111" s="54"/>
      <c r="AF111" s="131">
        <v>11</v>
      </c>
    </row>
    <row r="112" s="131" customFormat="1" ht="11.5" customHeight="1">
      <c r="A112" s="715"/>
      <c r="B112" s="57"/>
      <c r="C112" s="57"/>
      <c r="D112" s="131"/>
      <c r="K112" s="53"/>
      <c r="L112" s="57"/>
      <c r="M112" s="57"/>
      <c r="N112" s="53"/>
      <c r="O112" s="53"/>
      <c r="P112" s="53"/>
      <c r="Q112" s="53"/>
      <c r="R112" s="57"/>
      <c r="S112" s="53"/>
      <c r="T112" s="53"/>
      <c r="U112" s="716"/>
      <c r="V112" s="53"/>
      <c r="W112" s="53"/>
      <c r="X112" s="53"/>
      <c r="Y112" s="53"/>
      <c r="Z112" s="53"/>
      <c r="AA112" s="56"/>
      <c r="AB112" s="54"/>
      <c r="AC112" s="54"/>
      <c r="AD112" s="54"/>
      <c r="AE112" s="54"/>
      <c r="AF112" s="131">
        <v>11</v>
      </c>
    </row>
    <row r="113" s="131" customFormat="1" ht="11.5" customHeight="1">
      <c r="A113" s="715"/>
      <c r="B113" s="57"/>
      <c r="C113" s="57"/>
      <c r="D113" s="131"/>
      <c r="K113" s="53"/>
      <c r="L113" s="57"/>
      <c r="M113" s="57"/>
      <c r="N113" s="53"/>
      <c r="O113" s="53"/>
      <c r="P113" s="53"/>
      <c r="Q113" s="53"/>
      <c r="R113" s="57"/>
      <c r="S113" s="53"/>
      <c r="T113" s="53"/>
      <c r="U113" s="716"/>
      <c r="V113" s="53"/>
      <c r="W113" s="53"/>
      <c r="X113" s="53"/>
      <c r="Y113" s="53"/>
      <c r="Z113" s="53"/>
      <c r="AA113" s="56"/>
      <c r="AB113" s="54"/>
      <c r="AC113" s="54"/>
      <c r="AD113" s="54"/>
      <c r="AE113" s="54"/>
      <c r="AF113" s="131">
        <v>11</v>
      </c>
    </row>
    <row r="114" s="131" customFormat="1" ht="11.5" customHeight="1">
      <c r="A114" s="715"/>
      <c r="B114" s="57"/>
      <c r="C114" s="57"/>
      <c r="D114" s="131"/>
      <c r="K114" s="53"/>
      <c r="L114" s="57"/>
      <c r="M114" s="57"/>
      <c r="N114" s="53"/>
      <c r="O114" s="53"/>
      <c r="P114" s="53"/>
      <c r="Q114" s="53"/>
      <c r="R114" s="57"/>
      <c r="S114" s="53"/>
      <c r="T114" s="53"/>
      <c r="U114" s="716"/>
      <c r="V114" s="53"/>
      <c r="W114" s="53"/>
      <c r="X114" s="53"/>
      <c r="Y114" s="53"/>
      <c r="Z114" s="53"/>
      <c r="AA114" s="56"/>
      <c r="AB114" s="54"/>
      <c r="AC114" s="54"/>
      <c r="AD114" s="54"/>
      <c r="AE114" s="54"/>
      <c r="AF114" s="131">
        <v>11</v>
      </c>
    </row>
    <row r="115" s="131" customFormat="1" ht="11.5" customHeight="1">
      <c r="A115" s="715"/>
      <c r="B115" s="57"/>
      <c r="C115" s="57"/>
      <c r="D115" s="131"/>
      <c r="K115" s="53"/>
      <c r="L115" s="57"/>
      <c r="M115" s="57"/>
      <c r="N115" s="53"/>
      <c r="O115" s="53"/>
      <c r="P115" s="53"/>
      <c r="Q115" s="53"/>
      <c r="R115" s="57"/>
      <c r="S115" s="53"/>
      <c r="T115" s="53"/>
      <c r="U115" s="716"/>
      <c r="V115" s="53"/>
      <c r="W115" s="53"/>
      <c r="X115" s="53"/>
      <c r="Y115" s="53"/>
      <c r="Z115" s="53"/>
      <c r="AA115" s="56"/>
      <c r="AB115" s="54"/>
      <c r="AC115" s="54"/>
      <c r="AD115" s="54"/>
      <c r="AE115" s="54"/>
      <c r="AF115" s="131">
        <v>11</v>
      </c>
    </row>
    <row r="116" s="131" customFormat="1" ht="11.5" customHeight="1">
      <c r="A116" s="715"/>
      <c r="B116" s="57"/>
      <c r="C116" s="57"/>
      <c r="D116" s="131"/>
      <c r="K116" s="53"/>
      <c r="L116" s="57"/>
      <c r="M116" s="57"/>
      <c r="N116" s="53"/>
      <c r="O116" s="53"/>
      <c r="P116" s="53"/>
      <c r="Q116" s="53"/>
      <c r="R116" s="57"/>
      <c r="S116" s="53"/>
      <c r="T116" s="53"/>
      <c r="U116" s="716"/>
      <c r="V116" s="53"/>
      <c r="W116" s="53"/>
      <c r="X116" s="53"/>
      <c r="Y116" s="53"/>
      <c r="Z116" s="53"/>
      <c r="AA116" s="56"/>
      <c r="AB116" s="54"/>
      <c r="AC116" s="54"/>
      <c r="AD116" s="54"/>
      <c r="AE116" s="54"/>
      <c r="AF116" s="131">
        <v>11</v>
      </c>
    </row>
    <row r="117" s="131" customFormat="1" ht="11.5" customHeight="1">
      <c r="A117" s="715"/>
      <c r="B117" s="57"/>
      <c r="C117" s="57"/>
      <c r="D117" s="131"/>
      <c r="K117" s="53"/>
      <c r="L117" s="57"/>
      <c r="M117" s="57"/>
      <c r="N117" s="53"/>
      <c r="O117" s="53"/>
      <c r="P117" s="53"/>
      <c r="Q117" s="53"/>
      <c r="R117" s="57"/>
      <c r="S117" s="53"/>
      <c r="T117" s="53"/>
      <c r="U117" s="716"/>
      <c r="V117" s="53"/>
      <c r="W117" s="53"/>
      <c r="X117" s="53"/>
      <c r="Y117" s="53"/>
      <c r="Z117" s="53"/>
      <c r="AA117" s="56"/>
      <c r="AB117" s="54"/>
      <c r="AC117" s="54"/>
      <c r="AD117" s="54"/>
      <c r="AE117" s="54"/>
      <c r="AF117" s="131">
        <v>11</v>
      </c>
    </row>
    <row r="118" s="131" customFormat="1" ht="11.5" customHeight="1">
      <c r="A118" s="715"/>
      <c r="B118" s="57"/>
      <c r="C118" s="57"/>
      <c r="D118" s="131"/>
      <c r="K118" s="53"/>
      <c r="L118" s="57"/>
      <c r="M118" s="57"/>
      <c r="N118" s="53"/>
      <c r="O118" s="53"/>
      <c r="P118" s="53"/>
      <c r="Q118" s="53"/>
      <c r="R118" s="57"/>
      <c r="S118" s="53"/>
      <c r="T118" s="53"/>
      <c r="U118" s="716"/>
      <c r="V118" s="53"/>
      <c r="W118" s="53"/>
      <c r="X118" s="53"/>
      <c r="Y118" s="53"/>
      <c r="Z118" s="53"/>
      <c r="AA118" s="56"/>
      <c r="AB118" s="54"/>
      <c r="AC118" s="54"/>
      <c r="AD118" s="54"/>
      <c r="AE118" s="54"/>
      <c r="AF118" s="131">
        <v>11</v>
      </c>
    </row>
    <row r="119" s="131" customFormat="1" ht="11.5" customHeight="1">
      <c r="A119" s="715"/>
      <c r="B119" s="57"/>
      <c r="C119" s="57"/>
      <c r="D119" s="131"/>
      <c r="K119" s="53"/>
      <c r="L119" s="57"/>
      <c r="M119" s="57"/>
      <c r="N119" s="53"/>
      <c r="O119" s="53"/>
      <c r="P119" s="53"/>
      <c r="Q119" s="53"/>
      <c r="R119" s="57"/>
      <c r="S119" s="53"/>
      <c r="T119" s="53"/>
      <c r="U119" s="716"/>
      <c r="V119" s="53"/>
      <c r="W119" s="53"/>
      <c r="X119" s="53"/>
      <c r="Y119" s="53"/>
      <c r="Z119" s="53"/>
      <c r="AA119" s="56"/>
      <c r="AB119" s="54"/>
      <c r="AC119" s="54"/>
      <c r="AD119" s="54"/>
      <c r="AE119" s="54"/>
      <c r="AF119" s="131">
        <v>11</v>
      </c>
    </row>
    <row r="120" s="131" customFormat="1" ht="11.5" customHeight="1">
      <c r="A120" s="715"/>
      <c r="B120" s="57"/>
      <c r="C120" s="57"/>
      <c r="D120" s="131"/>
      <c r="K120" s="53"/>
      <c r="L120" s="57"/>
      <c r="M120" s="57"/>
      <c r="N120" s="53"/>
      <c r="O120" s="53"/>
      <c r="P120" s="53"/>
      <c r="Q120" s="53"/>
      <c r="R120" s="57"/>
      <c r="S120" s="53"/>
      <c r="T120" s="53"/>
      <c r="U120" s="716"/>
      <c r="V120" s="53"/>
      <c r="W120" s="53"/>
      <c r="X120" s="53"/>
      <c r="Y120" s="53"/>
      <c r="Z120" s="53"/>
      <c r="AA120" s="56"/>
      <c r="AB120" s="54"/>
      <c r="AC120" s="54"/>
      <c r="AD120" s="54"/>
      <c r="AE120" s="54"/>
      <c r="AF120" s="131">
        <v>11</v>
      </c>
    </row>
    <row r="121" s="131" customFormat="1" ht="11.5" customHeight="1">
      <c r="A121" s="715"/>
      <c r="B121" s="57"/>
      <c r="C121" s="57"/>
      <c r="D121" s="131"/>
      <c r="K121" s="53"/>
      <c r="L121" s="57"/>
      <c r="M121" s="57"/>
      <c r="N121" s="53"/>
      <c r="O121" s="53"/>
      <c r="P121" s="53"/>
      <c r="Q121" s="53"/>
      <c r="R121" s="57"/>
      <c r="S121" s="53"/>
      <c r="T121" s="53"/>
      <c r="U121" s="716"/>
      <c r="V121" s="53"/>
      <c r="W121" s="53"/>
      <c r="X121" s="53"/>
      <c r="Y121" s="53"/>
      <c r="Z121" s="53"/>
      <c r="AA121" s="56"/>
      <c r="AB121" s="54"/>
      <c r="AC121" s="54"/>
      <c r="AD121" s="54"/>
      <c r="AE121" s="54"/>
      <c r="AF121" s="131">
        <v>11</v>
      </c>
    </row>
    <row r="122" s="131" customFormat="1" ht="11.5" customHeight="1">
      <c r="A122" s="715"/>
      <c r="B122" s="57"/>
      <c r="C122" s="57"/>
      <c r="D122" s="131"/>
      <c r="K122" s="53"/>
      <c r="L122" s="57"/>
      <c r="M122" s="57"/>
      <c r="N122" s="53"/>
      <c r="O122" s="53"/>
      <c r="P122" s="53"/>
      <c r="Q122" s="53"/>
      <c r="R122" s="57"/>
      <c r="S122" s="53"/>
      <c r="T122" s="53"/>
      <c r="U122" s="716"/>
      <c r="V122" s="53"/>
      <c r="W122" s="53"/>
      <c r="X122" s="53"/>
      <c r="Y122" s="53"/>
      <c r="Z122" s="53"/>
      <c r="AA122" s="56"/>
      <c r="AB122" s="54"/>
      <c r="AC122" s="54"/>
      <c r="AD122" s="54"/>
      <c r="AE122" s="54"/>
      <c r="AF122" s="131">
        <v>11</v>
      </c>
    </row>
    <row r="123" s="131" customFormat="1" ht="11.5" customHeight="1">
      <c r="A123" s="715"/>
      <c r="B123" s="57"/>
      <c r="C123" s="57"/>
      <c r="D123" s="131"/>
      <c r="K123" s="53"/>
      <c r="L123" s="57"/>
      <c r="M123" s="57"/>
      <c r="N123" s="53"/>
      <c r="O123" s="53"/>
      <c r="P123" s="53"/>
      <c r="Q123" s="53"/>
      <c r="R123" s="57"/>
      <c r="S123" s="53"/>
      <c r="T123" s="53"/>
      <c r="U123" s="716"/>
      <c r="V123" s="53"/>
      <c r="W123" s="53"/>
      <c r="X123" s="53"/>
      <c r="Y123" s="53"/>
      <c r="Z123" s="53"/>
      <c r="AA123" s="56"/>
      <c r="AB123" s="54"/>
      <c r="AC123" s="54"/>
      <c r="AD123" s="54"/>
      <c r="AE123" s="54"/>
      <c r="AF123" s="131">
        <v>11</v>
      </c>
    </row>
    <row r="124" s="131" customFormat="1" ht="11.5" customHeight="1">
      <c r="A124" s="715"/>
      <c r="B124" s="57"/>
      <c r="C124" s="57"/>
      <c r="D124" s="131"/>
      <c r="K124" s="53"/>
      <c r="L124" s="57"/>
      <c r="M124" s="57"/>
      <c r="N124" s="53"/>
      <c r="O124" s="53"/>
      <c r="P124" s="53"/>
      <c r="Q124" s="53"/>
      <c r="R124" s="57"/>
      <c r="S124" s="53"/>
      <c r="T124" s="53"/>
      <c r="U124" s="716"/>
      <c r="V124" s="53"/>
      <c r="W124" s="53"/>
      <c r="X124" s="53"/>
      <c r="Y124" s="53"/>
      <c r="Z124" s="53"/>
      <c r="AA124" s="56"/>
      <c r="AB124" s="54"/>
      <c r="AC124" s="54"/>
      <c r="AD124" s="54"/>
      <c r="AE124" s="54"/>
      <c r="AF124" s="131">
        <v>11</v>
      </c>
    </row>
    <row r="125" s="131" customFormat="1" ht="11.5" customHeight="1">
      <c r="A125" s="715"/>
      <c r="B125" s="57"/>
      <c r="C125" s="57"/>
      <c r="D125" s="131"/>
      <c r="K125" s="53"/>
      <c r="L125" s="57"/>
      <c r="M125" s="57"/>
      <c r="N125" s="53"/>
      <c r="O125" s="53"/>
      <c r="P125" s="53"/>
      <c r="Q125" s="53"/>
      <c r="R125" s="57"/>
      <c r="S125" s="53"/>
      <c r="T125" s="53"/>
      <c r="U125" s="716"/>
      <c r="V125" s="53"/>
      <c r="W125" s="53"/>
      <c r="X125" s="53"/>
      <c r="Y125" s="53"/>
      <c r="Z125" s="53"/>
      <c r="AA125" s="56"/>
      <c r="AB125" s="54"/>
      <c r="AC125" s="54"/>
      <c r="AD125" s="54"/>
      <c r="AE125" s="54"/>
      <c r="AF125" s="131">
        <v>11</v>
      </c>
    </row>
    <row r="126" s="131" customFormat="1" ht="11.5" customHeight="1">
      <c r="A126" s="715"/>
      <c r="B126" s="57"/>
      <c r="C126" s="57"/>
      <c r="D126" s="131"/>
      <c r="K126" s="53"/>
      <c r="L126" s="57"/>
      <c r="M126" s="57"/>
      <c r="N126" s="53"/>
      <c r="O126" s="53"/>
      <c r="P126" s="53"/>
      <c r="Q126" s="53"/>
      <c r="R126" s="57"/>
      <c r="S126" s="53"/>
      <c r="T126" s="53"/>
      <c r="U126" s="716"/>
      <c r="V126" s="53"/>
      <c r="W126" s="53"/>
      <c r="X126" s="53"/>
      <c r="Y126" s="53"/>
      <c r="Z126" s="53"/>
      <c r="AA126" s="56"/>
      <c r="AB126" s="54"/>
      <c r="AC126" s="54"/>
      <c r="AD126" s="54"/>
      <c r="AE126" s="54"/>
      <c r="AF126" s="131">
        <v>11</v>
      </c>
    </row>
    <row r="127" s="131" customFormat="1" ht="11.5" customHeight="1">
      <c r="A127" s="715"/>
      <c r="B127" s="57"/>
      <c r="C127" s="57"/>
      <c r="D127" s="131"/>
      <c r="K127" s="53"/>
      <c r="L127" s="57"/>
      <c r="M127" s="57"/>
      <c r="N127" s="53"/>
      <c r="O127" s="53"/>
      <c r="P127" s="53"/>
      <c r="Q127" s="53"/>
      <c r="R127" s="57"/>
      <c r="S127" s="53"/>
      <c r="T127" s="53"/>
      <c r="U127" s="716"/>
      <c r="V127" s="53"/>
      <c r="W127" s="53"/>
      <c r="X127" s="53"/>
      <c r="Y127" s="53"/>
      <c r="Z127" s="53"/>
      <c r="AA127" s="56"/>
      <c r="AB127" s="54"/>
      <c r="AC127" s="54"/>
      <c r="AD127" s="54"/>
      <c r="AE127" s="54"/>
      <c r="AF127" s="131">
        <v>11</v>
      </c>
    </row>
    <row r="128" s="131" customFormat="1" ht="11.5" customHeight="1">
      <c r="A128" s="715"/>
      <c r="B128" s="57"/>
      <c r="C128" s="57"/>
      <c r="D128" s="131"/>
      <c r="K128" s="53"/>
      <c r="L128" s="57"/>
      <c r="M128" s="57"/>
      <c r="N128" s="53"/>
      <c r="O128" s="53"/>
      <c r="P128" s="53"/>
      <c r="Q128" s="53"/>
      <c r="R128" s="57"/>
      <c r="S128" s="53"/>
      <c r="T128" s="53"/>
      <c r="U128" s="716"/>
      <c r="V128" s="53"/>
      <c r="W128" s="53"/>
      <c r="X128" s="53"/>
      <c r="Y128" s="53"/>
      <c r="Z128" s="53"/>
      <c r="AA128" s="56"/>
      <c r="AB128" s="54"/>
      <c r="AC128" s="54"/>
      <c r="AD128" s="54"/>
      <c r="AE128" s="54"/>
      <c r="AF128" s="131">
        <v>11</v>
      </c>
    </row>
    <row r="129" s="131" customFormat="1" ht="11.5" customHeight="1">
      <c r="A129" s="715"/>
      <c r="B129" s="57"/>
      <c r="C129" s="57"/>
      <c r="D129" s="131"/>
      <c r="K129" s="53"/>
      <c r="L129" s="57"/>
      <c r="M129" s="57"/>
      <c r="N129" s="53"/>
      <c r="O129" s="53"/>
      <c r="P129" s="53"/>
      <c r="Q129" s="53"/>
      <c r="R129" s="57"/>
      <c r="S129" s="53"/>
      <c r="T129" s="53"/>
      <c r="U129" s="716"/>
      <c r="V129" s="53"/>
      <c r="W129" s="53"/>
      <c r="X129" s="53"/>
      <c r="Y129" s="53"/>
      <c r="Z129" s="53"/>
      <c r="AA129" s="56"/>
      <c r="AB129" s="54"/>
      <c r="AC129" s="54"/>
      <c r="AD129" s="54"/>
      <c r="AE129" s="54"/>
      <c r="AF129" s="131">
        <v>11</v>
      </c>
    </row>
    <row r="130" s="131" customFormat="1" ht="11.5" customHeight="1">
      <c r="A130" s="715"/>
      <c r="B130" s="57"/>
      <c r="C130" s="57"/>
      <c r="D130" s="131"/>
      <c r="K130" s="53"/>
      <c r="L130" s="57"/>
      <c r="M130" s="57"/>
      <c r="N130" s="53"/>
      <c r="O130" s="53"/>
      <c r="P130" s="53"/>
      <c r="Q130" s="53"/>
      <c r="R130" s="57"/>
      <c r="S130" s="53"/>
      <c r="T130" s="53"/>
      <c r="U130" s="716"/>
      <c r="V130" s="53"/>
      <c r="W130" s="53"/>
      <c r="X130" s="53"/>
      <c r="Y130" s="53"/>
      <c r="Z130" s="53"/>
      <c r="AA130" s="56"/>
      <c r="AB130" s="54"/>
      <c r="AC130" s="54"/>
      <c r="AD130" s="54"/>
      <c r="AE130" s="54"/>
      <c r="AF130" s="131">
        <v>11</v>
      </c>
    </row>
    <row r="131" s="131" customFormat="1" ht="11.5" customHeight="1">
      <c r="A131" s="715"/>
      <c r="B131" s="57"/>
      <c r="C131" s="57"/>
      <c r="D131" s="131"/>
      <c r="K131" s="53"/>
      <c r="L131" s="57"/>
      <c r="M131" s="57"/>
      <c r="N131" s="53"/>
      <c r="O131" s="53"/>
      <c r="P131" s="53"/>
      <c r="Q131" s="53"/>
      <c r="R131" s="57"/>
      <c r="S131" s="53"/>
      <c r="T131" s="53"/>
      <c r="U131" s="716"/>
      <c r="V131" s="53"/>
      <c r="W131" s="53"/>
      <c r="X131" s="53"/>
      <c r="Y131" s="53"/>
      <c r="Z131" s="53"/>
      <c r="AA131" s="56"/>
      <c r="AB131" s="54"/>
      <c r="AC131" s="54"/>
      <c r="AD131" s="54"/>
      <c r="AE131" s="54"/>
      <c r="AF131" s="131">
        <v>11</v>
      </c>
    </row>
    <row r="132" s="131" customFormat="1" ht="11.5" customHeight="1">
      <c r="A132" s="715"/>
      <c r="B132" s="57"/>
      <c r="C132" s="57"/>
      <c r="D132" s="131"/>
      <c r="K132" s="53"/>
      <c r="L132" s="57"/>
      <c r="M132" s="57"/>
      <c r="N132" s="53"/>
      <c r="O132" s="53"/>
      <c r="P132" s="53"/>
      <c r="Q132" s="53"/>
      <c r="R132" s="57"/>
      <c r="S132" s="53"/>
      <c r="T132" s="53"/>
      <c r="U132" s="716"/>
      <c r="V132" s="53"/>
      <c r="W132" s="53"/>
      <c r="X132" s="53"/>
      <c r="Y132" s="53"/>
      <c r="Z132" s="53"/>
      <c r="AA132" s="56"/>
      <c r="AB132" s="54"/>
      <c r="AC132" s="54"/>
      <c r="AD132" s="54"/>
      <c r="AE132" s="54"/>
      <c r="AF132" s="131">
        <v>11</v>
      </c>
    </row>
    <row r="133" s="131" customFormat="1" ht="11.5" customHeight="1">
      <c r="A133" s="715"/>
      <c r="B133" s="57"/>
      <c r="C133" s="57"/>
      <c r="D133" s="131"/>
      <c r="K133" s="53"/>
      <c r="L133" s="57"/>
      <c r="M133" s="57"/>
      <c r="N133" s="53"/>
      <c r="O133" s="53"/>
      <c r="P133" s="53"/>
      <c r="Q133" s="53"/>
      <c r="R133" s="57"/>
      <c r="S133" s="53"/>
      <c r="T133" s="53"/>
      <c r="U133" s="716"/>
      <c r="V133" s="53"/>
      <c r="W133" s="53"/>
      <c r="X133" s="53"/>
      <c r="Y133" s="53"/>
      <c r="Z133" s="53"/>
      <c r="AA133" s="56"/>
      <c r="AB133" s="54"/>
      <c r="AC133" s="54"/>
      <c r="AD133" s="54"/>
      <c r="AE133" s="54"/>
      <c r="AF133" s="131">
        <v>11</v>
      </c>
    </row>
    <row r="134" s="131" customFormat="1" ht="11.5" customHeight="1">
      <c r="A134" s="715"/>
      <c r="B134" s="57"/>
      <c r="C134" s="57"/>
      <c r="D134" s="131"/>
      <c r="K134" s="53"/>
      <c r="L134" s="57"/>
      <c r="M134" s="57"/>
      <c r="N134" s="53"/>
      <c r="O134" s="53"/>
      <c r="P134" s="53"/>
      <c r="Q134" s="53"/>
      <c r="R134" s="57"/>
      <c r="S134" s="53"/>
      <c r="T134" s="53"/>
      <c r="U134" s="716"/>
      <c r="V134" s="53"/>
      <c r="W134" s="53"/>
      <c r="X134" s="53"/>
      <c r="Y134" s="53"/>
      <c r="Z134" s="53"/>
      <c r="AA134" s="56"/>
      <c r="AB134" s="54"/>
      <c r="AC134" s="54"/>
      <c r="AD134" s="54"/>
      <c r="AE134" s="54"/>
      <c r="AF134" s="131">
        <v>11</v>
      </c>
    </row>
    <row r="135" s="131" customFormat="1" ht="11.5" customHeight="1">
      <c r="A135" s="715"/>
      <c r="B135" s="57"/>
      <c r="C135" s="57"/>
      <c r="D135" s="131"/>
      <c r="K135" s="53"/>
      <c r="L135" s="57"/>
      <c r="M135" s="57"/>
      <c r="N135" s="53"/>
      <c r="O135" s="53"/>
      <c r="P135" s="53"/>
      <c r="Q135" s="53"/>
      <c r="R135" s="57"/>
      <c r="S135" s="53"/>
      <c r="T135" s="53"/>
      <c r="U135" s="716"/>
      <c r="V135" s="53"/>
      <c r="W135" s="53"/>
      <c r="X135" s="53"/>
      <c r="Y135" s="53"/>
      <c r="Z135" s="53"/>
      <c r="AA135" s="56"/>
      <c r="AB135" s="54"/>
      <c r="AC135" s="54"/>
      <c r="AD135" s="54"/>
      <c r="AE135" s="54"/>
      <c r="AF135" s="131">
        <v>11</v>
      </c>
    </row>
    <row r="136" s="131" customFormat="1" ht="11.5" customHeight="1">
      <c r="A136" s="715"/>
      <c r="B136" s="57"/>
      <c r="C136" s="57"/>
      <c r="D136" s="131"/>
      <c r="K136" s="53"/>
      <c r="L136" s="57"/>
      <c r="M136" s="57"/>
      <c r="N136" s="53"/>
      <c r="O136" s="53"/>
      <c r="P136" s="53"/>
      <c r="Q136" s="53"/>
      <c r="R136" s="57"/>
      <c r="S136" s="53"/>
      <c r="T136" s="53"/>
      <c r="U136" s="716"/>
      <c r="V136" s="53"/>
      <c r="W136" s="53"/>
      <c r="X136" s="53"/>
      <c r="Y136" s="53"/>
      <c r="Z136" s="53"/>
      <c r="AA136" s="56"/>
      <c r="AB136" s="54"/>
      <c r="AC136" s="54"/>
      <c r="AD136" s="54"/>
      <c r="AE136" s="54"/>
      <c r="AF136" s="131">
        <v>11</v>
      </c>
    </row>
    <row r="137" s="131" customFormat="1" ht="11.5" customHeight="1">
      <c r="A137" s="715"/>
      <c r="B137" s="57"/>
      <c r="C137" s="57"/>
      <c r="D137" s="131"/>
      <c r="K137" s="53"/>
      <c r="L137" s="57"/>
      <c r="M137" s="57"/>
      <c r="N137" s="53"/>
      <c r="O137" s="53"/>
      <c r="P137" s="53"/>
      <c r="Q137" s="53"/>
      <c r="R137" s="57"/>
      <c r="S137" s="53"/>
      <c r="T137" s="53"/>
      <c r="U137" s="716"/>
      <c r="V137" s="53"/>
      <c r="W137" s="53"/>
      <c r="X137" s="53"/>
      <c r="Y137" s="53"/>
      <c r="Z137" s="53"/>
      <c r="AA137" s="56"/>
      <c r="AB137" s="54"/>
      <c r="AC137" s="54"/>
      <c r="AD137" s="54"/>
      <c r="AE137" s="54"/>
      <c r="AF137" s="131">
        <v>11</v>
      </c>
    </row>
    <row r="138" s="131" customFormat="1" ht="11.5" customHeight="1">
      <c r="A138" s="715"/>
      <c r="B138" s="57"/>
      <c r="C138" s="57"/>
      <c r="D138" s="131"/>
      <c r="K138" s="53"/>
      <c r="L138" s="57"/>
      <c r="M138" s="57"/>
      <c r="N138" s="53"/>
      <c r="O138" s="53"/>
      <c r="P138" s="53"/>
      <c r="Q138" s="53"/>
      <c r="R138" s="57"/>
      <c r="S138" s="53"/>
      <c r="T138" s="53"/>
      <c r="U138" s="716"/>
      <c r="V138" s="53"/>
      <c r="W138" s="53"/>
      <c r="X138" s="53"/>
      <c r="Y138" s="53"/>
      <c r="Z138" s="53"/>
      <c r="AA138" s="56"/>
      <c r="AB138" s="54"/>
      <c r="AC138" s="54"/>
      <c r="AD138" s="54"/>
      <c r="AE138" s="54"/>
      <c r="AF138" s="131">
        <v>11</v>
      </c>
    </row>
    <row r="139" s="131" customFormat="1" ht="11.5" customHeight="1">
      <c r="A139" s="715"/>
      <c r="B139" s="57"/>
      <c r="C139" s="57"/>
      <c r="D139" s="131"/>
      <c r="K139" s="53"/>
      <c r="L139" s="57"/>
      <c r="M139" s="57"/>
      <c r="N139" s="53"/>
      <c r="O139" s="53"/>
      <c r="P139" s="53"/>
      <c r="Q139" s="53"/>
      <c r="R139" s="57"/>
      <c r="S139" s="53"/>
      <c r="T139" s="53"/>
      <c r="U139" s="716"/>
      <c r="V139" s="53"/>
      <c r="W139" s="53"/>
      <c r="X139" s="53"/>
      <c r="Y139" s="53"/>
      <c r="Z139" s="53"/>
      <c r="AA139" s="56"/>
      <c r="AB139" s="54"/>
      <c r="AC139" s="54"/>
      <c r="AD139" s="54"/>
      <c r="AE139" s="54"/>
      <c r="AF139" s="131">
        <v>11</v>
      </c>
    </row>
    <row r="140" s="131" customFormat="1" ht="11.5" customHeight="1">
      <c r="A140" s="715"/>
      <c r="B140" s="57"/>
      <c r="C140" s="57"/>
      <c r="D140" s="131"/>
      <c r="K140" s="53"/>
      <c r="L140" s="57"/>
      <c r="M140" s="57"/>
      <c r="N140" s="53"/>
      <c r="O140" s="53"/>
      <c r="P140" s="53"/>
      <c r="Q140" s="53"/>
      <c r="R140" s="57"/>
      <c r="S140" s="53"/>
      <c r="T140" s="53"/>
      <c r="U140" s="716"/>
      <c r="V140" s="53"/>
      <c r="W140" s="53"/>
      <c r="X140" s="53"/>
      <c r="Y140" s="53"/>
      <c r="Z140" s="53"/>
      <c r="AA140" s="56"/>
      <c r="AB140" s="54"/>
      <c r="AC140" s="54"/>
      <c r="AD140" s="54"/>
      <c r="AE140" s="54"/>
      <c r="AF140" s="131">
        <v>11</v>
      </c>
    </row>
    <row r="141" s="131" customFormat="1" ht="11.5" customHeight="1">
      <c r="A141" s="715"/>
      <c r="B141" s="57"/>
      <c r="C141" s="57"/>
      <c r="D141" s="131"/>
      <c r="K141" s="53"/>
      <c r="L141" s="57"/>
      <c r="M141" s="57"/>
      <c r="N141" s="53"/>
      <c r="O141" s="53"/>
      <c r="P141" s="53"/>
      <c r="Q141" s="53"/>
      <c r="R141" s="57"/>
      <c r="S141" s="53"/>
      <c r="T141" s="53"/>
      <c r="U141" s="716"/>
      <c r="V141" s="53"/>
      <c r="W141" s="53"/>
      <c r="X141" s="53"/>
      <c r="Y141" s="53"/>
      <c r="Z141" s="53"/>
      <c r="AA141" s="56"/>
      <c r="AB141" s="54"/>
      <c r="AC141" s="54"/>
      <c r="AD141" s="54"/>
      <c r="AE141" s="54"/>
      <c r="AF141" s="131">
        <v>11</v>
      </c>
    </row>
    <row r="142" s="131" customFormat="1" ht="11.5" customHeight="1">
      <c r="A142" s="715"/>
      <c r="B142" s="57"/>
      <c r="C142" s="57"/>
      <c r="D142" s="131"/>
      <c r="K142" s="53"/>
      <c r="L142" s="57"/>
      <c r="M142" s="57"/>
      <c r="N142" s="53"/>
      <c r="O142" s="53"/>
      <c r="P142" s="53"/>
      <c r="Q142" s="53"/>
      <c r="R142" s="57"/>
      <c r="S142" s="53"/>
      <c r="T142" s="53"/>
      <c r="U142" s="716"/>
      <c r="V142" s="53"/>
      <c r="W142" s="53"/>
      <c r="X142" s="53"/>
      <c r="Y142" s="53"/>
      <c r="Z142" s="53"/>
      <c r="AA142" s="56"/>
      <c r="AB142" s="54"/>
      <c r="AC142" s="54"/>
      <c r="AD142" s="54"/>
      <c r="AE142" s="54"/>
      <c r="AF142" s="131">
        <v>11</v>
      </c>
    </row>
    <row r="143" s="131" customFormat="1" ht="11.5" customHeight="1">
      <c r="A143" s="715"/>
      <c r="B143" s="57"/>
      <c r="C143" s="57"/>
      <c r="D143" s="131"/>
      <c r="K143" s="53"/>
      <c r="L143" s="57"/>
      <c r="M143" s="57"/>
      <c r="N143" s="53"/>
      <c r="O143" s="53"/>
      <c r="P143" s="53"/>
      <c r="Q143" s="53"/>
      <c r="R143" s="57"/>
      <c r="S143" s="53"/>
      <c r="T143" s="53"/>
      <c r="U143" s="716"/>
      <c r="V143" s="53"/>
      <c r="W143" s="53"/>
      <c r="X143" s="53"/>
      <c r="Y143" s="53"/>
      <c r="Z143" s="53"/>
      <c r="AA143" s="56"/>
      <c r="AB143" s="54"/>
      <c r="AC143" s="54"/>
      <c r="AD143" s="54"/>
      <c r="AE143" s="54"/>
      <c r="AF143" s="131">
        <v>11</v>
      </c>
    </row>
    <row r="144" s="131" customFormat="1" ht="11.5" customHeight="1">
      <c r="A144" s="715"/>
      <c r="B144" s="57"/>
      <c r="C144" s="57"/>
      <c r="D144" s="131"/>
      <c r="K144" s="53"/>
      <c r="L144" s="57"/>
      <c r="M144" s="57"/>
      <c r="N144" s="53"/>
      <c r="O144" s="53"/>
      <c r="P144" s="53"/>
      <c r="Q144" s="53"/>
      <c r="R144" s="57"/>
      <c r="S144" s="53"/>
      <c r="T144" s="53"/>
      <c r="U144" s="716"/>
      <c r="V144" s="53"/>
      <c r="W144" s="53"/>
      <c r="X144" s="53"/>
      <c r="Y144" s="53"/>
      <c r="Z144" s="53"/>
      <c r="AA144" s="56"/>
      <c r="AB144" s="54"/>
      <c r="AC144" s="54"/>
      <c r="AD144" s="54"/>
      <c r="AE144" s="54"/>
      <c r="AF144" s="131">
        <v>11</v>
      </c>
    </row>
    <row r="145" s="131" customFormat="1" ht="11.5" customHeight="1">
      <c r="A145" s="715"/>
      <c r="B145" s="57"/>
      <c r="C145" s="57"/>
      <c r="D145" s="131"/>
      <c r="K145" s="53"/>
      <c r="L145" s="57"/>
      <c r="M145" s="57"/>
      <c r="N145" s="53"/>
      <c r="O145" s="53"/>
      <c r="P145" s="53"/>
      <c r="Q145" s="53"/>
      <c r="R145" s="57"/>
      <c r="S145" s="53"/>
      <c r="T145" s="53"/>
      <c r="U145" s="716"/>
      <c r="V145" s="53"/>
      <c r="W145" s="53"/>
      <c r="X145" s="53"/>
      <c r="Y145" s="53"/>
      <c r="Z145" s="53"/>
      <c r="AA145" s="56"/>
      <c r="AB145" s="54"/>
      <c r="AC145" s="54"/>
      <c r="AD145" s="54"/>
      <c r="AE145" s="54"/>
      <c r="AF145" s="131">
        <v>11</v>
      </c>
    </row>
    <row r="146" s="131" customFormat="1" ht="11.5" customHeight="1">
      <c r="A146" s="715"/>
      <c r="B146" s="57"/>
      <c r="C146" s="57"/>
      <c r="D146" s="131"/>
      <c r="K146" s="53"/>
      <c r="L146" s="57"/>
      <c r="M146" s="57"/>
      <c r="N146" s="53"/>
      <c r="O146" s="53"/>
      <c r="P146" s="53"/>
      <c r="Q146" s="53"/>
      <c r="R146" s="57"/>
      <c r="S146" s="53"/>
      <c r="T146" s="53"/>
      <c r="U146" s="716"/>
      <c r="V146" s="53"/>
      <c r="W146" s="53"/>
      <c r="X146" s="53"/>
      <c r="Y146" s="53"/>
      <c r="Z146" s="53"/>
      <c r="AA146" s="56"/>
      <c r="AB146" s="54"/>
      <c r="AC146" s="54"/>
      <c r="AD146" s="54"/>
      <c r="AE146" s="54"/>
      <c r="AF146" s="131">
        <v>11</v>
      </c>
    </row>
    <row r="147" s="131" customFormat="1" ht="11.5" customHeight="1">
      <c r="A147" s="715"/>
      <c r="B147" s="57"/>
      <c r="C147" s="57"/>
      <c r="D147" s="131"/>
      <c r="K147" s="53"/>
      <c r="L147" s="57"/>
      <c r="M147" s="57"/>
      <c r="N147" s="53"/>
      <c r="O147" s="53"/>
      <c r="P147" s="53"/>
      <c r="Q147" s="53"/>
      <c r="R147" s="57"/>
      <c r="S147" s="53"/>
      <c r="T147" s="53"/>
      <c r="U147" s="716"/>
      <c r="V147" s="53"/>
      <c r="W147" s="53"/>
      <c r="X147" s="53"/>
      <c r="Y147" s="53"/>
      <c r="Z147" s="53"/>
      <c r="AA147" s="56"/>
      <c r="AB147" s="54"/>
      <c r="AC147" s="54"/>
      <c r="AD147" s="54"/>
      <c r="AE147" s="54"/>
      <c r="AF147" s="131">
        <v>11</v>
      </c>
    </row>
    <row r="148" s="131" customFormat="1" ht="11.5" customHeight="1">
      <c r="A148" s="715"/>
      <c r="B148" s="57"/>
      <c r="C148" s="57"/>
      <c r="D148" s="131"/>
      <c r="K148" s="53"/>
      <c r="L148" s="57"/>
      <c r="M148" s="57"/>
      <c r="N148" s="53"/>
      <c r="O148" s="53"/>
      <c r="P148" s="53"/>
      <c r="Q148" s="53"/>
      <c r="R148" s="57"/>
      <c r="S148" s="53"/>
      <c r="T148" s="53"/>
      <c r="U148" s="716"/>
      <c r="V148" s="53"/>
      <c r="W148" s="53"/>
      <c r="X148" s="53"/>
      <c r="Y148" s="53"/>
      <c r="Z148" s="53"/>
      <c r="AA148" s="56"/>
      <c r="AB148" s="54"/>
      <c r="AC148" s="54"/>
      <c r="AD148" s="54"/>
      <c r="AE148" s="54"/>
      <c r="AF148" s="131">
        <v>11</v>
      </c>
    </row>
    <row r="149" s="131" customFormat="1" ht="11.5" customHeight="1">
      <c r="A149" s="715"/>
      <c r="B149" s="57"/>
      <c r="C149" s="57"/>
      <c r="D149" s="131"/>
      <c r="K149" s="53"/>
      <c r="L149" s="57"/>
      <c r="M149" s="57"/>
      <c r="N149" s="53"/>
      <c r="O149" s="53"/>
      <c r="P149" s="53"/>
      <c r="Q149" s="53"/>
      <c r="R149" s="57"/>
      <c r="S149" s="53"/>
      <c r="T149" s="53"/>
      <c r="U149" s="716"/>
      <c r="V149" s="53"/>
      <c r="W149" s="53"/>
      <c r="X149" s="53"/>
      <c r="Y149" s="53"/>
      <c r="Z149" s="53"/>
      <c r="AA149" s="56"/>
      <c r="AB149" s="54"/>
      <c r="AC149" s="54"/>
      <c r="AD149" s="54"/>
      <c r="AE149" s="54"/>
      <c r="AF149" s="131">
        <v>11</v>
      </c>
    </row>
    <row r="150" s="131" customFormat="1" ht="11.5" customHeight="1">
      <c r="A150" s="715"/>
      <c r="B150" s="57"/>
      <c r="C150" s="57"/>
      <c r="D150" s="131"/>
      <c r="K150" s="53"/>
      <c r="L150" s="57"/>
      <c r="M150" s="57"/>
      <c r="N150" s="53"/>
      <c r="O150" s="53"/>
      <c r="P150" s="53"/>
      <c r="Q150" s="53"/>
      <c r="R150" s="57"/>
      <c r="S150" s="53"/>
      <c r="T150" s="53"/>
      <c r="U150" s="716"/>
      <c r="V150" s="53"/>
      <c r="W150" s="53"/>
      <c r="X150" s="53"/>
      <c r="Y150" s="53"/>
      <c r="Z150" s="53"/>
      <c r="AA150" s="56"/>
      <c r="AB150" s="54"/>
      <c r="AC150" s="54"/>
      <c r="AD150" s="54"/>
      <c r="AE150" s="54"/>
      <c r="AF150" s="131">
        <v>11</v>
      </c>
    </row>
    <row r="151" s="131" customFormat="1" ht="11.5" customHeight="1">
      <c r="A151" s="715"/>
      <c r="B151" s="57"/>
      <c r="C151" s="57"/>
      <c r="D151" s="131"/>
      <c r="K151" s="53"/>
      <c r="L151" s="57"/>
      <c r="M151" s="57"/>
      <c r="N151" s="53"/>
      <c r="O151" s="53"/>
      <c r="P151" s="53"/>
      <c r="Q151" s="53"/>
      <c r="R151" s="57"/>
      <c r="S151" s="53"/>
      <c r="T151" s="53"/>
      <c r="U151" s="716"/>
      <c r="V151" s="53"/>
      <c r="W151" s="53"/>
      <c r="X151" s="53"/>
      <c r="Y151" s="53"/>
      <c r="Z151" s="53"/>
      <c r="AA151" s="56"/>
      <c r="AB151" s="54"/>
      <c r="AC151" s="54"/>
      <c r="AD151" s="54"/>
      <c r="AE151" s="54"/>
      <c r="AF151" s="131">
        <v>11</v>
      </c>
    </row>
    <row r="152" s="131" customFormat="1" ht="11.5" customHeight="1">
      <c r="A152" s="715"/>
      <c r="B152" s="57"/>
      <c r="C152" s="57"/>
      <c r="D152" s="131"/>
      <c r="K152" s="53"/>
      <c r="L152" s="57"/>
      <c r="M152" s="57"/>
      <c r="N152" s="53"/>
      <c r="O152" s="53"/>
      <c r="P152" s="53"/>
      <c r="Q152" s="53"/>
      <c r="R152" s="57"/>
      <c r="S152" s="53"/>
      <c r="T152" s="53"/>
      <c r="U152" s="716"/>
      <c r="V152" s="53"/>
      <c r="W152" s="53"/>
      <c r="X152" s="53"/>
      <c r="Y152" s="53"/>
      <c r="Z152" s="53"/>
      <c r="AA152" s="56"/>
      <c r="AB152" s="54"/>
      <c r="AC152" s="54"/>
      <c r="AD152" s="54"/>
      <c r="AE152" s="54"/>
      <c r="AF152" s="131">
        <v>11</v>
      </c>
    </row>
    <row r="153" s="131" customFormat="1" ht="11.5" customHeight="1">
      <c r="A153" s="715"/>
      <c r="B153" s="57"/>
      <c r="C153" s="57"/>
      <c r="D153" s="131"/>
      <c r="K153" s="53"/>
      <c r="L153" s="57"/>
      <c r="M153" s="57"/>
      <c r="N153" s="53"/>
      <c r="O153" s="53"/>
      <c r="P153" s="53"/>
      <c r="Q153" s="53"/>
      <c r="R153" s="57"/>
      <c r="S153" s="53"/>
      <c r="T153" s="53"/>
      <c r="U153" s="716"/>
      <c r="V153" s="53"/>
      <c r="W153" s="53"/>
      <c r="X153" s="53"/>
      <c r="Y153" s="53"/>
      <c r="Z153" s="53"/>
      <c r="AA153" s="56"/>
      <c r="AB153" s="54"/>
      <c r="AC153" s="54"/>
      <c r="AD153" s="54"/>
      <c r="AE153" s="54"/>
      <c r="AF153" s="131">
        <v>11</v>
      </c>
    </row>
    <row r="154" s="131" customFormat="1" ht="11.5" customHeight="1">
      <c r="A154" s="715"/>
      <c r="B154" s="57"/>
      <c r="C154" s="57"/>
      <c r="D154" s="131"/>
      <c r="K154" s="53"/>
      <c r="L154" s="57"/>
      <c r="M154" s="57"/>
      <c r="N154" s="53"/>
      <c r="O154" s="53"/>
      <c r="P154" s="53"/>
      <c r="Q154" s="53"/>
      <c r="R154" s="57"/>
      <c r="S154" s="53"/>
      <c r="T154" s="53"/>
      <c r="U154" s="716"/>
      <c r="V154" s="53"/>
      <c r="W154" s="53"/>
      <c r="X154" s="53"/>
      <c r="Y154" s="53"/>
      <c r="Z154" s="53"/>
      <c r="AA154" s="56"/>
      <c r="AB154" s="54"/>
      <c r="AC154" s="54"/>
      <c r="AD154" s="54"/>
      <c r="AE154" s="54"/>
      <c r="AF154" s="131">
        <v>11</v>
      </c>
    </row>
    <row r="155" s="131" customFormat="1" ht="11.5" customHeight="1">
      <c r="A155" s="715"/>
      <c r="B155" s="57"/>
      <c r="C155" s="57"/>
      <c r="D155" s="131"/>
      <c r="K155" s="53"/>
      <c r="L155" s="57"/>
      <c r="M155" s="57"/>
      <c r="N155" s="53"/>
      <c r="O155" s="53"/>
      <c r="P155" s="53"/>
      <c r="Q155" s="53"/>
      <c r="R155" s="57"/>
      <c r="S155" s="53"/>
      <c r="T155" s="53"/>
      <c r="U155" s="716"/>
      <c r="V155" s="53"/>
      <c r="W155" s="53"/>
      <c r="X155" s="53"/>
      <c r="Y155" s="53"/>
      <c r="Z155" s="53"/>
      <c r="AA155" s="56"/>
      <c r="AB155" s="54"/>
      <c r="AC155" s="54"/>
      <c r="AD155" s="54"/>
      <c r="AE155" s="54"/>
      <c r="AF155" s="131">
        <v>11</v>
      </c>
    </row>
    <row r="156" s="131" customFormat="1" ht="11.5" customHeight="1">
      <c r="A156" s="715"/>
      <c r="B156" s="57"/>
      <c r="C156" s="57"/>
      <c r="D156" s="131"/>
      <c r="K156" s="53"/>
      <c r="L156" s="57"/>
      <c r="M156" s="57"/>
      <c r="N156" s="53"/>
      <c r="O156" s="53"/>
      <c r="P156" s="53"/>
      <c r="Q156" s="53"/>
      <c r="R156" s="57"/>
      <c r="S156" s="53"/>
      <c r="T156" s="53"/>
      <c r="U156" s="716"/>
      <c r="V156" s="53"/>
      <c r="W156" s="53"/>
      <c r="X156" s="53"/>
      <c r="Y156" s="53"/>
      <c r="Z156" s="53"/>
      <c r="AA156" s="56"/>
      <c r="AB156" s="54"/>
      <c r="AC156" s="54"/>
      <c r="AD156" s="54"/>
      <c r="AE156" s="54"/>
      <c r="AF156" s="131">
        <v>11</v>
      </c>
    </row>
    <row r="157" s="131" customFormat="1" ht="11.5" customHeight="1">
      <c r="A157" s="715"/>
      <c r="B157" s="57"/>
      <c r="C157" s="57"/>
      <c r="D157" s="131"/>
      <c r="K157" s="53"/>
      <c r="L157" s="57"/>
      <c r="M157" s="57"/>
      <c r="N157" s="53"/>
      <c r="O157" s="53"/>
      <c r="P157" s="53"/>
      <c r="Q157" s="53"/>
      <c r="R157" s="57"/>
      <c r="S157" s="53"/>
      <c r="T157" s="53"/>
      <c r="U157" s="716"/>
      <c r="V157" s="53"/>
      <c r="W157" s="53"/>
      <c r="X157" s="53"/>
      <c r="Y157" s="53"/>
      <c r="Z157" s="53"/>
      <c r="AA157" s="56"/>
      <c r="AB157" s="54"/>
      <c r="AC157" s="54"/>
      <c r="AD157" s="54"/>
      <c r="AE157" s="54"/>
      <c r="AF157" s="131">
        <v>11</v>
      </c>
    </row>
    <row r="158" s="131" customFormat="1" ht="11.5" customHeight="1">
      <c r="A158" s="715"/>
      <c r="B158" s="57"/>
      <c r="C158" s="57"/>
      <c r="D158" s="131"/>
      <c r="K158" s="53"/>
      <c r="L158" s="57"/>
      <c r="M158" s="57"/>
      <c r="N158" s="53"/>
      <c r="O158" s="53"/>
      <c r="P158" s="53"/>
      <c r="Q158" s="53"/>
      <c r="R158" s="57"/>
      <c r="S158" s="53"/>
      <c r="T158" s="53"/>
      <c r="U158" s="716"/>
      <c r="V158" s="53"/>
      <c r="W158" s="53"/>
      <c r="X158" s="53"/>
      <c r="Y158" s="53"/>
      <c r="Z158" s="53"/>
      <c r="AA158" s="56"/>
      <c r="AB158" s="54"/>
      <c r="AC158" s="54"/>
      <c r="AD158" s="54"/>
      <c r="AE158" s="54"/>
      <c r="AF158" s="131">
        <v>11</v>
      </c>
    </row>
    <row r="159" s="131" customFormat="1" ht="11.5" customHeight="1">
      <c r="A159" s="715"/>
      <c r="B159" s="57"/>
      <c r="C159" s="57"/>
      <c r="D159" s="131"/>
      <c r="K159" s="53"/>
      <c r="L159" s="57"/>
      <c r="M159" s="57"/>
      <c r="N159" s="53"/>
      <c r="O159" s="53"/>
      <c r="P159" s="53"/>
      <c r="Q159" s="53"/>
      <c r="R159" s="57"/>
      <c r="S159" s="53"/>
      <c r="T159" s="53"/>
      <c r="U159" s="716"/>
      <c r="V159" s="53"/>
      <c r="W159" s="53"/>
      <c r="X159" s="53"/>
      <c r="Y159" s="53"/>
      <c r="Z159" s="53"/>
      <c r="AA159" s="56"/>
      <c r="AB159" s="54"/>
      <c r="AC159" s="54"/>
      <c r="AD159" s="54"/>
      <c r="AE159" s="54"/>
      <c r="AF159" s="131">
        <v>11</v>
      </c>
    </row>
    <row r="160" s="131" customFormat="1" ht="11.5" customHeight="1">
      <c r="A160" s="715"/>
      <c r="B160" s="57"/>
      <c r="C160" s="57"/>
      <c r="D160" s="131"/>
      <c r="K160" s="53"/>
      <c r="L160" s="57"/>
      <c r="M160" s="57"/>
      <c r="N160" s="53"/>
      <c r="O160" s="53"/>
      <c r="P160" s="53"/>
      <c r="Q160" s="53"/>
      <c r="R160" s="57"/>
      <c r="S160" s="53"/>
      <c r="T160" s="53"/>
      <c r="U160" s="716"/>
      <c r="V160" s="53"/>
      <c r="W160" s="53"/>
      <c r="X160" s="53"/>
      <c r="Y160" s="53"/>
      <c r="Z160" s="53"/>
      <c r="AA160" s="56"/>
      <c r="AB160" s="54"/>
      <c r="AC160" s="54"/>
      <c r="AD160" s="54"/>
      <c r="AE160" s="54"/>
      <c r="AF160" s="131">
        <v>11</v>
      </c>
    </row>
    <row r="161" s="131" customFormat="1" ht="11.5" customHeight="1">
      <c r="A161" s="715"/>
      <c r="B161" s="57"/>
      <c r="C161" s="57"/>
      <c r="D161" s="131"/>
      <c r="K161" s="53"/>
      <c r="L161" s="57"/>
      <c r="M161" s="57"/>
      <c r="N161" s="53"/>
      <c r="O161" s="53"/>
      <c r="P161" s="53"/>
      <c r="Q161" s="53"/>
      <c r="R161" s="57"/>
      <c r="S161" s="53"/>
      <c r="T161" s="53"/>
      <c r="U161" s="716"/>
      <c r="V161" s="53"/>
      <c r="W161" s="53"/>
      <c r="X161" s="53"/>
      <c r="Y161" s="53"/>
      <c r="Z161" s="53"/>
      <c r="AA161" s="56"/>
      <c r="AB161" s="54"/>
      <c r="AC161" s="54"/>
      <c r="AD161" s="54"/>
      <c r="AE161" s="54"/>
      <c r="AF161" s="131">
        <v>11</v>
      </c>
    </row>
    <row r="162" s="131" customFormat="1" ht="11.5" customHeight="1">
      <c r="A162" s="715"/>
      <c r="B162" s="57"/>
      <c r="C162" s="57"/>
      <c r="D162" s="131"/>
      <c r="K162" s="53"/>
      <c r="L162" s="57"/>
      <c r="M162" s="57"/>
      <c r="N162" s="53"/>
      <c r="O162" s="53"/>
      <c r="P162" s="53"/>
      <c r="Q162" s="53"/>
      <c r="R162" s="57"/>
      <c r="S162" s="53"/>
      <c r="T162" s="53"/>
      <c r="U162" s="716"/>
      <c r="V162" s="53"/>
      <c r="W162" s="53"/>
      <c r="X162" s="53"/>
      <c r="Y162" s="53"/>
      <c r="Z162" s="53"/>
      <c r="AA162" s="56"/>
      <c r="AB162" s="54"/>
      <c r="AC162" s="54"/>
      <c r="AD162" s="54"/>
      <c r="AE162" s="54"/>
      <c r="AF162" s="131">
        <v>11</v>
      </c>
    </row>
    <row r="163" s="131" customFormat="1" ht="11.5" customHeight="1">
      <c r="A163" s="715"/>
      <c r="B163" s="57"/>
      <c r="C163" s="57"/>
      <c r="D163" s="131"/>
      <c r="K163" s="53"/>
      <c r="L163" s="57"/>
      <c r="M163" s="57"/>
      <c r="N163" s="53"/>
      <c r="O163" s="53"/>
      <c r="P163" s="53"/>
      <c r="Q163" s="53"/>
      <c r="R163" s="57"/>
      <c r="S163" s="53"/>
      <c r="T163" s="53"/>
      <c r="U163" s="716"/>
      <c r="V163" s="53"/>
      <c r="W163" s="53"/>
      <c r="X163" s="53"/>
      <c r="Y163" s="53"/>
      <c r="Z163" s="53"/>
      <c r="AA163" s="56"/>
      <c r="AB163" s="54"/>
      <c r="AC163" s="54"/>
      <c r="AD163" s="54"/>
      <c r="AE163" s="54"/>
      <c r="AF163" s="131">
        <v>11</v>
      </c>
    </row>
    <row r="164" s="131" customFormat="1" ht="11.5" customHeight="1">
      <c r="A164" s="715"/>
      <c r="B164" s="57"/>
      <c r="C164" s="57"/>
      <c r="D164" s="131"/>
      <c r="K164" s="53"/>
      <c r="L164" s="57"/>
      <c r="M164" s="57"/>
      <c r="N164" s="53"/>
      <c r="O164" s="53"/>
      <c r="P164" s="53"/>
      <c r="Q164" s="53"/>
      <c r="R164" s="57"/>
      <c r="S164" s="53"/>
      <c r="T164" s="53"/>
      <c r="U164" s="716"/>
      <c r="V164" s="53"/>
      <c r="W164" s="53"/>
      <c r="X164" s="53"/>
      <c r="Y164" s="53"/>
      <c r="Z164" s="53"/>
      <c r="AA164" s="56"/>
      <c r="AB164" s="54"/>
      <c r="AC164" s="54"/>
      <c r="AD164" s="54"/>
      <c r="AE164" s="54"/>
      <c r="AF164" s="131">
        <v>11</v>
      </c>
    </row>
    <row r="165" s="131" customFormat="1" ht="11.5" customHeight="1">
      <c r="A165" s="715"/>
      <c r="B165" s="57"/>
      <c r="C165" s="57"/>
      <c r="D165" s="131"/>
      <c r="K165" s="53"/>
      <c r="L165" s="57"/>
      <c r="M165" s="57"/>
      <c r="N165" s="53"/>
      <c r="O165" s="53"/>
      <c r="P165" s="53"/>
      <c r="Q165" s="53"/>
      <c r="R165" s="57"/>
      <c r="S165" s="53"/>
      <c r="T165" s="53"/>
      <c r="U165" s="716"/>
      <c r="V165" s="53"/>
      <c r="W165" s="53"/>
      <c r="X165" s="53"/>
      <c r="Y165" s="53"/>
      <c r="Z165" s="53"/>
      <c r="AA165" s="56"/>
      <c r="AB165" s="54"/>
      <c r="AC165" s="54"/>
      <c r="AD165" s="54"/>
      <c r="AE165" s="54"/>
      <c r="AF165" s="131">
        <v>11</v>
      </c>
    </row>
    <row r="166" s="131" customFormat="1" ht="11.5" customHeight="1">
      <c r="A166" s="715"/>
      <c r="B166" s="57"/>
      <c r="C166" s="57"/>
      <c r="D166" s="131"/>
      <c r="K166" s="53"/>
      <c r="L166" s="57"/>
      <c r="M166" s="57"/>
      <c r="N166" s="53"/>
      <c r="O166" s="53"/>
      <c r="P166" s="53"/>
      <c r="Q166" s="53"/>
      <c r="R166" s="57"/>
      <c r="S166" s="53"/>
      <c r="T166" s="53"/>
      <c r="U166" s="716"/>
      <c r="V166" s="53"/>
      <c r="W166" s="53"/>
      <c r="X166" s="53"/>
      <c r="Y166" s="53"/>
      <c r="Z166" s="53"/>
      <c r="AA166" s="56"/>
      <c r="AB166" s="54"/>
      <c r="AC166" s="54"/>
      <c r="AD166" s="54"/>
      <c r="AE166" s="54"/>
      <c r="AF166" s="131">
        <v>11</v>
      </c>
    </row>
    <row r="167" s="131" customFormat="1" ht="11.5" customHeight="1">
      <c r="A167" s="715"/>
      <c r="B167" s="57"/>
      <c r="C167" s="57"/>
      <c r="D167" s="131"/>
      <c r="K167" s="53"/>
      <c r="L167" s="57"/>
      <c r="M167" s="57"/>
      <c r="N167" s="53"/>
      <c r="O167" s="53"/>
      <c r="P167" s="53"/>
      <c r="Q167" s="53"/>
      <c r="R167" s="57"/>
      <c r="S167" s="53"/>
      <c r="T167" s="53"/>
      <c r="U167" s="716"/>
      <c r="V167" s="53"/>
      <c r="W167" s="53"/>
      <c r="X167" s="53"/>
      <c r="Y167" s="53"/>
      <c r="Z167" s="53"/>
      <c r="AA167" s="56"/>
      <c r="AB167" s="54"/>
      <c r="AC167" s="54"/>
      <c r="AD167" s="54"/>
      <c r="AE167" s="54"/>
      <c r="AF167" s="131">
        <v>11</v>
      </c>
    </row>
    <row r="168" s="131" customFormat="1" ht="11.5" customHeight="1">
      <c r="A168" s="715"/>
      <c r="B168" s="57"/>
      <c r="C168" s="57"/>
      <c r="D168" s="131"/>
      <c r="K168" s="53"/>
      <c r="L168" s="57"/>
      <c r="M168" s="57"/>
      <c r="N168" s="53"/>
      <c r="O168" s="53"/>
      <c r="P168" s="53"/>
      <c r="Q168" s="53"/>
      <c r="R168" s="57"/>
      <c r="S168" s="53"/>
      <c r="T168" s="53"/>
      <c r="U168" s="716"/>
      <c r="V168" s="53"/>
      <c r="W168" s="53"/>
      <c r="X168" s="53"/>
      <c r="Y168" s="53"/>
      <c r="Z168" s="53"/>
      <c r="AA168" s="56"/>
      <c r="AB168" s="54"/>
      <c r="AC168" s="54"/>
      <c r="AD168" s="54"/>
      <c r="AE168" s="54"/>
      <c r="AF168" s="131">
        <v>11</v>
      </c>
    </row>
    <row r="169" s="131" customFormat="1" ht="11.5" customHeight="1">
      <c r="A169" s="715"/>
      <c r="B169" s="57"/>
      <c r="C169" s="57"/>
      <c r="D169" s="131"/>
      <c r="K169" s="53"/>
      <c r="L169" s="57"/>
      <c r="M169" s="57"/>
      <c r="N169" s="53"/>
      <c r="O169" s="53"/>
      <c r="P169" s="53"/>
      <c r="Q169" s="53"/>
      <c r="R169" s="57"/>
      <c r="S169" s="53"/>
      <c r="T169" s="53"/>
      <c r="U169" s="716"/>
      <c r="V169" s="53"/>
      <c r="W169" s="53"/>
      <c r="X169" s="53"/>
      <c r="Y169" s="53"/>
      <c r="Z169" s="53"/>
      <c r="AA169" s="56"/>
      <c r="AB169" s="54"/>
      <c r="AC169" s="54"/>
      <c r="AD169" s="54"/>
      <c r="AE169" s="54"/>
      <c r="AF169" s="131">
        <v>11</v>
      </c>
    </row>
    <row r="170" s="131" customFormat="1" ht="11.5" customHeight="1">
      <c r="A170" s="715"/>
      <c r="B170" s="57"/>
      <c r="C170" s="57"/>
      <c r="D170" s="131"/>
      <c r="K170" s="53"/>
      <c r="L170" s="57"/>
      <c r="M170" s="57"/>
      <c r="N170" s="53"/>
      <c r="O170" s="53"/>
      <c r="P170" s="53"/>
      <c r="Q170" s="53"/>
      <c r="R170" s="57"/>
      <c r="S170" s="53"/>
      <c r="T170" s="53"/>
      <c r="U170" s="716"/>
      <c r="V170" s="53"/>
      <c r="W170" s="53"/>
      <c r="X170" s="53"/>
      <c r="Y170" s="53"/>
      <c r="Z170" s="53"/>
      <c r="AA170" s="56"/>
      <c r="AB170" s="54"/>
      <c r="AC170" s="54"/>
      <c r="AD170" s="54"/>
      <c r="AE170" s="54"/>
      <c r="AF170" s="131">
        <v>11</v>
      </c>
    </row>
    <row r="171" s="131" customFormat="1" ht="11.5" customHeight="1">
      <c r="A171" s="715"/>
      <c r="B171" s="57"/>
      <c r="C171" s="57"/>
      <c r="D171" s="131"/>
      <c r="K171" s="53"/>
      <c r="L171" s="57"/>
      <c r="M171" s="57"/>
      <c r="N171" s="53"/>
      <c r="O171" s="53"/>
      <c r="P171" s="53"/>
      <c r="Q171" s="53"/>
      <c r="R171" s="57"/>
      <c r="S171" s="53"/>
      <c r="T171" s="53"/>
      <c r="U171" s="716"/>
      <c r="V171" s="53"/>
      <c r="W171" s="53"/>
      <c r="X171" s="53"/>
      <c r="Y171" s="53"/>
      <c r="Z171" s="53"/>
      <c r="AA171" s="56"/>
      <c r="AB171" s="54"/>
      <c r="AC171" s="54"/>
      <c r="AD171" s="54"/>
      <c r="AE171" s="54"/>
      <c r="AF171" s="131">
        <v>11</v>
      </c>
    </row>
    <row r="172" s="131" customFormat="1" ht="11.5" customHeight="1">
      <c r="A172" s="715"/>
      <c r="B172" s="57"/>
      <c r="C172" s="57"/>
      <c r="D172" s="131"/>
      <c r="K172" s="53"/>
      <c r="L172" s="57"/>
      <c r="M172" s="57"/>
      <c r="N172" s="53"/>
      <c r="O172" s="53"/>
      <c r="P172" s="53"/>
      <c r="Q172" s="53"/>
      <c r="R172" s="57"/>
      <c r="S172" s="53"/>
      <c r="T172" s="53"/>
      <c r="U172" s="716"/>
      <c r="V172" s="53"/>
      <c r="W172" s="53"/>
      <c r="X172" s="53"/>
      <c r="Y172" s="53"/>
      <c r="Z172" s="53"/>
      <c r="AA172" s="56"/>
      <c r="AB172" s="54"/>
      <c r="AC172" s="54"/>
      <c r="AD172" s="54"/>
      <c r="AE172" s="54"/>
      <c r="AF172" s="131">
        <v>11</v>
      </c>
    </row>
    <row r="173" s="131" customFormat="1" ht="11.5" customHeight="1">
      <c r="A173" s="715"/>
      <c r="B173" s="57"/>
      <c r="C173" s="57"/>
      <c r="D173" s="131"/>
      <c r="K173" s="53"/>
      <c r="L173" s="57"/>
      <c r="M173" s="57"/>
      <c r="N173" s="53"/>
      <c r="O173" s="53"/>
      <c r="P173" s="53"/>
      <c r="Q173" s="53"/>
      <c r="R173" s="57"/>
      <c r="S173" s="53"/>
      <c r="T173" s="53"/>
      <c r="U173" s="716"/>
      <c r="V173" s="53"/>
      <c r="W173" s="53"/>
      <c r="X173" s="53"/>
      <c r="Y173" s="53"/>
      <c r="Z173" s="53"/>
      <c r="AA173" s="56"/>
      <c r="AB173" s="54"/>
      <c r="AC173" s="54"/>
      <c r="AD173" s="54"/>
      <c r="AE173" s="54"/>
      <c r="AF173" s="131">
        <v>11</v>
      </c>
    </row>
    <row r="174" s="131" customFormat="1" ht="11.5" customHeight="1">
      <c r="A174" s="715"/>
      <c r="B174" s="57"/>
      <c r="C174" s="57"/>
      <c r="D174" s="131"/>
      <c r="K174" s="53"/>
      <c r="L174" s="57"/>
      <c r="M174" s="57"/>
      <c r="N174" s="53"/>
      <c r="O174" s="53"/>
      <c r="P174" s="53"/>
      <c r="Q174" s="53"/>
      <c r="R174" s="57"/>
      <c r="S174" s="53"/>
      <c r="T174" s="53"/>
      <c r="U174" s="716"/>
      <c r="V174" s="53"/>
      <c r="W174" s="53"/>
      <c r="X174" s="53"/>
      <c r="Y174" s="53"/>
      <c r="Z174" s="53"/>
      <c r="AA174" s="56"/>
      <c r="AB174" s="54"/>
      <c r="AC174" s="54"/>
      <c r="AD174" s="54"/>
      <c r="AE174" s="54"/>
      <c r="AF174" s="131">
        <v>11</v>
      </c>
    </row>
    <row r="175" s="131" customFormat="1" ht="11.5" customHeight="1">
      <c r="A175" s="715"/>
      <c r="B175" s="57"/>
      <c r="C175" s="57"/>
      <c r="D175" s="131"/>
      <c r="K175" s="53"/>
      <c r="L175" s="57"/>
      <c r="M175" s="57"/>
      <c r="N175" s="53"/>
      <c r="O175" s="53"/>
      <c r="P175" s="53"/>
      <c r="Q175" s="53"/>
      <c r="R175" s="57"/>
      <c r="S175" s="53"/>
      <c r="T175" s="53"/>
      <c r="U175" s="716"/>
      <c r="V175" s="53"/>
      <c r="W175" s="53"/>
      <c r="X175" s="53"/>
      <c r="Y175" s="53"/>
      <c r="Z175" s="53"/>
      <c r="AA175" s="56"/>
      <c r="AB175" s="54"/>
      <c r="AC175" s="54"/>
      <c r="AD175" s="54"/>
      <c r="AE175" s="54"/>
      <c r="AF175" s="131">
        <v>11</v>
      </c>
    </row>
    <row r="176" s="131" customFormat="1" ht="11.5" customHeight="1">
      <c r="A176" s="715"/>
      <c r="B176" s="57"/>
      <c r="C176" s="57"/>
      <c r="D176" s="131"/>
      <c r="K176" s="53"/>
      <c r="L176" s="57"/>
      <c r="M176" s="57"/>
      <c r="N176" s="53"/>
      <c r="O176" s="53"/>
      <c r="P176" s="53"/>
      <c r="Q176" s="53"/>
      <c r="R176" s="57"/>
      <c r="S176" s="53"/>
      <c r="T176" s="53"/>
      <c r="U176" s="716"/>
      <c r="V176" s="53"/>
      <c r="W176" s="53"/>
      <c r="X176" s="53"/>
      <c r="Y176" s="53"/>
      <c r="Z176" s="53"/>
      <c r="AA176" s="56"/>
      <c r="AB176" s="54"/>
      <c r="AC176" s="54"/>
      <c r="AD176" s="54"/>
      <c r="AE176" s="54"/>
      <c r="AF176" s="131">
        <v>11</v>
      </c>
    </row>
    <row r="177" s="131" customFormat="1" ht="11.5" customHeight="1">
      <c r="A177" s="715"/>
      <c r="B177" s="57"/>
      <c r="C177" s="57"/>
      <c r="D177" s="131"/>
      <c r="K177" s="53"/>
      <c r="L177" s="57"/>
      <c r="M177" s="57"/>
      <c r="N177" s="53"/>
      <c r="O177" s="53"/>
      <c r="P177" s="53"/>
      <c r="Q177" s="53"/>
      <c r="R177" s="57"/>
      <c r="S177" s="53"/>
      <c r="T177" s="53"/>
      <c r="U177" s="716"/>
      <c r="V177" s="53"/>
      <c r="W177" s="53"/>
      <c r="X177" s="53"/>
      <c r="Y177" s="53"/>
      <c r="Z177" s="53"/>
      <c r="AA177" s="56"/>
      <c r="AB177" s="54"/>
      <c r="AC177" s="54"/>
      <c r="AD177" s="54"/>
      <c r="AE177" s="54"/>
      <c r="AF177" s="131">
        <v>11</v>
      </c>
    </row>
    <row r="178" s="131" customFormat="1" ht="11.5" customHeight="1">
      <c r="A178" s="715"/>
      <c r="B178" s="57"/>
      <c r="C178" s="57"/>
      <c r="D178" s="131"/>
      <c r="K178" s="53"/>
      <c r="L178" s="57"/>
      <c r="M178" s="57"/>
      <c r="N178" s="53"/>
      <c r="O178" s="53"/>
      <c r="P178" s="53"/>
      <c r="Q178" s="53"/>
      <c r="R178" s="57"/>
      <c r="S178" s="53"/>
      <c r="T178" s="53"/>
      <c r="U178" s="716"/>
      <c r="V178" s="53"/>
      <c r="W178" s="53"/>
      <c r="X178" s="53"/>
      <c r="Y178" s="53"/>
      <c r="Z178" s="53"/>
      <c r="AA178" s="56"/>
      <c r="AB178" s="54"/>
      <c r="AC178" s="54"/>
      <c r="AD178" s="54"/>
      <c r="AE178" s="54"/>
      <c r="AF178" s="131">
        <v>11</v>
      </c>
    </row>
    <row r="179" s="131" customFormat="1" ht="11.5" customHeight="1">
      <c r="A179" s="715"/>
      <c r="B179" s="57"/>
      <c r="C179" s="57"/>
      <c r="D179" s="131"/>
      <c r="K179" s="53"/>
      <c r="L179" s="57"/>
      <c r="M179" s="57"/>
      <c r="N179" s="53"/>
      <c r="O179" s="53"/>
      <c r="P179" s="53"/>
      <c r="Q179" s="53"/>
      <c r="R179" s="57"/>
      <c r="S179" s="53"/>
      <c r="T179" s="53"/>
      <c r="U179" s="716"/>
      <c r="V179" s="53"/>
      <c r="W179" s="53"/>
      <c r="X179" s="53"/>
      <c r="Y179" s="53"/>
      <c r="Z179" s="53"/>
      <c r="AA179" s="56"/>
      <c r="AB179" s="54"/>
      <c r="AC179" s="54"/>
      <c r="AD179" s="54"/>
      <c r="AE179" s="54"/>
      <c r="AF179" s="131">
        <v>11</v>
      </c>
    </row>
    <row r="180" s="131" customFormat="1" ht="11.5" customHeight="1">
      <c r="A180" s="715"/>
      <c r="B180" s="57"/>
      <c r="C180" s="57"/>
      <c r="D180" s="131"/>
      <c r="K180" s="53"/>
      <c r="L180" s="57"/>
      <c r="M180" s="57"/>
      <c r="N180" s="53"/>
      <c r="O180" s="53"/>
      <c r="P180" s="53"/>
      <c r="Q180" s="53"/>
      <c r="R180" s="57"/>
      <c r="S180" s="53"/>
      <c r="T180" s="53"/>
      <c r="U180" s="716"/>
      <c r="V180" s="53"/>
      <c r="W180" s="53"/>
      <c r="X180" s="53"/>
      <c r="Y180" s="53"/>
      <c r="Z180" s="53"/>
      <c r="AA180" s="56"/>
      <c r="AB180" s="54"/>
      <c r="AC180" s="54"/>
      <c r="AD180" s="54"/>
      <c r="AE180" s="54"/>
      <c r="AF180" s="131">
        <v>11</v>
      </c>
    </row>
    <row r="181" s="131" customFormat="1" ht="11.5" customHeight="1">
      <c r="A181" s="715"/>
      <c r="B181" s="57"/>
      <c r="C181" s="57"/>
      <c r="D181" s="131"/>
      <c r="K181" s="53"/>
      <c r="L181" s="57"/>
      <c r="M181" s="57"/>
      <c r="N181" s="53"/>
      <c r="O181" s="53"/>
      <c r="P181" s="53"/>
      <c r="Q181" s="53"/>
      <c r="R181" s="57"/>
      <c r="S181" s="53"/>
      <c r="T181" s="53"/>
      <c r="U181" s="716"/>
      <c r="V181" s="53"/>
      <c r="W181" s="53"/>
      <c r="X181" s="53"/>
      <c r="Y181" s="53"/>
      <c r="Z181" s="53"/>
      <c r="AA181" s="56"/>
      <c r="AB181" s="54"/>
      <c r="AC181" s="54"/>
      <c r="AD181" s="54"/>
      <c r="AE181" s="54"/>
      <c r="AF181" s="131">
        <v>11</v>
      </c>
    </row>
    <row r="182" s="131" customFormat="1" ht="11.5" customHeight="1">
      <c r="A182" s="715"/>
      <c r="B182" s="57"/>
      <c r="C182" s="57"/>
      <c r="D182" s="131"/>
      <c r="K182" s="53"/>
      <c r="L182" s="57"/>
      <c r="M182" s="57"/>
      <c r="N182" s="53"/>
      <c r="O182" s="53"/>
      <c r="P182" s="53"/>
      <c r="Q182" s="53"/>
      <c r="R182" s="57"/>
      <c r="S182" s="53"/>
      <c r="T182" s="53"/>
      <c r="U182" s="716"/>
      <c r="V182" s="53"/>
      <c r="W182" s="53"/>
      <c r="X182" s="53"/>
      <c r="Y182" s="53"/>
      <c r="Z182" s="53"/>
      <c r="AA182" s="56"/>
      <c r="AB182" s="54"/>
      <c r="AC182" s="54"/>
      <c r="AD182" s="54"/>
      <c r="AE182" s="54"/>
      <c r="AF182" s="131">
        <v>11</v>
      </c>
    </row>
    <row r="183" s="131" customFormat="1" ht="11.5" customHeight="1">
      <c r="A183" s="715"/>
      <c r="B183" s="57"/>
      <c r="C183" s="57"/>
      <c r="D183" s="131"/>
      <c r="K183" s="53"/>
      <c r="L183" s="57"/>
      <c r="M183" s="57"/>
      <c r="N183" s="53"/>
      <c r="O183" s="53"/>
      <c r="P183" s="53"/>
      <c r="Q183" s="53"/>
      <c r="R183" s="57"/>
      <c r="S183" s="53"/>
      <c r="T183" s="53"/>
      <c r="U183" s="716"/>
      <c r="V183" s="53"/>
      <c r="W183" s="53"/>
      <c r="X183" s="53"/>
      <c r="Y183" s="53"/>
      <c r="Z183" s="53"/>
      <c r="AA183" s="56"/>
      <c r="AB183" s="54"/>
      <c r="AC183" s="54"/>
      <c r="AD183" s="54"/>
      <c r="AE183" s="54"/>
      <c r="AF183" s="131">
        <v>11</v>
      </c>
    </row>
    <row r="184" s="131" customFormat="1" ht="11.5" customHeight="1">
      <c r="A184" s="715"/>
      <c r="B184" s="57"/>
      <c r="C184" s="57"/>
      <c r="D184" s="131"/>
      <c r="K184" s="53"/>
      <c r="L184" s="57"/>
      <c r="M184" s="57"/>
      <c r="N184" s="53"/>
      <c r="O184" s="53"/>
      <c r="P184" s="53"/>
      <c r="Q184" s="53"/>
      <c r="R184" s="57"/>
      <c r="S184" s="53"/>
      <c r="T184" s="53"/>
      <c r="U184" s="716"/>
      <c r="V184" s="53"/>
      <c r="W184" s="53"/>
      <c r="X184" s="53"/>
      <c r="Y184" s="53"/>
      <c r="Z184" s="53"/>
      <c r="AA184" s="56"/>
      <c r="AB184" s="54"/>
      <c r="AC184" s="54"/>
      <c r="AD184" s="54"/>
      <c r="AE184" s="54"/>
      <c r="AF184" s="131">
        <v>11</v>
      </c>
    </row>
    <row r="185" s="131" customFormat="1" ht="11.5" customHeight="1">
      <c r="A185" s="715"/>
      <c r="B185" s="57"/>
      <c r="C185" s="57"/>
      <c r="D185" s="131"/>
      <c r="K185" s="53"/>
      <c r="L185" s="57"/>
      <c r="M185" s="57"/>
      <c r="N185" s="53"/>
      <c r="O185" s="53"/>
      <c r="P185" s="53"/>
      <c r="Q185" s="53"/>
      <c r="R185" s="57"/>
      <c r="S185" s="53"/>
      <c r="T185" s="53"/>
      <c r="U185" s="716"/>
      <c r="V185" s="53"/>
      <c r="W185" s="53"/>
      <c r="X185" s="53"/>
      <c r="Y185" s="53"/>
      <c r="Z185" s="53"/>
      <c r="AA185" s="56"/>
      <c r="AB185" s="54"/>
      <c r="AC185" s="54"/>
      <c r="AD185" s="54"/>
      <c r="AE185" s="54"/>
      <c r="AF185" s="131">
        <v>11</v>
      </c>
    </row>
    <row r="186" s="131" customFormat="1" ht="11.5" customHeight="1">
      <c r="A186" s="715"/>
      <c r="B186" s="57"/>
      <c r="C186" s="57"/>
      <c r="D186" s="131"/>
      <c r="K186" s="53"/>
      <c r="L186" s="57"/>
      <c r="M186" s="57"/>
      <c r="N186" s="53"/>
      <c r="O186" s="53"/>
      <c r="P186" s="53"/>
      <c r="Q186" s="53"/>
      <c r="R186" s="57"/>
      <c r="S186" s="53"/>
      <c r="T186" s="53"/>
      <c r="U186" s="716"/>
      <c r="V186" s="53"/>
      <c r="W186" s="53"/>
      <c r="X186" s="53"/>
      <c r="Y186" s="53"/>
      <c r="Z186" s="53"/>
      <c r="AA186" s="56"/>
      <c r="AB186" s="54"/>
      <c r="AC186" s="54"/>
      <c r="AD186" s="54"/>
      <c r="AE186" s="54"/>
      <c r="AF186" s="131">
        <v>11</v>
      </c>
    </row>
    <row r="187" s="131" customFormat="1" ht="11.5" customHeight="1">
      <c r="A187" s="715"/>
      <c r="B187" s="57"/>
      <c r="C187" s="57"/>
      <c r="D187" s="131"/>
      <c r="K187" s="53"/>
      <c r="L187" s="57"/>
      <c r="M187" s="57"/>
      <c r="N187" s="53"/>
      <c r="O187" s="53"/>
      <c r="P187" s="53"/>
      <c r="Q187" s="53"/>
      <c r="R187" s="57"/>
      <c r="S187" s="53"/>
      <c r="T187" s="53"/>
      <c r="U187" s="716"/>
      <c r="V187" s="53"/>
      <c r="W187" s="53"/>
      <c r="X187" s="53"/>
      <c r="Y187" s="53"/>
      <c r="Z187" s="53"/>
      <c r="AA187" s="56"/>
      <c r="AB187" s="54"/>
      <c r="AC187" s="54"/>
      <c r="AD187" s="54"/>
      <c r="AE187" s="54"/>
      <c r="AF187" s="131">
        <v>11</v>
      </c>
    </row>
    <row r="188" s="131" customFormat="1" ht="11.5" customHeight="1">
      <c r="A188" s="715"/>
      <c r="B188" s="57"/>
      <c r="C188" s="57"/>
      <c r="D188" s="131"/>
      <c r="K188" s="53"/>
      <c r="L188" s="57"/>
      <c r="M188" s="57"/>
      <c r="N188" s="53"/>
      <c r="O188" s="53"/>
      <c r="P188" s="53"/>
      <c r="Q188" s="53"/>
      <c r="R188" s="57"/>
      <c r="S188" s="53"/>
      <c r="T188" s="53"/>
      <c r="U188" s="716"/>
      <c r="V188" s="53"/>
      <c r="W188" s="53"/>
      <c r="X188" s="53"/>
      <c r="Y188" s="53"/>
      <c r="Z188" s="53"/>
      <c r="AA188" s="56"/>
      <c r="AB188" s="54"/>
      <c r="AC188" s="54"/>
      <c r="AD188" s="54"/>
      <c r="AE188" s="54"/>
      <c r="AF188" s="131">
        <v>11</v>
      </c>
    </row>
    <row r="189" s="131" customFormat="1" ht="11.5" customHeight="1">
      <c r="A189" s="715"/>
      <c r="B189" s="57"/>
      <c r="C189" s="57"/>
      <c r="D189" s="131"/>
      <c r="K189" s="53"/>
      <c r="L189" s="57"/>
      <c r="M189" s="57"/>
      <c r="N189" s="53"/>
      <c r="O189" s="53"/>
      <c r="P189" s="53"/>
      <c r="Q189" s="53"/>
      <c r="R189" s="57"/>
      <c r="S189" s="53"/>
      <c r="T189" s="53"/>
      <c r="U189" s="716"/>
      <c r="V189" s="53"/>
      <c r="W189" s="53"/>
      <c r="X189" s="53"/>
      <c r="Y189" s="53"/>
      <c r="Z189" s="53"/>
      <c r="AA189" s="56"/>
      <c r="AB189" s="54"/>
      <c r="AC189" s="54"/>
      <c r="AD189" s="54"/>
      <c r="AE189" s="54"/>
      <c r="AF189" s="131">
        <v>11</v>
      </c>
    </row>
    <row r="190" s="131" customFormat="1" ht="11.5" customHeight="1">
      <c r="A190" s="715"/>
      <c r="B190" s="57"/>
      <c r="C190" s="57"/>
      <c r="D190" s="131"/>
      <c r="K190" s="53"/>
      <c r="L190" s="57"/>
      <c r="M190" s="57"/>
      <c r="N190" s="53"/>
      <c r="O190" s="53"/>
      <c r="P190" s="53"/>
      <c r="Q190" s="53"/>
      <c r="R190" s="57"/>
      <c r="S190" s="53"/>
      <c r="T190" s="53"/>
      <c r="U190" s="716"/>
      <c r="V190" s="53"/>
      <c r="W190" s="53"/>
      <c r="X190" s="53"/>
      <c r="Y190" s="53"/>
      <c r="Z190" s="53"/>
      <c r="AA190" s="56"/>
      <c r="AB190" s="54"/>
      <c r="AC190" s="54"/>
      <c r="AD190" s="54"/>
      <c r="AE190" s="54"/>
      <c r="AF190" s="131">
        <v>11</v>
      </c>
    </row>
    <row r="191" s="131" customFormat="1" ht="11.5" customHeight="1">
      <c r="A191" s="715"/>
      <c r="B191" s="57"/>
      <c r="C191" s="57"/>
      <c r="D191" s="131"/>
      <c r="K191" s="53"/>
      <c r="L191" s="57"/>
      <c r="M191" s="57"/>
      <c r="N191" s="53"/>
      <c r="O191" s="53"/>
      <c r="P191" s="53"/>
      <c r="Q191" s="53"/>
      <c r="R191" s="57"/>
      <c r="S191" s="53"/>
      <c r="T191" s="53"/>
      <c r="U191" s="716"/>
      <c r="V191" s="53"/>
      <c r="W191" s="53"/>
      <c r="X191" s="53"/>
      <c r="Y191" s="53"/>
      <c r="Z191" s="53"/>
      <c r="AA191" s="56"/>
      <c r="AB191" s="54"/>
      <c r="AC191" s="54"/>
      <c r="AD191" s="54"/>
      <c r="AE191" s="54"/>
      <c r="AF191" s="131">
        <v>11</v>
      </c>
    </row>
    <row r="192" s="131" customFormat="1" ht="11.5" customHeight="1">
      <c r="A192" s="715"/>
      <c r="B192" s="57"/>
      <c r="C192" s="57"/>
      <c r="D192" s="131"/>
      <c r="K192" s="53"/>
      <c r="L192" s="57"/>
      <c r="M192" s="57"/>
      <c r="N192" s="53"/>
      <c r="O192" s="53"/>
      <c r="P192" s="53"/>
      <c r="Q192" s="53"/>
      <c r="R192" s="57"/>
      <c r="S192" s="53"/>
      <c r="T192" s="53"/>
      <c r="U192" s="716"/>
      <c r="V192" s="53"/>
      <c r="W192" s="53"/>
      <c r="X192" s="53"/>
      <c r="Y192" s="53"/>
      <c r="Z192" s="53"/>
      <c r="AA192" s="56"/>
      <c r="AB192" s="54"/>
      <c r="AC192" s="54"/>
      <c r="AD192" s="54"/>
      <c r="AE192" s="54"/>
      <c r="AF192" s="131">
        <v>11</v>
      </c>
    </row>
    <row r="193" s="131" customFormat="1" ht="11.5" customHeight="1">
      <c r="A193" s="715"/>
      <c r="B193" s="57"/>
      <c r="C193" s="57"/>
      <c r="D193" s="131"/>
      <c r="K193" s="53"/>
      <c r="L193" s="57"/>
      <c r="M193" s="57"/>
      <c r="N193" s="53"/>
      <c r="O193" s="53"/>
      <c r="P193" s="53"/>
      <c r="Q193" s="53"/>
      <c r="R193" s="57"/>
      <c r="S193" s="53"/>
      <c r="T193" s="53"/>
      <c r="U193" s="716"/>
      <c r="V193" s="53"/>
      <c r="W193" s="53"/>
      <c r="X193" s="53"/>
      <c r="Y193" s="53"/>
      <c r="Z193" s="53"/>
      <c r="AA193" s="56"/>
      <c r="AB193" s="54"/>
      <c r="AC193" s="54"/>
      <c r="AD193" s="54"/>
      <c r="AE193" s="54"/>
      <c r="AF193" s="131">
        <v>11</v>
      </c>
    </row>
    <row r="194" s="131" customFormat="1" ht="11.5" customHeight="1">
      <c r="A194" s="715"/>
      <c r="B194" s="57"/>
      <c r="C194" s="57"/>
      <c r="D194" s="131"/>
      <c r="K194" s="53"/>
      <c r="L194" s="57"/>
      <c r="M194" s="57"/>
      <c r="N194" s="53"/>
      <c r="O194" s="53"/>
      <c r="P194" s="53"/>
      <c r="Q194" s="53"/>
      <c r="R194" s="57"/>
      <c r="S194" s="53"/>
      <c r="T194" s="53"/>
      <c r="U194" s="716"/>
      <c r="V194" s="53"/>
      <c r="W194" s="53"/>
      <c r="X194" s="53"/>
      <c r="Y194" s="53"/>
      <c r="Z194" s="53"/>
      <c r="AA194" s="56"/>
      <c r="AB194" s="54"/>
      <c r="AC194" s="54"/>
      <c r="AD194" s="54"/>
      <c r="AE194" s="54"/>
      <c r="AF194" s="131">
        <v>11</v>
      </c>
    </row>
    <row r="195" s="131" customFormat="1" ht="11.5" customHeight="1">
      <c r="A195" s="715"/>
      <c r="B195" s="57"/>
      <c r="C195" s="57"/>
      <c r="D195" s="131"/>
      <c r="K195" s="53"/>
      <c r="L195" s="57"/>
      <c r="M195" s="57"/>
      <c r="N195" s="53"/>
      <c r="O195" s="53"/>
      <c r="P195" s="53"/>
      <c r="Q195" s="53"/>
      <c r="R195" s="57"/>
      <c r="S195" s="53"/>
      <c r="T195" s="53"/>
      <c r="U195" s="716"/>
      <c r="V195" s="53"/>
      <c r="W195" s="53"/>
      <c r="X195" s="53"/>
      <c r="Y195" s="53"/>
      <c r="Z195" s="53"/>
      <c r="AA195" s="56"/>
      <c r="AB195" s="54"/>
      <c r="AC195" s="54"/>
      <c r="AD195" s="54"/>
      <c r="AE195" s="54"/>
      <c r="AF195" s="131">
        <v>11</v>
      </c>
    </row>
    <row r="196" s="131" customFormat="1" ht="11.5" customHeight="1">
      <c r="A196" s="715"/>
      <c r="B196" s="57"/>
      <c r="C196" s="57"/>
      <c r="D196" s="131"/>
      <c r="K196" s="53"/>
      <c r="L196" s="57"/>
      <c r="M196" s="57"/>
      <c r="N196" s="53"/>
      <c r="O196" s="53"/>
      <c r="P196" s="53"/>
      <c r="Q196" s="53"/>
      <c r="R196" s="57"/>
      <c r="S196" s="53"/>
      <c r="T196" s="53"/>
      <c r="U196" s="716"/>
      <c r="V196" s="53"/>
      <c r="W196" s="53"/>
      <c r="X196" s="53"/>
      <c r="Y196" s="53"/>
      <c r="Z196" s="53"/>
      <c r="AA196" s="56"/>
      <c r="AB196" s="54"/>
      <c r="AC196" s="54"/>
      <c r="AD196" s="54"/>
      <c r="AE196" s="54"/>
      <c r="AF196" s="131">
        <v>11</v>
      </c>
    </row>
    <row r="197" s="131" customFormat="1" ht="11.5" customHeight="1">
      <c r="A197" s="715"/>
      <c r="B197" s="57"/>
      <c r="C197" s="57"/>
      <c r="D197" s="131"/>
      <c r="K197" s="53"/>
      <c r="L197" s="57"/>
      <c r="M197" s="57"/>
      <c r="N197" s="53"/>
      <c r="O197" s="53"/>
      <c r="P197" s="53"/>
      <c r="Q197" s="53"/>
      <c r="R197" s="57"/>
      <c r="S197" s="53"/>
      <c r="T197" s="53"/>
      <c r="U197" s="716"/>
      <c r="V197" s="53"/>
      <c r="W197" s="53"/>
      <c r="X197" s="53"/>
      <c r="Y197" s="53"/>
      <c r="Z197" s="53"/>
      <c r="AA197" s="56"/>
      <c r="AB197" s="54"/>
      <c r="AC197" s="54"/>
      <c r="AD197" s="54"/>
      <c r="AE197" s="54"/>
      <c r="AF197" s="131">
        <v>11</v>
      </c>
    </row>
    <row r="198" s="131" customFormat="1" ht="11.5" customHeight="1">
      <c r="A198" s="715"/>
      <c r="B198" s="57"/>
      <c r="C198" s="57"/>
      <c r="D198" s="131"/>
      <c r="K198" s="53"/>
      <c r="L198" s="57"/>
      <c r="M198" s="57"/>
      <c r="N198" s="53"/>
      <c r="O198" s="53"/>
      <c r="P198" s="53"/>
      <c r="Q198" s="53"/>
      <c r="R198" s="57"/>
      <c r="S198" s="53"/>
      <c r="T198" s="53"/>
      <c r="U198" s="716"/>
      <c r="V198" s="53"/>
      <c r="W198" s="53"/>
      <c r="X198" s="53"/>
      <c r="Y198" s="53"/>
      <c r="Z198" s="53"/>
      <c r="AA198" s="56"/>
      <c r="AB198" s="54"/>
      <c r="AC198" s="54"/>
      <c r="AD198" s="54"/>
      <c r="AE198" s="54"/>
      <c r="AF198" s="131">
        <v>11</v>
      </c>
    </row>
    <row r="199" s="131" customFormat="1" ht="11.5" customHeight="1">
      <c r="A199" s="715"/>
      <c r="B199" s="57"/>
      <c r="C199" s="57"/>
      <c r="D199" s="131"/>
      <c r="K199" s="53"/>
      <c r="L199" s="57"/>
      <c r="M199" s="57"/>
      <c r="N199" s="53"/>
      <c r="O199" s="53"/>
      <c r="P199" s="53"/>
      <c r="Q199" s="53"/>
      <c r="R199" s="57"/>
      <c r="S199" s="53"/>
      <c r="T199" s="53"/>
      <c r="U199" s="716"/>
      <c r="V199" s="53"/>
      <c r="W199" s="53"/>
      <c r="X199" s="53"/>
      <c r="Y199" s="53"/>
      <c r="Z199" s="53"/>
      <c r="AA199" s="56"/>
      <c r="AB199" s="54"/>
      <c r="AC199" s="54"/>
      <c r="AD199" s="54"/>
      <c r="AE199" s="54"/>
      <c r="AF199" s="131">
        <v>11</v>
      </c>
    </row>
    <row r="200" s="131" customFormat="1" ht="11.5" customHeight="1">
      <c r="A200" s="715"/>
      <c r="B200" s="57"/>
      <c r="C200" s="57"/>
      <c r="D200" s="131"/>
      <c r="K200" s="53"/>
      <c r="L200" s="57"/>
      <c r="M200" s="57"/>
      <c r="N200" s="53"/>
      <c r="O200" s="53"/>
      <c r="P200" s="53"/>
      <c r="Q200" s="53"/>
      <c r="R200" s="57"/>
      <c r="S200" s="53"/>
      <c r="T200" s="53"/>
      <c r="U200" s="716"/>
      <c r="V200" s="53"/>
      <c r="W200" s="53"/>
      <c r="X200" s="53"/>
      <c r="Y200" s="53"/>
      <c r="Z200" s="53"/>
      <c r="AA200" s="56"/>
      <c r="AB200" s="54"/>
      <c r="AC200" s="54"/>
      <c r="AD200" s="54"/>
      <c r="AE200" s="54"/>
      <c r="AF200" s="131">
        <v>11</v>
      </c>
    </row>
    <row r="201" s="131" customFormat="1" ht="11.5" customHeight="1">
      <c r="A201" s="715"/>
      <c r="B201" s="57"/>
      <c r="C201" s="57"/>
      <c r="D201" s="131"/>
      <c r="K201" s="53"/>
      <c r="L201" s="57"/>
      <c r="M201" s="57"/>
      <c r="N201" s="53"/>
      <c r="O201" s="53"/>
      <c r="P201" s="53"/>
      <c r="Q201" s="53"/>
      <c r="R201" s="57"/>
      <c r="S201" s="53"/>
      <c r="T201" s="53"/>
      <c r="U201" s="716"/>
      <c r="V201" s="53"/>
      <c r="W201" s="53"/>
      <c r="X201" s="53"/>
      <c r="Y201" s="53"/>
      <c r="Z201" s="53"/>
      <c r="AA201" s="56"/>
      <c r="AB201" s="54"/>
      <c r="AC201" s="54"/>
      <c r="AD201" s="54"/>
      <c r="AE201" s="54"/>
      <c r="AF201" s="131">
        <v>11</v>
      </c>
    </row>
    <row r="202" s="131" customFormat="1" ht="11.5" customHeight="1">
      <c r="A202" s="715"/>
      <c r="B202" s="57"/>
      <c r="C202" s="57"/>
      <c r="D202" s="131"/>
      <c r="K202" s="53"/>
      <c r="L202" s="57"/>
      <c r="M202" s="57"/>
      <c r="N202" s="53"/>
      <c r="O202" s="53"/>
      <c r="P202" s="53"/>
      <c r="Q202" s="53"/>
      <c r="R202" s="57"/>
      <c r="S202" s="53"/>
      <c r="T202" s="53"/>
      <c r="U202" s="716"/>
      <c r="V202" s="53"/>
      <c r="W202" s="53"/>
      <c r="X202" s="53"/>
      <c r="Y202" s="53"/>
      <c r="Z202" s="53"/>
      <c r="AA202" s="56"/>
      <c r="AB202" s="54"/>
      <c r="AC202" s="54"/>
      <c r="AD202" s="54"/>
      <c r="AE202" s="54"/>
      <c r="AF202" s="131">
        <v>11</v>
      </c>
    </row>
    <row r="203" ht="11.5" customHeight="1">
      <c r="AF203" s="50">
        <v>11</v>
      </c>
    </row>
    <row r="204" ht="11.5" customHeight="1">
      <c r="AF204" s="50">
        <v>11</v>
      </c>
    </row>
    <row r="205" ht="11.5" customHeight="1">
      <c r="AF205" s="50">
        <v>11</v>
      </c>
    </row>
    <row r="206" ht="11.5" customHeight="1">
      <c r="A206" s="783"/>
      <c r="B206" s="50"/>
      <c r="D206" s="50"/>
      <c r="K206" s="50"/>
      <c r="N206" s="50"/>
      <c r="O206" s="50"/>
      <c r="P206" s="50"/>
      <c r="Q206" s="50"/>
      <c r="S206" s="50"/>
      <c r="T206" s="50"/>
      <c r="U206" s="50"/>
      <c r="V206" s="50"/>
      <c r="W206" s="50"/>
      <c r="X206" s="50"/>
      <c r="Y206" s="50"/>
      <c r="Z206" s="50"/>
      <c r="AA206" s="50"/>
      <c r="AB206" s="50"/>
      <c r="AC206" s="50"/>
      <c r="AD206" s="50"/>
      <c r="AE206" s="50"/>
      <c r="AF206" s="50">
        <v>11</v>
      </c>
    </row>
    <row r="207" ht="11.5" customHeight="1">
      <c r="A207" s="783"/>
      <c r="B207" s="50"/>
      <c r="D207" s="50"/>
      <c r="K207" s="50"/>
      <c r="N207" s="50"/>
      <c r="O207" s="50"/>
      <c r="P207" s="50"/>
      <c r="Q207" s="50"/>
      <c r="S207" s="50"/>
      <c r="T207" s="50"/>
      <c r="U207" s="50"/>
      <c r="V207" s="50"/>
      <c r="W207" s="50"/>
      <c r="X207" s="50"/>
      <c r="Y207" s="50"/>
      <c r="Z207" s="50"/>
      <c r="AA207" s="50"/>
      <c r="AB207" s="50"/>
      <c r="AC207" s="50"/>
      <c r="AD207" s="50"/>
      <c r="AE207" s="50"/>
      <c r="AF207" s="50">
        <v>11</v>
      </c>
    </row>
    <row r="208" ht="11.5" customHeight="1">
      <c r="A208" s="783"/>
      <c r="B208" s="50"/>
      <c r="D208" s="50"/>
      <c r="K208" s="50"/>
      <c r="N208" s="50"/>
      <c r="O208" s="50"/>
      <c r="P208" s="50"/>
      <c r="Q208" s="50"/>
      <c r="S208" s="50"/>
      <c r="T208" s="50"/>
      <c r="U208" s="50"/>
      <c r="V208" s="50"/>
      <c r="W208" s="50"/>
      <c r="X208" s="50"/>
      <c r="Y208" s="50"/>
      <c r="Z208" s="50"/>
      <c r="AA208" s="50"/>
      <c r="AB208" s="50"/>
      <c r="AC208" s="50"/>
      <c r="AD208" s="50"/>
      <c r="AE208" s="50"/>
      <c r="AF208" s="50">
        <v>11</v>
      </c>
    </row>
    <row r="209" ht="11.5" customHeight="1">
      <c r="A209" s="783"/>
      <c r="B209" s="50"/>
      <c r="D209" s="50"/>
      <c r="K209" s="50"/>
      <c r="N209" s="50"/>
      <c r="O209" s="50"/>
      <c r="P209" s="50"/>
      <c r="Q209" s="50"/>
      <c r="S209" s="50"/>
      <c r="T209" s="50"/>
      <c r="U209" s="50"/>
      <c r="V209" s="50"/>
      <c r="W209" s="50"/>
      <c r="X209" s="50"/>
      <c r="Y209" s="50"/>
      <c r="Z209" s="50"/>
      <c r="AA209" s="50"/>
      <c r="AB209" s="50"/>
      <c r="AC209" s="50"/>
      <c r="AD209" s="50"/>
      <c r="AE209" s="50"/>
      <c r="AF209" s="50">
        <v>11</v>
      </c>
    </row>
    <row r="210" ht="11.5" customHeight="1">
      <c r="A210" s="783"/>
      <c r="B210" s="50"/>
      <c r="D210" s="50"/>
      <c r="K210" s="50"/>
      <c r="N210" s="50"/>
      <c r="O210" s="50"/>
      <c r="P210" s="50"/>
      <c r="Q210" s="50"/>
      <c r="S210" s="50"/>
      <c r="T210" s="50"/>
      <c r="U210" s="50"/>
      <c r="V210" s="50"/>
      <c r="W210" s="50"/>
      <c r="X210" s="50"/>
      <c r="Y210" s="50"/>
      <c r="Z210" s="50"/>
      <c r="AA210" s="50"/>
      <c r="AB210" s="50"/>
      <c r="AC210" s="50"/>
      <c r="AD210" s="50"/>
      <c r="AE210" s="50"/>
      <c r="AF210" s="50">
        <v>11</v>
      </c>
    </row>
    <row r="211" ht="11.5" customHeight="1">
      <c r="A211" s="783"/>
      <c r="B211" s="50"/>
      <c r="D211" s="50"/>
      <c r="K211" s="50"/>
      <c r="N211" s="50"/>
      <c r="O211" s="50"/>
      <c r="P211" s="50"/>
      <c r="Q211" s="50"/>
      <c r="S211" s="50"/>
      <c r="T211" s="50"/>
      <c r="U211" s="50"/>
      <c r="V211" s="50"/>
      <c r="W211" s="50"/>
      <c r="X211" s="50"/>
      <c r="Y211" s="50"/>
      <c r="Z211" s="50"/>
      <c r="AA211" s="50"/>
      <c r="AB211" s="50"/>
      <c r="AC211" s="50"/>
      <c r="AD211" s="50"/>
      <c r="AE211" s="50"/>
      <c r="AF211" s="50">
        <v>11</v>
      </c>
    </row>
    <row r="212" ht="11.5" customHeight="1">
      <c r="A212" s="783"/>
      <c r="B212" s="50"/>
      <c r="D212" s="50"/>
      <c r="K212" s="50"/>
      <c r="N212" s="50"/>
      <c r="O212" s="50"/>
      <c r="P212" s="50"/>
      <c r="Q212" s="50"/>
      <c r="S212" s="50"/>
      <c r="T212" s="50"/>
      <c r="U212" s="50"/>
      <c r="V212" s="50"/>
      <c r="W212" s="50"/>
      <c r="X212" s="50"/>
      <c r="Y212" s="50"/>
      <c r="Z212" s="50"/>
      <c r="AA212" s="50"/>
      <c r="AB212" s="50"/>
      <c r="AC212" s="50"/>
      <c r="AD212" s="50"/>
      <c r="AE212" s="50"/>
      <c r="AF212" s="50">
        <v>11</v>
      </c>
    </row>
    <row r="213" ht="11.5" customHeight="1">
      <c r="A213" s="783"/>
      <c r="B213" s="50"/>
      <c r="D213" s="50"/>
      <c r="K213" s="50"/>
      <c r="N213" s="50"/>
      <c r="O213" s="50"/>
      <c r="P213" s="50"/>
      <c r="Q213" s="50"/>
      <c r="S213" s="50"/>
      <c r="T213" s="50"/>
      <c r="U213" s="50"/>
      <c r="V213" s="50"/>
      <c r="W213" s="50"/>
      <c r="X213" s="50"/>
      <c r="Y213" s="50"/>
      <c r="Z213" s="50"/>
      <c r="AA213" s="50"/>
      <c r="AB213" s="50"/>
      <c r="AC213" s="50"/>
      <c r="AD213" s="50"/>
      <c r="AE213" s="50"/>
      <c r="AF213" s="50">
        <v>11</v>
      </c>
    </row>
    <row r="214" ht="11.5" customHeight="1">
      <c r="A214" s="783"/>
      <c r="B214" s="50"/>
      <c r="D214" s="50"/>
      <c r="K214" s="50"/>
      <c r="N214" s="50"/>
      <c r="O214" s="50"/>
      <c r="P214" s="50"/>
      <c r="Q214" s="50"/>
      <c r="S214" s="50"/>
      <c r="T214" s="50"/>
      <c r="U214" s="50"/>
      <c r="V214" s="50"/>
      <c r="W214" s="50"/>
      <c r="X214" s="50"/>
      <c r="Y214" s="50"/>
      <c r="Z214" s="50"/>
      <c r="AA214" s="50"/>
      <c r="AB214" s="50"/>
      <c r="AC214" s="50"/>
      <c r="AD214" s="50"/>
      <c r="AE214" s="50"/>
      <c r="AF214" s="50">
        <v>11</v>
      </c>
    </row>
    <row r="215" ht="11.5" customHeight="1">
      <c r="A215" s="783"/>
      <c r="B215" s="50"/>
      <c r="D215" s="50"/>
      <c r="K215" s="50"/>
      <c r="N215" s="50"/>
      <c r="O215" s="50"/>
      <c r="P215" s="50"/>
      <c r="Q215" s="50"/>
      <c r="S215" s="50"/>
      <c r="T215" s="50"/>
      <c r="U215" s="50"/>
      <c r="V215" s="50"/>
      <c r="W215" s="50"/>
      <c r="X215" s="50"/>
      <c r="Y215" s="50"/>
      <c r="Z215" s="50"/>
      <c r="AA215" s="50"/>
      <c r="AB215" s="50"/>
      <c r="AC215" s="50"/>
      <c r="AD215" s="50"/>
      <c r="AE215" s="50"/>
      <c r="AF215" s="50">
        <v>11</v>
      </c>
    </row>
    <row r="216" ht="11.5" customHeight="1">
      <c r="A216" s="783"/>
      <c r="B216" s="50"/>
      <c r="D216" s="50"/>
      <c r="K216" s="50"/>
      <c r="N216" s="50"/>
      <c r="O216" s="50"/>
      <c r="P216" s="50"/>
      <c r="Q216" s="50"/>
      <c r="S216" s="50"/>
      <c r="T216" s="50"/>
      <c r="U216" s="50"/>
      <c r="V216" s="50"/>
      <c r="W216" s="50"/>
      <c r="X216" s="50"/>
      <c r="Y216" s="50"/>
      <c r="Z216" s="50"/>
      <c r="AA216" s="50"/>
      <c r="AB216" s="50"/>
      <c r="AC216" s="50"/>
      <c r="AD216" s="50"/>
      <c r="AE216" s="50"/>
      <c r="AF216" s="50">
        <v>11</v>
      </c>
    </row>
    <row r="217" ht="11.25" hidden="1" customHeight="1">
      <c r="A217" s="715" t="s">
        <v>83</v>
      </c>
      <c r="B217" s="53">
        <v>0</v>
      </c>
      <c r="C217" s="57">
        <v>0</v>
      </c>
      <c r="D217" s="50">
        <v>3</v>
      </c>
      <c r="E217" s="50">
        <v>7</v>
      </c>
      <c r="F217" s="50">
        <v>56</v>
      </c>
      <c r="G217" s="50">
        <v>10</v>
      </c>
      <c r="H217" s="50">
        <v>0</v>
      </c>
      <c r="I217" s="50">
        <v>40</v>
      </c>
      <c r="J217" s="50">
        <v>102</v>
      </c>
      <c r="K217" s="53">
        <v>9</v>
      </c>
      <c r="L217" s="57">
        <v>5</v>
      </c>
      <c r="M217" s="57">
        <v>3</v>
      </c>
      <c r="N217" s="53">
        <v>3</v>
      </c>
      <c r="O217" s="53">
        <v>3</v>
      </c>
      <c r="P217" s="53">
        <v>3</v>
      </c>
      <c r="Q217" s="53">
        <v>3</v>
      </c>
      <c r="R217" s="57">
        <v>10</v>
      </c>
      <c r="S217" s="53">
        <v>34</v>
      </c>
      <c r="T217" s="53">
        <v>9</v>
      </c>
      <c r="U217" s="716">
        <v>8</v>
      </c>
      <c r="V217" s="53">
        <v>8</v>
      </c>
      <c r="W217" s="53">
        <v>8</v>
      </c>
      <c r="X217" s="53">
        <v>8</v>
      </c>
      <c r="Y217" s="53">
        <v>8</v>
      </c>
      <c r="Z217" s="53">
        <v>8</v>
      </c>
      <c r="AA217" s="56">
        <v>8</v>
      </c>
      <c r="AB217" s="56">
        <v>8</v>
      </c>
      <c r="AC217" s="56">
        <v>8</v>
      </c>
      <c r="AD217" s="56">
        <v>8</v>
      </c>
      <c r="AE217" s="56">
        <v>8</v>
      </c>
      <c r="AF217" s="50">
        <v>11</v>
      </c>
    </row>
  </sheetData>
  <sheetProtection autoFilter="0" deleteColumns="1" deleteRows="1" formatCells="1" formatColumns="0" formatRows="0" insertColumns="1" insertHyperlinks="1" insertRows="1" objects="0" pivotTables="1" scenarios="0" selectLockedCells="0" selectUnlockedCells="0" sheet="1" sort="1"/>
  <mergeCells count="7">
    <mergeCell ref="E6:I6"/>
    <mergeCell ref="E7:I7"/>
    <mergeCell ref="F10:G10"/>
    <mergeCell ref="J10:J14"/>
    <mergeCell ref="F11:G11"/>
    <mergeCell ref="F12:G12"/>
    <mergeCell ref="E13:G13"/>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5" disablePrompts="0">
        <x14:dataValidation xr:uid="{000C00A4-00F4-457A-8DA6-00C100F3008A}" type="textLength" allowBlank="1" error="Допускается ввод не более 900 символов!" errorStyle="stop" errorTitle="Ошибка" imeMode="noControl" operator="lessThanOrEqual" prompt="Введите наименование прочих расходов" showDropDown="0" showErrorMessage="1" showInputMessage="1">
          <x14:formula1>
            <xm:f>900</xm:f>
          </x14:formula1>
          <xm:sqref>H33:I33</xm:sqref>
        </x14:dataValidation>
        <x14:dataValidation xr:uid="{0003001E-0034-429A-8A86-000600E5002F}" type="decimal" allowBlank="1" error="Допускается ввод только неотрицательных чисел!" errorStyle="stop" errorTitle="Ошибка" imeMode="noControl" operator="between" showDropDown="0" showErrorMessage="1" showInputMessage="0">
          <x14:formula1>
            <xm:f>0</xm:f>
          </x14:formula1>
          <x14:formula2>
            <xm:f>9.99999999999999E+23</xm:f>
          </x14:formula2>
          <xm:sqref>H38:I39 H2:I2 H15:I15 H17:I32 H35:I35 H44:I46</xm:sqref>
        </x14:dataValidation>
        <x14:dataValidation xr:uid="{0054004E-00C8-4EA1-A59C-006100CD0021}"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H43:I43</xm:sqref>
        </x14:dataValidation>
        <x14:dataValidation xr:uid="{00D80085-001C-444E-BF8C-00120004002F}" type="decimal" allowBlank="1" error="Допускается ввод только действительных чисел!" errorStyle="stop" errorTitle="Ошибка" imeMode="noControl" operator="between" showDropDown="0" showErrorMessage="1" showInputMessage="0">
          <x14:formula1>
            <xm:f>-9.99999999999999E+23</xm:f>
          </x14:formula1>
          <x14:formula2>
            <xm:f>9.99999999999999E+23</xm:f>
          </x14:formula2>
          <xm:sqref>H36:I37</xm:sqref>
        </x14:dataValidation>
        <x14:dataValidation xr:uid="{006A0096-00B0-453B-9A1D-000B0046000F}" type="decimal" allowBlank="1" error="Допускается ввод только действительных чисел!" errorStyle="stop" errorTitle="Ошибка" imeMode="noControl" operator="between" showDropDown="0" showErrorMessage="1" showInputMessage="0">
          <x14:formula1>
            <xm:f>-9.99999999999999E+37</xm:f>
          </x14:formula1>
          <x14:formula2>
            <xm:f>9.99999999999999E+37</xm:f>
          </x14:formula2>
          <xm:sqref>H40:I42</xm:sqref>
        </x14:dataValidation>
      </x14:dataValidations>
    </ext>
  </extLst>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outlinePr applyStyles="0" summaryBelow="1" summaryRight="1" showOutlineSymbols="1"/>
    <pageSetUpPr autoPageBreaks="1" fitToPage="0"/>
  </sheetPr>
  <sheetViews>
    <sheetView showGridLines="0" zoomScale="90" workbookViewId="0">
      <pane xSplit="8" ySplit="14" topLeftCell="I15" activePane="bottomRight" state="frozen"/>
      <selection activeCell="A1" activeCellId="0" sqref="A1"/>
    </sheetView>
  </sheetViews>
  <sheetFormatPr defaultColWidth="9.140625" defaultRowHeight="11.25" customHeight="1"/>
  <cols>
    <col customWidth="1" hidden="1" min="1" max="1" style="715" width="10.7109375"/>
    <col customWidth="1" hidden="1" min="2" max="2" style="53" width="16.8515625"/>
    <col customWidth="1" hidden="1" min="3" max="3" style="57" width="5.57421875"/>
    <col customWidth="1" min="4" max="4" style="50" width="3.00390625"/>
    <col customWidth="1" min="5" max="5" style="50" width="7.00390625"/>
    <col customWidth="1" min="6" max="6" style="50" width="54.00390625"/>
    <col customWidth="1" min="7" max="7" style="50" width="10.00390625"/>
    <col customWidth="1" hidden="1" min="8" max="8" style="50" width="40.7109375"/>
    <col customWidth="1" min="9" max="9" style="50" width="40.00390625"/>
    <col customWidth="1" min="10" max="10" style="50" width="102.00390625"/>
    <col customWidth="1" min="11" max="11" style="53" width="9.00390625"/>
    <col customWidth="1" min="12" max="12" style="57" width="5.00390625"/>
    <col customWidth="1" min="13" max="13" style="57" width="3.00390625"/>
    <col customWidth="1" min="14" max="17" style="53" width="3.00390625"/>
    <col customWidth="1" min="18" max="18" style="57" width="10.00390625"/>
    <col customWidth="1" min="19" max="19" style="53" width="34.00390625"/>
    <col customWidth="1" min="20" max="20" style="53" width="9.00390625"/>
    <col customWidth="1" min="21" max="21" style="716" width="8.00390625"/>
    <col customWidth="1" min="22" max="26" style="53" width="8.00390625"/>
    <col customWidth="1" min="27" max="31" style="56" width="8.00390625"/>
    <col hidden="1" min="32" max="32" style="50" width="9.140625"/>
  </cols>
  <sheetData>
    <row r="1" s="53" customFormat="1" ht="22.5" hidden="1" customHeight="1">
      <c r="A1" s="715"/>
      <c r="C1" s="57"/>
      <c r="D1" s="53"/>
      <c r="H1" s="53">
        <v>4</v>
      </c>
      <c r="I1" s="53">
        <v>4</v>
      </c>
      <c r="L1" s="57"/>
      <c r="M1" s="57"/>
      <c r="R1" s="57"/>
      <c r="AF1" s="53" t="s">
        <v>14</v>
      </c>
    </row>
    <row r="2" s="53" customFormat="1" ht="22.5" hidden="1" customHeight="1">
      <c r="A2" s="715"/>
      <c r="C2" s="57"/>
      <c r="D2" s="725"/>
      <c r="E2" s="157"/>
      <c r="F2" s="159"/>
      <c r="G2" s="157" t="s">
        <v>556</v>
      </c>
      <c r="H2" s="516"/>
      <c r="I2" s="516"/>
      <c r="J2" s="726" t="s">
        <v>559</v>
      </c>
      <c r="K2" s="719"/>
      <c r="L2" s="57"/>
      <c r="M2" s="57"/>
      <c r="R2" s="57"/>
      <c r="U2" s="716"/>
      <c r="AA2" s="56"/>
      <c r="AB2" s="56"/>
      <c r="AC2" s="56"/>
      <c r="AD2" s="56"/>
      <c r="AE2" s="56"/>
      <c r="AF2" s="53">
        <v>0</v>
      </c>
    </row>
    <row r="3" ht="11.25" hidden="1" customHeight="1">
      <c r="AF3" s="50">
        <v>0</v>
      </c>
    </row>
    <row r="4" s="56" customFormat="1" ht="11.25" hidden="1" customHeight="1">
      <c r="A4" s="715"/>
      <c r="B4" s="53"/>
      <c r="C4" s="57"/>
      <c r="D4" s="56"/>
      <c r="J4" s="56">
        <v>4</v>
      </c>
      <c r="K4" s="53"/>
      <c r="L4" s="57"/>
      <c r="M4" s="57"/>
      <c r="N4" s="53"/>
      <c r="O4" s="53"/>
      <c r="P4" s="53"/>
      <c r="Q4" s="53"/>
      <c r="R4" s="57"/>
      <c r="S4" s="53"/>
      <c r="T4" s="53"/>
      <c r="U4" s="716"/>
      <c r="V4" s="53"/>
      <c r="W4" s="53"/>
      <c r="X4" s="53"/>
      <c r="Y4" s="53"/>
      <c r="Z4" s="53"/>
      <c r="AF4" s="56">
        <v>0</v>
      </c>
    </row>
    <row r="5" ht="11.5" customHeight="1">
      <c r="AF5" s="50">
        <v>11</v>
      </c>
    </row>
    <row r="6" ht="33.75" customHeight="1">
      <c r="E6" s="461" t="s">
        <v>779</v>
      </c>
      <c r="F6" s="461"/>
      <c r="G6" s="461"/>
      <c r="H6" s="461"/>
      <c r="I6" s="461"/>
      <c r="J6" s="240"/>
      <c r="AF6" s="50">
        <v>32</v>
      </c>
    </row>
    <row r="7" ht="25.199999999999999" customHeight="1">
      <c r="E7" s="316" t="str">
        <f>IF(org=0,"Не определено",org)</f>
        <v xml:space="preserve">АО "ДГК"</v>
      </c>
      <c r="F7" s="316"/>
      <c r="G7" s="316"/>
      <c r="H7" s="316"/>
      <c r="I7" s="316"/>
      <c r="AF7" s="50">
        <v>24</v>
      </c>
    </row>
    <row r="8" ht="11.5" customHeight="1">
      <c r="E8" s="729"/>
      <c r="F8" s="729"/>
      <c r="G8" s="729"/>
      <c r="H8" s="729"/>
      <c r="I8" s="729"/>
      <c r="AF8" s="50">
        <v>11</v>
      </c>
    </row>
    <row r="9" s="57" customFormat="1" ht="1.05" customHeight="1">
      <c r="A9" s="540"/>
      <c r="D9" s="57"/>
      <c r="H9" s="730"/>
      <c r="I9" s="730" t="s">
        <v>117</v>
      </c>
      <c r="AF9" s="57">
        <v>1</v>
      </c>
    </row>
    <row r="10" ht="11.5" customHeight="1">
      <c r="E10" s="731"/>
      <c r="F10" s="732" t="s">
        <v>105</v>
      </c>
      <c r="G10" s="733"/>
      <c r="H10" s="734" t="str">
        <f>IF(H9="","",INDEX(DIFFERENTIATION_UNMERGE_VD,MATCH(H9,DIFFERENTIATION_ID_DIFF,0)))</f>
        <v/>
      </c>
      <c r="I10" s="734">
        <f>IF(I9="","",INDEX(DIFFERENTIATION_UNMERGE_VD,MATCH(I9,DIFFERENTIATION_ID_DIFF,0)))</f>
        <v>0</v>
      </c>
      <c r="J10" s="157"/>
      <c r="AF10" s="50">
        <v>11</v>
      </c>
    </row>
    <row r="11" ht="11.5" customHeight="1">
      <c r="E11" s="731"/>
      <c r="F11" s="732" t="s">
        <v>568</v>
      </c>
      <c r="G11" s="733"/>
      <c r="H11" s="734" t="str">
        <f>IF(H9="","",INDEX(DIFFERENTIATION_UNMERGE_AREA,MATCH(H9,DIFFERENTIATION_ID_DIFF,0)))</f>
        <v/>
      </c>
      <c r="I11" s="734" t="str">
        <f>IF(I9="","",INDEX(DIFFERENTIATION_UNMERGE_AREA,MATCH(I9,DIFFERENTIATION_ID_DIFF,0)))</f>
        <v/>
      </c>
      <c r="J11" s="157"/>
      <c r="AF11" s="50">
        <v>11</v>
      </c>
    </row>
    <row r="12" ht="11.25" hidden="1" customHeight="1">
      <c r="E12" s="816"/>
      <c r="F12" s="846" t="s">
        <v>569</v>
      </c>
      <c r="G12" s="847"/>
      <c r="H12" s="848" t="str">
        <f>IF(H9="","",INDEX(DIFFERENTIATION_UNMERGE_SYSTEM,MATCH(H9,DIFFERENTIATION_ID_DIFF,0)))</f>
        <v/>
      </c>
      <c r="I12" s="848" t="str">
        <f>IF(I9="","",INDEX(DIFFERENTIATION_UNMERGE_SYSTEM,MATCH(I9,DIFFERENTIATION_ID_DIFF,0)))</f>
        <v xml:space="preserve">без дифференциации</v>
      </c>
      <c r="J12" s="157"/>
      <c r="AF12" s="50">
        <v>0</v>
      </c>
    </row>
    <row r="13" ht="11.5" customHeight="1">
      <c r="E13" s="735" t="s">
        <v>305</v>
      </c>
      <c r="F13" s="736"/>
      <c r="G13" s="736"/>
      <c r="H13" s="732"/>
      <c r="I13" s="732"/>
      <c r="J13" s="157"/>
      <c r="AF13" s="50">
        <v>11</v>
      </c>
    </row>
    <row r="14" ht="24" customHeight="1">
      <c r="E14" s="157" t="s">
        <v>89</v>
      </c>
      <c r="F14" s="157" t="s">
        <v>307</v>
      </c>
      <c r="G14" s="157" t="s">
        <v>570</v>
      </c>
      <c r="H14" s="157" t="s">
        <v>308</v>
      </c>
      <c r="I14" s="157" t="s">
        <v>308</v>
      </c>
      <c r="J14" s="157"/>
      <c r="AF14" s="50">
        <v>23</v>
      </c>
    </row>
    <row r="15" ht="19.949999999999999" customHeight="1">
      <c r="D15" s="125"/>
      <c r="E15" s="819" t="s">
        <v>109</v>
      </c>
      <c r="F15" s="326" t="s">
        <v>780</v>
      </c>
      <c r="G15" s="157" t="s">
        <v>556</v>
      </c>
      <c r="H15" s="737"/>
      <c r="I15" s="737"/>
      <c r="J15" s="494" t="s">
        <v>781</v>
      </c>
      <c r="K15" s="719" t="s">
        <v>634</v>
      </c>
      <c r="AF15" s="50">
        <v>19</v>
      </c>
    </row>
    <row r="16" ht="24" customHeight="1">
      <c r="D16" s="125"/>
      <c r="E16" s="819" t="s">
        <v>110</v>
      </c>
      <c r="F16" s="339" t="s">
        <v>782</v>
      </c>
      <c r="G16" s="157" t="s">
        <v>556</v>
      </c>
      <c r="H16" s="738">
        <f>SUM(H17,H20:H27)</f>
        <v>0</v>
      </c>
      <c r="I16" s="738">
        <f>SUM(I17,I20:I27)</f>
        <v>0</v>
      </c>
      <c r="J16" s="494" t="s">
        <v>783</v>
      </c>
      <c r="K16" s="719" t="s">
        <v>634</v>
      </c>
      <c r="AF16" s="50">
        <v>23</v>
      </c>
    </row>
    <row r="17" ht="35.649999999999999" customHeight="1">
      <c r="D17" s="125"/>
      <c r="E17" s="825" t="s">
        <v>713</v>
      </c>
      <c r="F17" s="389" t="s">
        <v>784</v>
      </c>
      <c r="G17" s="72" t="s">
        <v>556</v>
      </c>
      <c r="H17" s="737"/>
      <c r="I17" s="737"/>
      <c r="J17" s="494" t="s">
        <v>785</v>
      </c>
      <c r="K17" s="719"/>
      <c r="AF17" s="50">
        <v>34</v>
      </c>
    </row>
    <row r="18" ht="19.949999999999999" customHeight="1">
      <c r="D18" s="125"/>
      <c r="E18" s="825" t="s">
        <v>716</v>
      </c>
      <c r="F18" s="850" t="s">
        <v>786</v>
      </c>
      <c r="G18" s="72" t="s">
        <v>556</v>
      </c>
      <c r="H18" s="737"/>
      <c r="I18" s="737"/>
      <c r="J18" s="494"/>
      <c r="K18" s="719"/>
      <c r="AF18" s="50">
        <v>19</v>
      </c>
    </row>
    <row r="19" ht="24" customHeight="1">
      <c r="D19" s="125"/>
      <c r="E19" s="825" t="s">
        <v>719</v>
      </c>
      <c r="F19" s="850" t="s">
        <v>787</v>
      </c>
      <c r="G19" s="72" t="s">
        <v>556</v>
      </c>
      <c r="H19" s="737"/>
      <c r="I19" s="737"/>
      <c r="J19" s="494"/>
      <c r="K19" s="719"/>
      <c r="AF19" s="50">
        <v>23</v>
      </c>
    </row>
    <row r="20" ht="35.649999999999999" customHeight="1">
      <c r="D20" s="125"/>
      <c r="E20" s="825" t="s">
        <v>312</v>
      </c>
      <c r="F20" s="389" t="s">
        <v>788</v>
      </c>
      <c r="G20" s="72" t="s">
        <v>556</v>
      </c>
      <c r="H20" s="737"/>
      <c r="I20" s="737"/>
      <c r="J20" s="494"/>
      <c r="K20" s="719"/>
      <c r="AF20" s="50">
        <v>34</v>
      </c>
    </row>
    <row r="21" ht="48.25" customHeight="1">
      <c r="D21" s="125"/>
      <c r="E21" s="825" t="s">
        <v>315</v>
      </c>
      <c r="F21" s="389" t="s">
        <v>789</v>
      </c>
      <c r="G21" s="72" t="s">
        <v>556</v>
      </c>
      <c r="H21" s="737"/>
      <c r="I21" s="737"/>
      <c r="J21" s="494"/>
      <c r="K21" s="719"/>
      <c r="AF21" s="50">
        <v>46</v>
      </c>
    </row>
    <row r="22" ht="60" customHeight="1">
      <c r="D22" s="125"/>
      <c r="E22" s="825" t="s">
        <v>733</v>
      </c>
      <c r="F22" s="389" t="s">
        <v>790</v>
      </c>
      <c r="G22" s="72" t="s">
        <v>556</v>
      </c>
      <c r="H22" s="737"/>
      <c r="I22" s="737"/>
      <c r="J22" s="494"/>
      <c r="K22" s="719"/>
      <c r="AF22" s="50">
        <v>57</v>
      </c>
    </row>
    <row r="23" ht="35.649999999999999" customHeight="1">
      <c r="D23" s="125"/>
      <c r="E23" s="825" t="s">
        <v>740</v>
      </c>
      <c r="F23" s="389" t="s">
        <v>791</v>
      </c>
      <c r="G23" s="72" t="s">
        <v>556</v>
      </c>
      <c r="H23" s="737"/>
      <c r="I23" s="737"/>
      <c r="J23" s="494"/>
      <c r="K23" s="719"/>
      <c r="AF23" s="50">
        <v>34</v>
      </c>
    </row>
    <row r="24" ht="35.649999999999999" customHeight="1">
      <c r="D24" s="125"/>
      <c r="E24" s="825" t="s">
        <v>742</v>
      </c>
      <c r="F24" s="389" t="s">
        <v>792</v>
      </c>
      <c r="G24" s="72" t="s">
        <v>556</v>
      </c>
      <c r="H24" s="737"/>
      <c r="I24" s="737"/>
      <c r="J24" s="494"/>
      <c r="K24" s="719"/>
      <c r="AF24" s="50">
        <v>34</v>
      </c>
    </row>
    <row r="25" ht="24" customHeight="1">
      <c r="D25" s="125"/>
      <c r="E25" s="825" t="s">
        <v>744</v>
      </c>
      <c r="F25" s="389" t="s">
        <v>793</v>
      </c>
      <c r="G25" s="72" t="s">
        <v>556</v>
      </c>
      <c r="H25" s="737"/>
      <c r="I25" s="737"/>
      <c r="J25" s="494"/>
      <c r="K25" s="719"/>
      <c r="AF25" s="50">
        <v>23</v>
      </c>
    </row>
    <row r="26" ht="76.5" customHeight="1">
      <c r="D26" s="125"/>
      <c r="E26" s="825" t="s">
        <v>746</v>
      </c>
      <c r="F26" s="389" t="s">
        <v>794</v>
      </c>
      <c r="G26" s="72" t="s">
        <v>556</v>
      </c>
      <c r="H26" s="737"/>
      <c r="I26" s="737"/>
      <c r="J26" s="494"/>
      <c r="K26" s="719"/>
      <c r="AF26" s="50">
        <v>73</v>
      </c>
    </row>
    <row r="27" s="53" customFormat="1" ht="35.649999999999999" customHeight="1">
      <c r="A27" s="715"/>
      <c r="C27" s="57"/>
      <c r="D27" s="125"/>
      <c r="E27" s="821" t="s">
        <v>750</v>
      </c>
      <c r="F27" s="186" t="s">
        <v>795</v>
      </c>
      <c r="G27" s="320" t="s">
        <v>556</v>
      </c>
      <c r="H27" s="760">
        <f>SUM(H28:H29)</f>
        <v>0</v>
      </c>
      <c r="I27" s="760">
        <f>SUM(I28:I29)</f>
        <v>0</v>
      </c>
      <c r="J27" s="494" t="s">
        <v>748</v>
      </c>
      <c r="K27" s="719"/>
      <c r="L27" s="57"/>
      <c r="M27" s="57"/>
      <c r="R27" s="57"/>
      <c r="U27" s="716"/>
      <c r="AA27" s="56"/>
      <c r="AB27" s="56"/>
      <c r="AC27" s="56"/>
      <c r="AD27" s="56"/>
      <c r="AE27" s="56"/>
      <c r="AF27" s="53">
        <v>34</v>
      </c>
    </row>
    <row r="28" s="57" customFormat="1" ht="1.05" customHeight="1">
      <c r="A28" s="540"/>
      <c r="D28" s="540"/>
      <c r="E28" s="158" t="str">
        <f>E27&amp;".0"</f>
        <v>2.9.0</v>
      </c>
      <c r="F28" s="761"/>
      <c r="G28" s="158"/>
      <c r="H28" s="762"/>
      <c r="I28" s="762"/>
      <c r="J28" s="763"/>
      <c r="AF28" s="57">
        <v>1</v>
      </c>
    </row>
    <row r="29" s="53" customFormat="1" ht="19.949999999999999" customHeight="1">
      <c r="A29" s="715"/>
      <c r="C29" s="57"/>
      <c r="D29" s="128"/>
      <c r="E29" s="750"/>
      <c r="F29" s="849" t="s">
        <v>581</v>
      </c>
      <c r="G29" s="751"/>
      <c r="H29" s="752"/>
      <c r="I29" s="752"/>
      <c r="J29" s="558" t="s">
        <v>749</v>
      </c>
      <c r="K29" s="719"/>
      <c r="L29" s="57"/>
      <c r="M29" s="57"/>
      <c r="R29" s="57"/>
      <c r="U29" s="716"/>
      <c r="AA29" s="56"/>
      <c r="AB29" s="56"/>
      <c r="AC29" s="56"/>
      <c r="AD29" s="56"/>
      <c r="AE29" s="56"/>
      <c r="AF29" s="53">
        <v>19</v>
      </c>
    </row>
    <row r="30" s="53" customFormat="1" ht="24" customHeight="1">
      <c r="A30" s="715"/>
      <c r="C30" s="57"/>
      <c r="D30" s="125"/>
      <c r="E30" s="825" t="s">
        <v>91</v>
      </c>
      <c r="F30" s="851" t="s">
        <v>796</v>
      </c>
      <c r="G30" s="72" t="s">
        <v>556</v>
      </c>
      <c r="H30" s="737"/>
      <c r="I30" s="737"/>
      <c r="J30" s="494"/>
      <c r="K30" s="719"/>
      <c r="L30" s="57"/>
      <c r="M30" s="57"/>
      <c r="R30" s="57"/>
      <c r="U30" s="716"/>
      <c r="AA30" s="56"/>
      <c r="AB30" s="56"/>
      <c r="AC30" s="56"/>
      <c r="AD30" s="56"/>
      <c r="AE30" s="56"/>
      <c r="AF30" s="53">
        <v>23</v>
      </c>
    </row>
    <row r="31" s="53" customFormat="1" ht="35.649999999999999" customHeight="1">
      <c r="A31" s="715"/>
      <c r="C31" s="57"/>
      <c r="D31" s="756"/>
      <c r="E31" s="825" t="s">
        <v>92</v>
      </c>
      <c r="F31" s="851" t="s">
        <v>797</v>
      </c>
      <c r="G31" s="72" t="s">
        <v>556</v>
      </c>
      <c r="H31" s="737"/>
      <c r="I31" s="737"/>
      <c r="J31" s="494" t="s">
        <v>798</v>
      </c>
      <c r="K31" s="719"/>
      <c r="L31" s="57"/>
      <c r="M31" s="57"/>
      <c r="R31" s="57"/>
      <c r="U31" s="716"/>
      <c r="AA31" s="56"/>
      <c r="AB31" s="56"/>
      <c r="AC31" s="56"/>
      <c r="AD31" s="56"/>
      <c r="AE31" s="56"/>
      <c r="AF31" s="53">
        <v>34</v>
      </c>
    </row>
    <row r="32" s="53" customFormat="1" ht="24" customHeight="1">
      <c r="A32" s="715"/>
      <c r="C32" s="57"/>
      <c r="D32" s="125"/>
      <c r="E32" s="825" t="s">
        <v>758</v>
      </c>
      <c r="F32" s="389" t="s">
        <v>762</v>
      </c>
      <c r="G32" s="72" t="s">
        <v>556</v>
      </c>
      <c r="H32" s="737"/>
      <c r="I32" s="737"/>
      <c r="J32" s="494" t="s">
        <v>799</v>
      </c>
      <c r="K32" s="719"/>
      <c r="L32" s="57"/>
      <c r="M32" s="57"/>
      <c r="R32" s="57"/>
      <c r="U32" s="716"/>
      <c r="AA32" s="56"/>
      <c r="AB32" s="56"/>
      <c r="AC32" s="56"/>
      <c r="AD32" s="56"/>
      <c r="AE32" s="56"/>
      <c r="AF32" s="53">
        <v>23</v>
      </c>
    </row>
    <row r="33" s="53" customFormat="1" ht="24" customHeight="1">
      <c r="A33" s="715"/>
      <c r="C33" s="57"/>
      <c r="D33" s="125"/>
      <c r="E33" s="825" t="s">
        <v>800</v>
      </c>
      <c r="F33" s="389" t="s">
        <v>801</v>
      </c>
      <c r="G33" s="72" t="s">
        <v>556</v>
      </c>
      <c r="H33" s="737"/>
      <c r="I33" s="737"/>
      <c r="J33" s="494" t="s">
        <v>802</v>
      </c>
      <c r="K33" s="719"/>
      <c r="L33" s="57"/>
      <c r="M33" s="57"/>
      <c r="R33" s="57"/>
      <c r="U33" s="716"/>
      <c r="AA33" s="56"/>
      <c r="AB33" s="56"/>
      <c r="AC33" s="56"/>
      <c r="AD33" s="56"/>
      <c r="AE33" s="56"/>
      <c r="AF33" s="53">
        <v>23</v>
      </c>
    </row>
    <row r="34" s="53" customFormat="1" ht="24" customHeight="1">
      <c r="A34" s="715"/>
      <c r="C34" s="57"/>
      <c r="D34" s="125"/>
      <c r="E34" s="825" t="s">
        <v>803</v>
      </c>
      <c r="F34" s="389" t="s">
        <v>768</v>
      </c>
      <c r="G34" s="72" t="s">
        <v>556</v>
      </c>
      <c r="H34" s="737"/>
      <c r="I34" s="737"/>
      <c r="J34" s="494" t="s">
        <v>804</v>
      </c>
      <c r="K34" s="719"/>
      <c r="L34" s="57"/>
      <c r="M34" s="57"/>
      <c r="R34" s="57"/>
      <c r="U34" s="716"/>
      <c r="AA34" s="56"/>
      <c r="AB34" s="56"/>
      <c r="AC34" s="56"/>
      <c r="AD34" s="56"/>
      <c r="AE34" s="56"/>
      <c r="AF34" s="53">
        <v>23</v>
      </c>
    </row>
    <row r="35" s="53" customFormat="1" ht="35.649999999999999" customHeight="1">
      <c r="A35" s="715"/>
      <c r="C35" s="57" t="s">
        <v>592</v>
      </c>
      <c r="D35" s="125"/>
      <c r="E35" s="825" t="s">
        <v>111</v>
      </c>
      <c r="F35" s="851" t="s">
        <v>633</v>
      </c>
      <c r="G35" s="157" t="s">
        <v>311</v>
      </c>
      <c r="H35" s="768"/>
      <c r="I35" s="768"/>
      <c r="J35" s="494" t="s">
        <v>805</v>
      </c>
      <c r="K35" s="719"/>
      <c r="L35" s="57"/>
      <c r="M35" s="57"/>
      <c r="R35" s="57"/>
      <c r="U35" s="716"/>
      <c r="AA35" s="56"/>
      <c r="AB35" s="56"/>
      <c r="AC35" s="56"/>
      <c r="AD35" s="56"/>
      <c r="AE35" s="56"/>
      <c r="AF35" s="53">
        <v>34</v>
      </c>
    </row>
    <row r="36" s="53" customFormat="1" ht="35.649999999999999" customHeight="1">
      <c r="A36" s="715"/>
      <c r="C36" s="57"/>
      <c r="D36" s="125"/>
      <c r="E36" s="825" t="s">
        <v>93</v>
      </c>
      <c r="F36" s="851" t="s">
        <v>806</v>
      </c>
      <c r="G36" s="72" t="s">
        <v>773</v>
      </c>
      <c r="H36" s="727"/>
      <c r="I36" s="727"/>
      <c r="J36" s="494" t="s">
        <v>774</v>
      </c>
      <c r="K36" s="719"/>
      <c r="L36" s="57"/>
      <c r="M36" s="57"/>
      <c r="R36" s="57"/>
      <c r="U36" s="716"/>
      <c r="AA36" s="56"/>
      <c r="AB36" s="56"/>
      <c r="AC36" s="56"/>
      <c r="AD36" s="56"/>
      <c r="AE36" s="56"/>
      <c r="AF36" s="53">
        <v>34</v>
      </c>
    </row>
    <row r="37" s="53" customFormat="1" ht="24" customHeight="1">
      <c r="A37" s="715"/>
      <c r="C37" s="57"/>
      <c r="D37" s="125"/>
      <c r="E37" s="825" t="s">
        <v>94</v>
      </c>
      <c r="F37" s="851" t="s">
        <v>807</v>
      </c>
      <c r="G37" s="72" t="s">
        <v>776</v>
      </c>
      <c r="H37" s="727"/>
      <c r="I37" s="727"/>
      <c r="J37" s="494" t="s">
        <v>777</v>
      </c>
      <c r="K37" s="719"/>
      <c r="L37" s="57"/>
      <c r="M37" s="57"/>
      <c r="R37" s="57"/>
      <c r="U37" s="716"/>
      <c r="AA37" s="56"/>
      <c r="AB37" s="56"/>
      <c r="AC37" s="56"/>
      <c r="AD37" s="56"/>
      <c r="AE37" s="56"/>
      <c r="AF37" s="53">
        <v>23</v>
      </c>
    </row>
    <row r="38" ht="11.5" customHeight="1">
      <c r="D38" s="125"/>
      <c r="AF38" s="50">
        <v>11</v>
      </c>
    </row>
    <row r="39" ht="27.300000000000001" customHeight="1">
      <c r="D39" s="125"/>
      <c r="E39" s="485" t="s">
        <v>808</v>
      </c>
      <c r="F39" s="583" t="s">
        <v>809</v>
      </c>
      <c r="G39" s="583"/>
      <c r="H39" s="404"/>
      <c r="I39" s="404"/>
      <c r="J39" s="404"/>
      <c r="AF39" s="50">
        <v>26</v>
      </c>
    </row>
    <row r="40" s="131" customFormat="1" ht="39.75" customHeight="1">
      <c r="A40" s="715"/>
      <c r="B40" s="57"/>
      <c r="C40" s="57"/>
      <c r="D40" s="131"/>
      <c r="F40" s="583" t="s">
        <v>810</v>
      </c>
      <c r="G40" s="583"/>
      <c r="H40" s="404"/>
      <c r="I40" s="404"/>
      <c r="J40" s="404"/>
      <c r="K40" s="53"/>
      <c r="L40" s="57"/>
      <c r="M40" s="57"/>
      <c r="N40" s="53"/>
      <c r="O40" s="53"/>
      <c r="P40" s="53"/>
      <c r="Q40" s="53"/>
      <c r="R40" s="57"/>
      <c r="S40" s="53"/>
      <c r="T40" s="53"/>
      <c r="U40" s="716"/>
      <c r="V40" s="53"/>
      <c r="W40" s="53"/>
      <c r="X40" s="53"/>
      <c r="Y40" s="53"/>
      <c r="Z40" s="53"/>
      <c r="AA40" s="56"/>
      <c r="AB40" s="54"/>
      <c r="AC40" s="54"/>
      <c r="AD40" s="54"/>
      <c r="AE40" s="54"/>
      <c r="AF40" s="131">
        <v>38</v>
      </c>
    </row>
    <row r="41" s="131" customFormat="1" ht="11.5" customHeight="1">
      <c r="A41" s="715"/>
      <c r="B41" s="57"/>
      <c r="C41" s="57"/>
      <c r="D41" s="131"/>
      <c r="K41" s="53"/>
      <c r="L41" s="57"/>
      <c r="M41" s="57"/>
      <c r="N41" s="53"/>
      <c r="O41" s="53"/>
      <c r="P41" s="53"/>
      <c r="Q41" s="53"/>
      <c r="R41" s="57"/>
      <c r="S41" s="53"/>
      <c r="T41" s="53"/>
      <c r="U41" s="716"/>
      <c r="V41" s="53"/>
      <c r="W41" s="53"/>
      <c r="X41" s="53"/>
      <c r="Y41" s="53"/>
      <c r="Z41" s="53"/>
      <c r="AA41" s="56"/>
      <c r="AB41" s="54"/>
      <c r="AC41" s="54"/>
      <c r="AD41" s="54"/>
      <c r="AE41" s="54"/>
      <c r="AF41" s="131">
        <v>11</v>
      </c>
    </row>
    <row r="42" s="131" customFormat="1" ht="11.5" customHeight="1">
      <c r="A42" s="715"/>
      <c r="B42" s="57"/>
      <c r="C42" s="57"/>
      <c r="D42" s="131"/>
      <c r="K42" s="53"/>
      <c r="L42" s="57"/>
      <c r="M42" s="57"/>
      <c r="N42" s="53"/>
      <c r="O42" s="53"/>
      <c r="P42" s="53"/>
      <c r="Q42" s="53"/>
      <c r="R42" s="57"/>
      <c r="S42" s="53"/>
      <c r="T42" s="53"/>
      <c r="U42" s="716"/>
      <c r="V42" s="53"/>
      <c r="W42" s="53"/>
      <c r="X42" s="53"/>
      <c r="Y42" s="53"/>
      <c r="Z42" s="53"/>
      <c r="AA42" s="56"/>
      <c r="AB42" s="54"/>
      <c r="AC42" s="54"/>
      <c r="AD42" s="54"/>
      <c r="AE42" s="54"/>
      <c r="AF42" s="131">
        <v>11</v>
      </c>
    </row>
    <row r="43" s="131" customFormat="1" ht="11.5" customHeight="1">
      <c r="A43" s="715"/>
      <c r="B43" s="57"/>
      <c r="C43" s="57"/>
      <c r="D43" s="131"/>
      <c r="H43" s="54"/>
      <c r="I43" s="54"/>
      <c r="K43" s="53"/>
      <c r="L43" s="57"/>
      <c r="M43" s="57"/>
      <c r="N43" s="53"/>
      <c r="O43" s="53"/>
      <c r="P43" s="53"/>
      <c r="Q43" s="53"/>
      <c r="R43" s="57"/>
      <c r="S43" s="53"/>
      <c r="T43" s="53"/>
      <c r="U43" s="716"/>
      <c r="V43" s="53"/>
      <c r="W43" s="53"/>
      <c r="X43" s="53"/>
      <c r="Y43" s="53"/>
      <c r="Z43" s="53"/>
      <c r="AA43" s="56"/>
      <c r="AB43" s="54"/>
      <c r="AC43" s="54"/>
      <c r="AD43" s="54"/>
      <c r="AE43" s="54"/>
      <c r="AF43" s="131">
        <v>11</v>
      </c>
    </row>
    <row r="44" s="131" customFormat="1" ht="11.5" customHeight="1">
      <c r="A44" s="715"/>
      <c r="B44" s="57"/>
      <c r="C44" s="57"/>
      <c r="D44" s="131"/>
      <c r="K44" s="53"/>
      <c r="L44" s="57"/>
      <c r="M44" s="57"/>
      <c r="N44" s="53"/>
      <c r="O44" s="53"/>
      <c r="P44" s="53"/>
      <c r="Q44" s="53"/>
      <c r="R44" s="57"/>
      <c r="S44" s="53"/>
      <c r="T44" s="53"/>
      <c r="U44" s="716"/>
      <c r="V44" s="53"/>
      <c r="W44" s="53"/>
      <c r="X44" s="53"/>
      <c r="Y44" s="53"/>
      <c r="Z44" s="53"/>
      <c r="AA44" s="56"/>
      <c r="AB44" s="54"/>
      <c r="AC44" s="54"/>
      <c r="AD44" s="54"/>
      <c r="AE44" s="54"/>
      <c r="AF44" s="131">
        <v>11</v>
      </c>
    </row>
    <row r="45" s="131" customFormat="1" ht="11.5" customHeight="1">
      <c r="A45" s="715"/>
      <c r="B45" s="57"/>
      <c r="C45" s="57"/>
      <c r="D45" s="131"/>
      <c r="K45" s="53"/>
      <c r="L45" s="57"/>
      <c r="M45" s="57"/>
      <c r="N45" s="53"/>
      <c r="O45" s="53"/>
      <c r="P45" s="53"/>
      <c r="Q45" s="53"/>
      <c r="R45" s="57"/>
      <c r="S45" s="53"/>
      <c r="T45" s="53"/>
      <c r="U45" s="716"/>
      <c r="V45" s="53"/>
      <c r="W45" s="53"/>
      <c r="X45" s="53"/>
      <c r="Y45" s="53"/>
      <c r="Z45" s="53"/>
      <c r="AA45" s="56"/>
      <c r="AB45" s="54"/>
      <c r="AC45" s="54"/>
      <c r="AD45" s="54"/>
      <c r="AE45" s="54"/>
      <c r="AF45" s="131">
        <v>11</v>
      </c>
    </row>
    <row r="46" s="131" customFormat="1" ht="11.5" customHeight="1">
      <c r="A46" s="715"/>
      <c r="B46" s="57"/>
      <c r="C46" s="57"/>
      <c r="D46" s="131"/>
      <c r="K46" s="53"/>
      <c r="L46" s="57"/>
      <c r="M46" s="57"/>
      <c r="N46" s="53"/>
      <c r="O46" s="53"/>
      <c r="P46" s="53"/>
      <c r="Q46" s="53"/>
      <c r="R46" s="57"/>
      <c r="S46" s="53"/>
      <c r="T46" s="53"/>
      <c r="U46" s="716"/>
      <c r="V46" s="53"/>
      <c r="W46" s="53"/>
      <c r="X46" s="53"/>
      <c r="Y46" s="53"/>
      <c r="Z46" s="53"/>
      <c r="AA46" s="56"/>
      <c r="AB46" s="54"/>
      <c r="AC46" s="54"/>
      <c r="AD46" s="54"/>
      <c r="AE46" s="54"/>
      <c r="AF46" s="131">
        <v>11</v>
      </c>
    </row>
    <row r="47" s="131" customFormat="1" ht="11.5" customHeight="1">
      <c r="A47" s="715"/>
      <c r="B47" s="57"/>
      <c r="C47" s="57"/>
      <c r="D47" s="131"/>
      <c r="K47" s="53"/>
      <c r="L47" s="57"/>
      <c r="M47" s="57"/>
      <c r="N47" s="53"/>
      <c r="O47" s="53"/>
      <c r="P47" s="53"/>
      <c r="Q47" s="53"/>
      <c r="R47" s="57"/>
      <c r="S47" s="53"/>
      <c r="T47" s="53"/>
      <c r="U47" s="716"/>
      <c r="V47" s="53"/>
      <c r="W47" s="53"/>
      <c r="X47" s="53"/>
      <c r="Y47" s="53"/>
      <c r="Z47" s="53"/>
      <c r="AA47" s="56"/>
      <c r="AB47" s="54"/>
      <c r="AC47" s="54"/>
      <c r="AD47" s="54"/>
      <c r="AE47" s="54"/>
      <c r="AF47" s="131">
        <v>11</v>
      </c>
    </row>
    <row r="48" s="131" customFormat="1" ht="11.5" customHeight="1">
      <c r="A48" s="715"/>
      <c r="B48" s="57"/>
      <c r="C48" s="57"/>
      <c r="D48" s="131"/>
      <c r="K48" s="53"/>
      <c r="L48" s="57"/>
      <c r="M48" s="57"/>
      <c r="N48" s="53"/>
      <c r="O48" s="53"/>
      <c r="P48" s="53"/>
      <c r="Q48" s="53"/>
      <c r="R48" s="57"/>
      <c r="S48" s="53"/>
      <c r="T48" s="53"/>
      <c r="U48" s="716"/>
      <c r="V48" s="53"/>
      <c r="W48" s="53"/>
      <c r="X48" s="53"/>
      <c r="Y48" s="53"/>
      <c r="Z48" s="53"/>
      <c r="AA48" s="56"/>
      <c r="AB48" s="54"/>
      <c r="AC48" s="54"/>
      <c r="AD48" s="54"/>
      <c r="AE48" s="54"/>
      <c r="AF48" s="131">
        <v>11</v>
      </c>
    </row>
    <row r="49" s="131" customFormat="1" ht="11.5" customHeight="1">
      <c r="A49" s="715"/>
      <c r="B49" s="57"/>
      <c r="C49" s="57"/>
      <c r="D49" s="131"/>
      <c r="K49" s="53"/>
      <c r="L49" s="57"/>
      <c r="M49" s="57"/>
      <c r="N49" s="53"/>
      <c r="O49" s="53"/>
      <c r="P49" s="53"/>
      <c r="Q49" s="53"/>
      <c r="R49" s="57"/>
      <c r="S49" s="53"/>
      <c r="T49" s="53"/>
      <c r="U49" s="716"/>
      <c r="V49" s="53"/>
      <c r="W49" s="53"/>
      <c r="X49" s="53"/>
      <c r="Y49" s="53"/>
      <c r="Z49" s="53"/>
      <c r="AA49" s="56"/>
      <c r="AB49" s="54"/>
      <c r="AC49" s="54"/>
      <c r="AD49" s="54"/>
      <c r="AE49" s="54"/>
      <c r="AF49" s="131">
        <v>11</v>
      </c>
    </row>
    <row r="50" s="131" customFormat="1" ht="11.5" customHeight="1">
      <c r="A50" s="715"/>
      <c r="B50" s="57"/>
      <c r="C50" s="57"/>
      <c r="D50" s="131"/>
      <c r="K50" s="53"/>
      <c r="L50" s="57"/>
      <c r="M50" s="57"/>
      <c r="N50" s="53"/>
      <c r="O50" s="53"/>
      <c r="P50" s="53"/>
      <c r="Q50" s="53"/>
      <c r="R50" s="57"/>
      <c r="S50" s="53"/>
      <c r="T50" s="53"/>
      <c r="U50" s="716"/>
      <c r="V50" s="53"/>
      <c r="W50" s="53"/>
      <c r="X50" s="53"/>
      <c r="Y50" s="53"/>
      <c r="Z50" s="53"/>
      <c r="AA50" s="56"/>
      <c r="AB50" s="54"/>
      <c r="AC50" s="54"/>
      <c r="AD50" s="54"/>
      <c r="AE50" s="54"/>
      <c r="AF50" s="131">
        <v>11</v>
      </c>
    </row>
    <row r="51" s="131" customFormat="1" ht="11.5" customHeight="1">
      <c r="A51" s="715"/>
      <c r="B51" s="57"/>
      <c r="C51" s="57"/>
      <c r="D51" s="131"/>
      <c r="K51" s="53"/>
      <c r="L51" s="57"/>
      <c r="M51" s="57"/>
      <c r="N51" s="53"/>
      <c r="O51" s="53"/>
      <c r="P51" s="53"/>
      <c r="Q51" s="53"/>
      <c r="R51" s="57"/>
      <c r="S51" s="53"/>
      <c r="T51" s="53"/>
      <c r="U51" s="716"/>
      <c r="V51" s="53"/>
      <c r="W51" s="53"/>
      <c r="X51" s="53"/>
      <c r="Y51" s="53"/>
      <c r="Z51" s="53"/>
      <c r="AA51" s="56"/>
      <c r="AB51" s="54"/>
      <c r="AC51" s="54"/>
      <c r="AD51" s="54"/>
      <c r="AE51" s="54"/>
      <c r="AF51" s="131">
        <v>11</v>
      </c>
    </row>
    <row r="52" s="131" customFormat="1" ht="11.5" customHeight="1">
      <c r="A52" s="715"/>
      <c r="B52" s="57"/>
      <c r="C52" s="57"/>
      <c r="D52" s="131"/>
      <c r="K52" s="53"/>
      <c r="L52" s="57"/>
      <c r="M52" s="57"/>
      <c r="N52" s="53"/>
      <c r="O52" s="53"/>
      <c r="P52" s="53"/>
      <c r="Q52" s="53"/>
      <c r="R52" s="57"/>
      <c r="S52" s="53"/>
      <c r="T52" s="53"/>
      <c r="U52" s="716"/>
      <c r="V52" s="53"/>
      <c r="W52" s="53"/>
      <c r="X52" s="53"/>
      <c r="Y52" s="53"/>
      <c r="Z52" s="53"/>
      <c r="AA52" s="56"/>
      <c r="AB52" s="54"/>
      <c r="AC52" s="54"/>
      <c r="AD52" s="54"/>
      <c r="AE52" s="54"/>
      <c r="AF52" s="131">
        <v>11</v>
      </c>
    </row>
    <row r="53" s="131" customFormat="1" ht="11.5" customHeight="1">
      <c r="A53" s="715"/>
      <c r="B53" s="57"/>
      <c r="C53" s="57"/>
      <c r="D53" s="131"/>
      <c r="K53" s="53"/>
      <c r="L53" s="57"/>
      <c r="M53" s="57"/>
      <c r="N53" s="53"/>
      <c r="O53" s="53"/>
      <c r="P53" s="53"/>
      <c r="Q53" s="53"/>
      <c r="R53" s="57"/>
      <c r="S53" s="53"/>
      <c r="T53" s="53"/>
      <c r="U53" s="716"/>
      <c r="V53" s="53"/>
      <c r="W53" s="53"/>
      <c r="X53" s="53"/>
      <c r="Y53" s="53"/>
      <c r="Z53" s="53"/>
      <c r="AA53" s="56"/>
      <c r="AB53" s="54"/>
      <c r="AC53" s="54"/>
      <c r="AD53" s="54"/>
      <c r="AE53" s="54"/>
      <c r="AF53" s="131">
        <v>11</v>
      </c>
    </row>
    <row r="54" s="131" customFormat="1" ht="11.5" customHeight="1">
      <c r="A54" s="715"/>
      <c r="B54" s="57"/>
      <c r="C54" s="57"/>
      <c r="D54" s="131"/>
      <c r="K54" s="53"/>
      <c r="L54" s="57"/>
      <c r="M54" s="57"/>
      <c r="N54" s="53"/>
      <c r="O54" s="53"/>
      <c r="P54" s="53"/>
      <c r="Q54" s="53"/>
      <c r="R54" s="57"/>
      <c r="S54" s="53"/>
      <c r="T54" s="53"/>
      <c r="U54" s="716"/>
      <c r="V54" s="53"/>
      <c r="W54" s="53"/>
      <c r="X54" s="53"/>
      <c r="Y54" s="53"/>
      <c r="Z54" s="53"/>
      <c r="AA54" s="56"/>
      <c r="AB54" s="54"/>
      <c r="AC54" s="54"/>
      <c r="AD54" s="54"/>
      <c r="AE54" s="54"/>
      <c r="AF54" s="131">
        <v>11</v>
      </c>
    </row>
    <row r="55" s="131" customFormat="1" ht="11.5" customHeight="1">
      <c r="A55" s="715"/>
      <c r="B55" s="57"/>
      <c r="C55" s="57"/>
      <c r="D55" s="131"/>
      <c r="K55" s="53"/>
      <c r="L55" s="57"/>
      <c r="M55" s="57"/>
      <c r="N55" s="53"/>
      <c r="O55" s="53"/>
      <c r="P55" s="53"/>
      <c r="Q55" s="53"/>
      <c r="R55" s="57"/>
      <c r="S55" s="53"/>
      <c r="T55" s="53"/>
      <c r="U55" s="716"/>
      <c r="V55" s="53"/>
      <c r="W55" s="53"/>
      <c r="X55" s="53"/>
      <c r="Y55" s="53"/>
      <c r="Z55" s="53"/>
      <c r="AA55" s="56"/>
      <c r="AB55" s="54"/>
      <c r="AC55" s="54"/>
      <c r="AD55" s="54"/>
      <c r="AE55" s="54"/>
      <c r="AF55" s="131">
        <v>11</v>
      </c>
    </row>
    <row r="56" s="131" customFormat="1" ht="11.5" customHeight="1">
      <c r="A56" s="715"/>
      <c r="B56" s="57"/>
      <c r="C56" s="57"/>
      <c r="D56" s="131"/>
      <c r="K56" s="53"/>
      <c r="L56" s="57"/>
      <c r="M56" s="57"/>
      <c r="N56" s="53"/>
      <c r="O56" s="53"/>
      <c r="P56" s="53"/>
      <c r="Q56" s="53"/>
      <c r="R56" s="57"/>
      <c r="S56" s="53"/>
      <c r="T56" s="53"/>
      <c r="U56" s="716"/>
      <c r="V56" s="53"/>
      <c r="W56" s="53"/>
      <c r="X56" s="53"/>
      <c r="Y56" s="53"/>
      <c r="Z56" s="53"/>
      <c r="AA56" s="56"/>
      <c r="AB56" s="54"/>
      <c r="AC56" s="54"/>
      <c r="AD56" s="54"/>
      <c r="AE56" s="54"/>
      <c r="AF56" s="131">
        <v>11</v>
      </c>
    </row>
    <row r="57" s="131" customFormat="1" ht="11.5" customHeight="1">
      <c r="A57" s="715"/>
      <c r="B57" s="57"/>
      <c r="C57" s="57"/>
      <c r="D57" s="131"/>
      <c r="K57" s="53"/>
      <c r="L57" s="57"/>
      <c r="M57" s="57"/>
      <c r="N57" s="53"/>
      <c r="O57" s="53"/>
      <c r="P57" s="53"/>
      <c r="Q57" s="53"/>
      <c r="R57" s="57"/>
      <c r="S57" s="53"/>
      <c r="T57" s="53"/>
      <c r="U57" s="716"/>
      <c r="V57" s="53"/>
      <c r="W57" s="53"/>
      <c r="X57" s="53"/>
      <c r="Y57" s="53"/>
      <c r="Z57" s="53"/>
      <c r="AA57" s="56"/>
      <c r="AB57" s="54"/>
      <c r="AC57" s="54"/>
      <c r="AD57" s="54"/>
      <c r="AE57" s="54"/>
      <c r="AF57" s="131">
        <v>11</v>
      </c>
    </row>
    <row r="58" s="131" customFormat="1" ht="11.5" customHeight="1">
      <c r="A58" s="715"/>
      <c r="B58" s="57"/>
      <c r="C58" s="57"/>
      <c r="D58" s="131"/>
      <c r="K58" s="53"/>
      <c r="L58" s="57"/>
      <c r="M58" s="57"/>
      <c r="N58" s="53"/>
      <c r="O58" s="53"/>
      <c r="P58" s="53"/>
      <c r="Q58" s="53"/>
      <c r="R58" s="57"/>
      <c r="S58" s="53"/>
      <c r="T58" s="53"/>
      <c r="U58" s="716"/>
      <c r="V58" s="53"/>
      <c r="W58" s="53"/>
      <c r="X58" s="53"/>
      <c r="Y58" s="53"/>
      <c r="Z58" s="53"/>
      <c r="AA58" s="56"/>
      <c r="AB58" s="54"/>
      <c r="AC58" s="54"/>
      <c r="AD58" s="54"/>
      <c r="AE58" s="54"/>
      <c r="AF58" s="131">
        <v>11</v>
      </c>
    </row>
    <row r="59" s="131" customFormat="1" ht="11.5" customHeight="1">
      <c r="A59" s="715"/>
      <c r="B59" s="57"/>
      <c r="C59" s="57"/>
      <c r="D59" s="131"/>
      <c r="K59" s="53"/>
      <c r="L59" s="57"/>
      <c r="M59" s="57"/>
      <c r="N59" s="53"/>
      <c r="O59" s="53"/>
      <c r="P59" s="53"/>
      <c r="Q59" s="53"/>
      <c r="R59" s="57"/>
      <c r="S59" s="53"/>
      <c r="T59" s="53"/>
      <c r="U59" s="716"/>
      <c r="V59" s="53"/>
      <c r="W59" s="53"/>
      <c r="X59" s="53"/>
      <c r="Y59" s="53"/>
      <c r="Z59" s="53"/>
      <c r="AA59" s="56"/>
      <c r="AB59" s="54"/>
      <c r="AC59" s="54"/>
      <c r="AD59" s="54"/>
      <c r="AE59" s="54"/>
      <c r="AF59" s="131">
        <v>11</v>
      </c>
    </row>
    <row r="60" s="131" customFormat="1" ht="11.5" customHeight="1">
      <c r="A60" s="715"/>
      <c r="B60" s="57"/>
      <c r="C60" s="57"/>
      <c r="D60" s="131"/>
      <c r="K60" s="53"/>
      <c r="L60" s="57"/>
      <c r="M60" s="57"/>
      <c r="N60" s="53"/>
      <c r="O60" s="53"/>
      <c r="P60" s="53"/>
      <c r="Q60" s="53"/>
      <c r="R60" s="57"/>
      <c r="S60" s="53"/>
      <c r="T60" s="53"/>
      <c r="U60" s="716"/>
      <c r="V60" s="53"/>
      <c r="W60" s="53"/>
      <c r="X60" s="53"/>
      <c r="Y60" s="53"/>
      <c r="Z60" s="53"/>
      <c r="AA60" s="56"/>
      <c r="AB60" s="54"/>
      <c r="AC60" s="54"/>
      <c r="AD60" s="54"/>
      <c r="AE60" s="54"/>
      <c r="AF60" s="131">
        <v>11</v>
      </c>
    </row>
    <row r="61" s="131" customFormat="1" ht="11.5" customHeight="1">
      <c r="A61" s="715"/>
      <c r="B61" s="57"/>
      <c r="C61" s="57"/>
      <c r="D61" s="131"/>
      <c r="K61" s="53"/>
      <c r="L61" s="57"/>
      <c r="M61" s="57"/>
      <c r="N61" s="53"/>
      <c r="O61" s="53"/>
      <c r="P61" s="53"/>
      <c r="Q61" s="53"/>
      <c r="R61" s="57"/>
      <c r="S61" s="53"/>
      <c r="T61" s="53"/>
      <c r="U61" s="716"/>
      <c r="V61" s="53"/>
      <c r="W61" s="53"/>
      <c r="X61" s="53"/>
      <c r="Y61" s="53"/>
      <c r="Z61" s="53"/>
      <c r="AA61" s="56"/>
      <c r="AB61" s="54"/>
      <c r="AC61" s="54"/>
      <c r="AD61" s="54"/>
      <c r="AE61" s="54"/>
      <c r="AF61" s="131">
        <v>11</v>
      </c>
    </row>
    <row r="62" s="131" customFormat="1" ht="11.5" customHeight="1">
      <c r="A62" s="715"/>
      <c r="B62" s="57"/>
      <c r="C62" s="57"/>
      <c r="D62" s="131"/>
      <c r="K62" s="53"/>
      <c r="L62" s="57"/>
      <c r="M62" s="57"/>
      <c r="N62" s="53"/>
      <c r="O62" s="53"/>
      <c r="P62" s="53"/>
      <c r="Q62" s="53"/>
      <c r="R62" s="57"/>
      <c r="S62" s="53"/>
      <c r="T62" s="53"/>
      <c r="U62" s="716"/>
      <c r="V62" s="53"/>
      <c r="W62" s="53"/>
      <c r="X62" s="53"/>
      <c r="Y62" s="53"/>
      <c r="Z62" s="53"/>
      <c r="AA62" s="56"/>
      <c r="AB62" s="54"/>
      <c r="AC62" s="54"/>
      <c r="AD62" s="54"/>
      <c r="AE62" s="54"/>
      <c r="AF62" s="131">
        <v>11</v>
      </c>
    </row>
    <row r="63" s="131" customFormat="1" ht="11.5" customHeight="1">
      <c r="A63" s="715"/>
      <c r="B63" s="57"/>
      <c r="C63" s="57"/>
      <c r="D63" s="131"/>
      <c r="K63" s="53"/>
      <c r="L63" s="57"/>
      <c r="M63" s="57"/>
      <c r="N63" s="53"/>
      <c r="O63" s="53"/>
      <c r="P63" s="53"/>
      <c r="Q63" s="53"/>
      <c r="R63" s="57"/>
      <c r="S63" s="53"/>
      <c r="T63" s="53"/>
      <c r="U63" s="716"/>
      <c r="V63" s="53"/>
      <c r="W63" s="53"/>
      <c r="X63" s="53"/>
      <c r="Y63" s="53"/>
      <c r="Z63" s="53"/>
      <c r="AA63" s="56"/>
      <c r="AB63" s="54"/>
      <c r="AC63" s="54"/>
      <c r="AD63" s="54"/>
      <c r="AE63" s="54"/>
      <c r="AF63" s="131">
        <v>11</v>
      </c>
    </row>
    <row r="64" s="131" customFormat="1" ht="11.5" customHeight="1">
      <c r="A64" s="715"/>
      <c r="B64" s="57"/>
      <c r="C64" s="57"/>
      <c r="D64" s="131"/>
      <c r="K64" s="53"/>
      <c r="L64" s="57"/>
      <c r="M64" s="57"/>
      <c r="N64" s="53"/>
      <c r="O64" s="53"/>
      <c r="P64" s="53"/>
      <c r="Q64" s="53"/>
      <c r="R64" s="57"/>
      <c r="S64" s="53"/>
      <c r="T64" s="53"/>
      <c r="U64" s="716"/>
      <c r="V64" s="53"/>
      <c r="W64" s="53"/>
      <c r="X64" s="53"/>
      <c r="Y64" s="53"/>
      <c r="Z64" s="53"/>
      <c r="AA64" s="56"/>
      <c r="AB64" s="54"/>
      <c r="AC64" s="54"/>
      <c r="AD64" s="54"/>
      <c r="AE64" s="54"/>
      <c r="AF64" s="131">
        <v>11</v>
      </c>
    </row>
    <row r="65" s="131" customFormat="1" ht="11.5" customHeight="1">
      <c r="A65" s="715"/>
      <c r="B65" s="57"/>
      <c r="C65" s="57"/>
      <c r="D65" s="131"/>
      <c r="K65" s="53"/>
      <c r="L65" s="57"/>
      <c r="M65" s="57"/>
      <c r="N65" s="53"/>
      <c r="O65" s="53"/>
      <c r="P65" s="53"/>
      <c r="Q65" s="53"/>
      <c r="R65" s="57"/>
      <c r="S65" s="53"/>
      <c r="T65" s="53"/>
      <c r="U65" s="716"/>
      <c r="V65" s="53"/>
      <c r="W65" s="53"/>
      <c r="X65" s="53"/>
      <c r="Y65" s="53"/>
      <c r="Z65" s="53"/>
      <c r="AA65" s="56"/>
      <c r="AB65" s="54"/>
      <c r="AC65" s="54"/>
      <c r="AD65" s="54"/>
      <c r="AE65" s="54"/>
      <c r="AF65" s="131">
        <v>11</v>
      </c>
    </row>
    <row r="66" s="131" customFormat="1" ht="11.5" customHeight="1">
      <c r="A66" s="715"/>
      <c r="B66" s="57"/>
      <c r="C66" s="57"/>
      <c r="D66" s="131"/>
      <c r="K66" s="53"/>
      <c r="L66" s="57"/>
      <c r="M66" s="57"/>
      <c r="N66" s="53"/>
      <c r="O66" s="53"/>
      <c r="P66" s="53"/>
      <c r="Q66" s="53"/>
      <c r="R66" s="57"/>
      <c r="S66" s="53"/>
      <c r="T66" s="53"/>
      <c r="U66" s="716"/>
      <c r="V66" s="53"/>
      <c r="W66" s="53"/>
      <c r="X66" s="53"/>
      <c r="Y66" s="53"/>
      <c r="Z66" s="53"/>
      <c r="AA66" s="56"/>
      <c r="AB66" s="54"/>
      <c r="AC66" s="54"/>
      <c r="AD66" s="54"/>
      <c r="AE66" s="54"/>
      <c r="AF66" s="131">
        <v>11</v>
      </c>
    </row>
    <row r="67" s="131" customFormat="1" ht="11.5" customHeight="1">
      <c r="A67" s="715"/>
      <c r="B67" s="57"/>
      <c r="C67" s="57"/>
      <c r="D67" s="131"/>
      <c r="K67" s="53"/>
      <c r="L67" s="57"/>
      <c r="M67" s="57"/>
      <c r="N67" s="53"/>
      <c r="O67" s="53"/>
      <c r="P67" s="53"/>
      <c r="Q67" s="53"/>
      <c r="R67" s="57"/>
      <c r="S67" s="53"/>
      <c r="T67" s="53"/>
      <c r="U67" s="716"/>
      <c r="V67" s="53"/>
      <c r="W67" s="53"/>
      <c r="X67" s="53"/>
      <c r="Y67" s="53"/>
      <c r="Z67" s="53"/>
      <c r="AA67" s="56"/>
      <c r="AB67" s="54"/>
      <c r="AC67" s="54"/>
      <c r="AD67" s="54"/>
      <c r="AE67" s="54"/>
      <c r="AF67" s="131">
        <v>11</v>
      </c>
    </row>
    <row r="68" s="131" customFormat="1" ht="11.5" customHeight="1">
      <c r="A68" s="715"/>
      <c r="B68" s="57"/>
      <c r="C68" s="57"/>
      <c r="D68" s="131"/>
      <c r="K68" s="53"/>
      <c r="L68" s="57"/>
      <c r="M68" s="57"/>
      <c r="N68" s="53"/>
      <c r="O68" s="53"/>
      <c r="P68" s="53"/>
      <c r="Q68" s="53"/>
      <c r="R68" s="57"/>
      <c r="S68" s="53"/>
      <c r="T68" s="53"/>
      <c r="U68" s="716"/>
      <c r="V68" s="53"/>
      <c r="W68" s="53"/>
      <c r="X68" s="53"/>
      <c r="Y68" s="53"/>
      <c r="Z68" s="53"/>
      <c r="AA68" s="56"/>
      <c r="AB68" s="54"/>
      <c r="AC68" s="54"/>
      <c r="AD68" s="54"/>
      <c r="AE68" s="54"/>
      <c r="AF68" s="131">
        <v>11</v>
      </c>
    </row>
    <row r="69" s="131" customFormat="1" ht="11.5" customHeight="1">
      <c r="A69" s="715"/>
      <c r="B69" s="57"/>
      <c r="C69" s="57"/>
      <c r="D69" s="131"/>
      <c r="K69" s="53"/>
      <c r="L69" s="57"/>
      <c r="M69" s="57"/>
      <c r="N69" s="53"/>
      <c r="O69" s="53"/>
      <c r="P69" s="53"/>
      <c r="Q69" s="53"/>
      <c r="R69" s="57"/>
      <c r="S69" s="53"/>
      <c r="T69" s="53"/>
      <c r="U69" s="716"/>
      <c r="V69" s="53"/>
      <c r="W69" s="53"/>
      <c r="X69" s="53"/>
      <c r="Y69" s="53"/>
      <c r="Z69" s="53"/>
      <c r="AA69" s="56"/>
      <c r="AB69" s="54"/>
      <c r="AC69" s="54"/>
      <c r="AD69" s="54"/>
      <c r="AE69" s="54"/>
      <c r="AF69" s="131">
        <v>11</v>
      </c>
    </row>
    <row r="70" s="131" customFormat="1" ht="11.5" customHeight="1">
      <c r="A70" s="715"/>
      <c r="B70" s="57"/>
      <c r="C70" s="57"/>
      <c r="D70" s="131"/>
      <c r="K70" s="53"/>
      <c r="L70" s="57"/>
      <c r="M70" s="57"/>
      <c r="N70" s="53"/>
      <c r="O70" s="53"/>
      <c r="P70" s="53"/>
      <c r="Q70" s="53"/>
      <c r="R70" s="57"/>
      <c r="S70" s="53"/>
      <c r="T70" s="53"/>
      <c r="U70" s="716"/>
      <c r="V70" s="53"/>
      <c r="W70" s="53"/>
      <c r="X70" s="53"/>
      <c r="Y70" s="53"/>
      <c r="Z70" s="53"/>
      <c r="AA70" s="56"/>
      <c r="AB70" s="54"/>
      <c r="AC70" s="54"/>
      <c r="AD70" s="54"/>
      <c r="AE70" s="54"/>
      <c r="AF70" s="131">
        <v>11</v>
      </c>
    </row>
    <row r="71" s="131" customFormat="1" ht="11.5" customHeight="1">
      <c r="A71" s="715"/>
      <c r="B71" s="57"/>
      <c r="C71" s="57"/>
      <c r="D71" s="131"/>
      <c r="K71" s="53"/>
      <c r="L71" s="57"/>
      <c r="M71" s="57"/>
      <c r="N71" s="53"/>
      <c r="O71" s="53"/>
      <c r="P71" s="53"/>
      <c r="Q71" s="53"/>
      <c r="R71" s="57"/>
      <c r="S71" s="53"/>
      <c r="T71" s="53"/>
      <c r="U71" s="716"/>
      <c r="V71" s="53"/>
      <c r="W71" s="53"/>
      <c r="X71" s="53"/>
      <c r="Y71" s="53"/>
      <c r="Z71" s="53"/>
      <c r="AA71" s="56"/>
      <c r="AB71" s="54"/>
      <c r="AC71" s="54"/>
      <c r="AD71" s="54"/>
      <c r="AE71" s="54"/>
      <c r="AF71" s="131">
        <v>11</v>
      </c>
    </row>
    <row r="72" s="131" customFormat="1" ht="11.5" customHeight="1">
      <c r="A72" s="715"/>
      <c r="B72" s="57"/>
      <c r="C72" s="57"/>
      <c r="D72" s="131"/>
      <c r="K72" s="53"/>
      <c r="L72" s="57"/>
      <c r="M72" s="57"/>
      <c r="N72" s="53"/>
      <c r="O72" s="53"/>
      <c r="P72" s="53"/>
      <c r="Q72" s="53"/>
      <c r="R72" s="57"/>
      <c r="S72" s="53"/>
      <c r="T72" s="53"/>
      <c r="U72" s="716"/>
      <c r="V72" s="53"/>
      <c r="W72" s="53"/>
      <c r="X72" s="53"/>
      <c r="Y72" s="53"/>
      <c r="Z72" s="53"/>
      <c r="AA72" s="56"/>
      <c r="AB72" s="54"/>
      <c r="AC72" s="54"/>
      <c r="AD72" s="54"/>
      <c r="AE72" s="54"/>
      <c r="AF72" s="131">
        <v>11</v>
      </c>
    </row>
    <row r="73" s="131" customFormat="1" ht="11.5" customHeight="1">
      <c r="A73" s="715"/>
      <c r="B73" s="57"/>
      <c r="C73" s="57"/>
      <c r="D73" s="131"/>
      <c r="K73" s="53"/>
      <c r="L73" s="57"/>
      <c r="M73" s="57"/>
      <c r="N73" s="53"/>
      <c r="O73" s="53"/>
      <c r="P73" s="53"/>
      <c r="Q73" s="53"/>
      <c r="R73" s="57"/>
      <c r="S73" s="53"/>
      <c r="T73" s="53"/>
      <c r="U73" s="716"/>
      <c r="V73" s="53"/>
      <c r="W73" s="53"/>
      <c r="X73" s="53"/>
      <c r="Y73" s="53"/>
      <c r="Z73" s="53"/>
      <c r="AA73" s="56"/>
      <c r="AB73" s="54"/>
      <c r="AC73" s="54"/>
      <c r="AD73" s="54"/>
      <c r="AE73" s="54"/>
      <c r="AF73" s="131">
        <v>11</v>
      </c>
    </row>
    <row r="74" s="131" customFormat="1" ht="11.5" customHeight="1">
      <c r="A74" s="715"/>
      <c r="B74" s="57"/>
      <c r="C74" s="57"/>
      <c r="D74" s="131"/>
      <c r="K74" s="53"/>
      <c r="L74" s="57"/>
      <c r="M74" s="57"/>
      <c r="N74" s="53"/>
      <c r="O74" s="53"/>
      <c r="P74" s="53"/>
      <c r="Q74" s="53"/>
      <c r="R74" s="57"/>
      <c r="S74" s="53"/>
      <c r="T74" s="53"/>
      <c r="U74" s="716"/>
      <c r="V74" s="53"/>
      <c r="W74" s="53"/>
      <c r="X74" s="53"/>
      <c r="Y74" s="53"/>
      <c r="Z74" s="53"/>
      <c r="AA74" s="56"/>
      <c r="AB74" s="54"/>
      <c r="AC74" s="54"/>
      <c r="AD74" s="54"/>
      <c r="AE74" s="54"/>
      <c r="AF74" s="131">
        <v>11</v>
      </c>
    </row>
    <row r="75" s="131" customFormat="1" ht="11.5" customHeight="1">
      <c r="A75" s="715"/>
      <c r="B75" s="57"/>
      <c r="C75" s="57"/>
      <c r="D75" s="131"/>
      <c r="K75" s="53"/>
      <c r="L75" s="57"/>
      <c r="M75" s="57"/>
      <c r="N75" s="53"/>
      <c r="O75" s="53"/>
      <c r="P75" s="53"/>
      <c r="Q75" s="53"/>
      <c r="R75" s="57"/>
      <c r="S75" s="53"/>
      <c r="T75" s="53"/>
      <c r="U75" s="716"/>
      <c r="V75" s="53"/>
      <c r="W75" s="53"/>
      <c r="X75" s="53"/>
      <c r="Y75" s="53"/>
      <c r="Z75" s="53"/>
      <c r="AA75" s="56"/>
      <c r="AB75" s="54"/>
      <c r="AC75" s="54"/>
      <c r="AD75" s="54"/>
      <c r="AE75" s="54"/>
      <c r="AF75" s="131">
        <v>11</v>
      </c>
    </row>
    <row r="76" s="131" customFormat="1" ht="11.5" customHeight="1">
      <c r="A76" s="715"/>
      <c r="B76" s="57"/>
      <c r="C76" s="57"/>
      <c r="D76" s="131"/>
      <c r="K76" s="53"/>
      <c r="L76" s="57"/>
      <c r="M76" s="57"/>
      <c r="N76" s="53"/>
      <c r="O76" s="53"/>
      <c r="P76" s="53"/>
      <c r="Q76" s="53"/>
      <c r="R76" s="57"/>
      <c r="S76" s="53"/>
      <c r="T76" s="53"/>
      <c r="U76" s="716"/>
      <c r="V76" s="53"/>
      <c r="W76" s="53"/>
      <c r="X76" s="53"/>
      <c r="Y76" s="53"/>
      <c r="Z76" s="53"/>
      <c r="AA76" s="56"/>
      <c r="AB76" s="54"/>
      <c r="AC76" s="54"/>
      <c r="AD76" s="54"/>
      <c r="AE76" s="54"/>
      <c r="AF76" s="131">
        <v>11</v>
      </c>
    </row>
    <row r="77" s="131" customFormat="1" ht="11.5" customHeight="1">
      <c r="A77" s="715"/>
      <c r="B77" s="57"/>
      <c r="C77" s="57"/>
      <c r="D77" s="131"/>
      <c r="K77" s="53"/>
      <c r="L77" s="57"/>
      <c r="M77" s="57"/>
      <c r="N77" s="53"/>
      <c r="O77" s="53"/>
      <c r="P77" s="53"/>
      <c r="Q77" s="53"/>
      <c r="R77" s="57"/>
      <c r="S77" s="53"/>
      <c r="T77" s="53"/>
      <c r="U77" s="716"/>
      <c r="V77" s="53"/>
      <c r="W77" s="53"/>
      <c r="X77" s="53"/>
      <c r="Y77" s="53"/>
      <c r="Z77" s="53"/>
      <c r="AA77" s="56"/>
      <c r="AB77" s="54"/>
      <c r="AC77" s="54"/>
      <c r="AD77" s="54"/>
      <c r="AE77" s="54"/>
      <c r="AF77" s="131">
        <v>11</v>
      </c>
    </row>
    <row r="78" s="131" customFormat="1" ht="11.5" customHeight="1">
      <c r="A78" s="715"/>
      <c r="B78" s="57"/>
      <c r="C78" s="57"/>
      <c r="D78" s="131"/>
      <c r="K78" s="53"/>
      <c r="L78" s="57"/>
      <c r="M78" s="57"/>
      <c r="N78" s="53"/>
      <c r="O78" s="53"/>
      <c r="P78" s="53"/>
      <c r="Q78" s="53"/>
      <c r="R78" s="57"/>
      <c r="S78" s="53"/>
      <c r="T78" s="53"/>
      <c r="U78" s="716"/>
      <c r="V78" s="53"/>
      <c r="W78" s="53"/>
      <c r="X78" s="53"/>
      <c r="Y78" s="53"/>
      <c r="Z78" s="53"/>
      <c r="AA78" s="56"/>
      <c r="AB78" s="54"/>
      <c r="AC78" s="54"/>
      <c r="AD78" s="54"/>
      <c r="AE78" s="54"/>
      <c r="AF78" s="131">
        <v>11</v>
      </c>
    </row>
    <row r="79" s="131" customFormat="1" ht="11.5" customHeight="1">
      <c r="A79" s="715"/>
      <c r="B79" s="57"/>
      <c r="C79" s="57"/>
      <c r="D79" s="131"/>
      <c r="K79" s="53"/>
      <c r="L79" s="57"/>
      <c r="M79" s="57"/>
      <c r="N79" s="53"/>
      <c r="O79" s="53"/>
      <c r="P79" s="53"/>
      <c r="Q79" s="53"/>
      <c r="R79" s="57"/>
      <c r="S79" s="53"/>
      <c r="T79" s="53"/>
      <c r="U79" s="716"/>
      <c r="V79" s="53"/>
      <c r="W79" s="53"/>
      <c r="X79" s="53"/>
      <c r="Y79" s="53"/>
      <c r="Z79" s="53"/>
      <c r="AA79" s="56"/>
      <c r="AB79" s="54"/>
      <c r="AC79" s="54"/>
      <c r="AD79" s="54"/>
      <c r="AE79" s="54"/>
      <c r="AF79" s="131">
        <v>11</v>
      </c>
    </row>
    <row r="80" s="131" customFormat="1" ht="11.5" customHeight="1">
      <c r="A80" s="715"/>
      <c r="B80" s="57"/>
      <c r="C80" s="57"/>
      <c r="D80" s="131"/>
      <c r="K80" s="53"/>
      <c r="L80" s="57"/>
      <c r="M80" s="57"/>
      <c r="N80" s="53"/>
      <c r="O80" s="53"/>
      <c r="P80" s="53"/>
      <c r="Q80" s="53"/>
      <c r="R80" s="57"/>
      <c r="S80" s="53"/>
      <c r="T80" s="53"/>
      <c r="U80" s="716"/>
      <c r="V80" s="53"/>
      <c r="W80" s="53"/>
      <c r="X80" s="53"/>
      <c r="Y80" s="53"/>
      <c r="Z80" s="53"/>
      <c r="AA80" s="56"/>
      <c r="AB80" s="54"/>
      <c r="AC80" s="54"/>
      <c r="AD80" s="54"/>
      <c r="AE80" s="54"/>
      <c r="AF80" s="131">
        <v>11</v>
      </c>
    </row>
    <row r="81" s="131" customFormat="1" ht="11.5" customHeight="1">
      <c r="A81" s="715"/>
      <c r="B81" s="57"/>
      <c r="C81" s="57"/>
      <c r="D81" s="131"/>
      <c r="K81" s="53"/>
      <c r="L81" s="57"/>
      <c r="M81" s="57"/>
      <c r="N81" s="53"/>
      <c r="O81" s="53"/>
      <c r="P81" s="53"/>
      <c r="Q81" s="53"/>
      <c r="R81" s="57"/>
      <c r="S81" s="53"/>
      <c r="T81" s="53"/>
      <c r="U81" s="716"/>
      <c r="V81" s="53"/>
      <c r="W81" s="53"/>
      <c r="X81" s="53"/>
      <c r="Y81" s="53"/>
      <c r="Z81" s="53"/>
      <c r="AA81" s="56"/>
      <c r="AB81" s="54"/>
      <c r="AC81" s="54"/>
      <c r="AD81" s="54"/>
      <c r="AE81" s="54"/>
      <c r="AF81" s="131">
        <v>11</v>
      </c>
    </row>
    <row r="82" s="131" customFormat="1" ht="11.5" customHeight="1">
      <c r="A82" s="715"/>
      <c r="B82" s="57"/>
      <c r="C82" s="57"/>
      <c r="D82" s="131"/>
      <c r="K82" s="53"/>
      <c r="L82" s="57"/>
      <c r="M82" s="57"/>
      <c r="N82" s="53"/>
      <c r="O82" s="53"/>
      <c r="P82" s="53"/>
      <c r="Q82" s="53"/>
      <c r="R82" s="57"/>
      <c r="S82" s="53"/>
      <c r="T82" s="53"/>
      <c r="U82" s="716"/>
      <c r="V82" s="53"/>
      <c r="W82" s="53"/>
      <c r="X82" s="53"/>
      <c r="Y82" s="53"/>
      <c r="Z82" s="53"/>
      <c r="AA82" s="56"/>
      <c r="AB82" s="54"/>
      <c r="AC82" s="54"/>
      <c r="AD82" s="54"/>
      <c r="AE82" s="54"/>
      <c r="AF82" s="131">
        <v>11</v>
      </c>
    </row>
    <row r="83" s="131" customFormat="1" ht="11.5" customHeight="1">
      <c r="A83" s="715"/>
      <c r="B83" s="57"/>
      <c r="C83" s="57"/>
      <c r="D83" s="131"/>
      <c r="K83" s="53"/>
      <c r="L83" s="57"/>
      <c r="M83" s="57"/>
      <c r="N83" s="53"/>
      <c r="O83" s="53"/>
      <c r="P83" s="53"/>
      <c r="Q83" s="53"/>
      <c r="R83" s="57"/>
      <c r="S83" s="53"/>
      <c r="T83" s="53"/>
      <c r="U83" s="716"/>
      <c r="V83" s="53"/>
      <c r="W83" s="53"/>
      <c r="X83" s="53"/>
      <c r="Y83" s="53"/>
      <c r="Z83" s="53"/>
      <c r="AA83" s="56"/>
      <c r="AB83" s="54"/>
      <c r="AC83" s="54"/>
      <c r="AD83" s="54"/>
      <c r="AE83" s="54"/>
      <c r="AF83" s="131">
        <v>11</v>
      </c>
    </row>
    <row r="84" s="131" customFormat="1" ht="11.5" customHeight="1">
      <c r="A84" s="715"/>
      <c r="B84" s="57"/>
      <c r="C84" s="57"/>
      <c r="D84" s="131"/>
      <c r="K84" s="53"/>
      <c r="L84" s="57"/>
      <c r="M84" s="57"/>
      <c r="N84" s="53"/>
      <c r="O84" s="53"/>
      <c r="P84" s="53"/>
      <c r="Q84" s="53"/>
      <c r="R84" s="57"/>
      <c r="S84" s="53"/>
      <c r="T84" s="53"/>
      <c r="U84" s="716"/>
      <c r="V84" s="53"/>
      <c r="W84" s="53"/>
      <c r="X84" s="53"/>
      <c r="Y84" s="53"/>
      <c r="Z84" s="53"/>
      <c r="AA84" s="56"/>
      <c r="AB84" s="54"/>
      <c r="AC84" s="54"/>
      <c r="AD84" s="54"/>
      <c r="AE84" s="54"/>
      <c r="AF84" s="131">
        <v>11</v>
      </c>
    </row>
    <row r="85" s="131" customFormat="1" ht="11.5" customHeight="1">
      <c r="A85" s="715"/>
      <c r="B85" s="57"/>
      <c r="C85" s="57"/>
      <c r="D85" s="131"/>
      <c r="K85" s="53"/>
      <c r="L85" s="57"/>
      <c r="M85" s="57"/>
      <c r="N85" s="53"/>
      <c r="O85" s="53"/>
      <c r="P85" s="53"/>
      <c r="Q85" s="53"/>
      <c r="R85" s="57"/>
      <c r="S85" s="53"/>
      <c r="T85" s="53"/>
      <c r="U85" s="716"/>
      <c r="V85" s="53"/>
      <c r="W85" s="53"/>
      <c r="X85" s="53"/>
      <c r="Y85" s="53"/>
      <c r="Z85" s="53"/>
      <c r="AA85" s="56"/>
      <c r="AB85" s="54"/>
      <c r="AC85" s="54"/>
      <c r="AD85" s="54"/>
      <c r="AE85" s="54"/>
      <c r="AF85" s="131">
        <v>11</v>
      </c>
    </row>
    <row r="86" s="131" customFormat="1" ht="11.5" customHeight="1">
      <c r="A86" s="715"/>
      <c r="B86" s="57"/>
      <c r="C86" s="57"/>
      <c r="D86" s="131"/>
      <c r="K86" s="53"/>
      <c r="L86" s="57"/>
      <c r="M86" s="57"/>
      <c r="N86" s="53"/>
      <c r="O86" s="53"/>
      <c r="P86" s="53"/>
      <c r="Q86" s="53"/>
      <c r="R86" s="57"/>
      <c r="S86" s="53"/>
      <c r="T86" s="53"/>
      <c r="U86" s="716"/>
      <c r="V86" s="53"/>
      <c r="W86" s="53"/>
      <c r="X86" s="53"/>
      <c r="Y86" s="53"/>
      <c r="Z86" s="53"/>
      <c r="AA86" s="56"/>
      <c r="AB86" s="54"/>
      <c r="AC86" s="54"/>
      <c r="AD86" s="54"/>
      <c r="AE86" s="54"/>
      <c r="AF86" s="131">
        <v>11</v>
      </c>
    </row>
    <row r="87" s="131" customFormat="1" ht="11.5" customHeight="1">
      <c r="A87" s="715"/>
      <c r="B87" s="57"/>
      <c r="C87" s="57"/>
      <c r="D87" s="131"/>
      <c r="K87" s="53"/>
      <c r="L87" s="57"/>
      <c r="M87" s="57"/>
      <c r="N87" s="53"/>
      <c r="O87" s="53"/>
      <c r="P87" s="53"/>
      <c r="Q87" s="53"/>
      <c r="R87" s="57"/>
      <c r="S87" s="53"/>
      <c r="T87" s="53"/>
      <c r="U87" s="716"/>
      <c r="V87" s="53"/>
      <c r="W87" s="53"/>
      <c r="X87" s="53"/>
      <c r="Y87" s="53"/>
      <c r="Z87" s="53"/>
      <c r="AA87" s="56"/>
      <c r="AB87" s="54"/>
      <c r="AC87" s="54"/>
      <c r="AD87" s="54"/>
      <c r="AE87" s="54"/>
      <c r="AF87" s="131">
        <v>11</v>
      </c>
    </row>
    <row r="88" s="131" customFormat="1" ht="11.5" customHeight="1">
      <c r="A88" s="715"/>
      <c r="B88" s="57"/>
      <c r="C88" s="57"/>
      <c r="D88" s="131"/>
      <c r="K88" s="53"/>
      <c r="L88" s="57"/>
      <c r="M88" s="57"/>
      <c r="N88" s="53"/>
      <c r="O88" s="53"/>
      <c r="P88" s="53"/>
      <c r="Q88" s="53"/>
      <c r="R88" s="57"/>
      <c r="S88" s="53"/>
      <c r="T88" s="53"/>
      <c r="U88" s="716"/>
      <c r="V88" s="53"/>
      <c r="W88" s="53"/>
      <c r="X88" s="53"/>
      <c r="Y88" s="53"/>
      <c r="Z88" s="53"/>
      <c r="AA88" s="56"/>
      <c r="AB88" s="54"/>
      <c r="AC88" s="54"/>
      <c r="AD88" s="54"/>
      <c r="AE88" s="54"/>
      <c r="AF88" s="131">
        <v>11</v>
      </c>
    </row>
    <row r="89" s="131" customFormat="1" ht="11.5" customHeight="1">
      <c r="A89" s="715"/>
      <c r="B89" s="57"/>
      <c r="C89" s="57"/>
      <c r="D89" s="131"/>
      <c r="K89" s="53"/>
      <c r="L89" s="57"/>
      <c r="M89" s="57"/>
      <c r="N89" s="53"/>
      <c r="O89" s="53"/>
      <c r="P89" s="53"/>
      <c r="Q89" s="53"/>
      <c r="R89" s="57"/>
      <c r="S89" s="53"/>
      <c r="T89" s="53"/>
      <c r="U89" s="716"/>
      <c r="V89" s="53"/>
      <c r="W89" s="53"/>
      <c r="X89" s="53"/>
      <c r="Y89" s="53"/>
      <c r="Z89" s="53"/>
      <c r="AA89" s="56"/>
      <c r="AB89" s="54"/>
      <c r="AC89" s="54"/>
      <c r="AD89" s="54"/>
      <c r="AE89" s="54"/>
      <c r="AF89" s="131">
        <v>11</v>
      </c>
    </row>
    <row r="90" s="131" customFormat="1" ht="11.5" customHeight="1">
      <c r="A90" s="715"/>
      <c r="B90" s="57"/>
      <c r="C90" s="57"/>
      <c r="D90" s="131"/>
      <c r="K90" s="53"/>
      <c r="L90" s="57"/>
      <c r="M90" s="57"/>
      <c r="N90" s="53"/>
      <c r="O90" s="53"/>
      <c r="P90" s="53"/>
      <c r="Q90" s="53"/>
      <c r="R90" s="57"/>
      <c r="S90" s="53"/>
      <c r="T90" s="53"/>
      <c r="U90" s="716"/>
      <c r="V90" s="53"/>
      <c r="W90" s="53"/>
      <c r="X90" s="53"/>
      <c r="Y90" s="53"/>
      <c r="Z90" s="53"/>
      <c r="AA90" s="56"/>
      <c r="AB90" s="54"/>
      <c r="AC90" s="54"/>
      <c r="AD90" s="54"/>
      <c r="AE90" s="54"/>
      <c r="AF90" s="131">
        <v>11</v>
      </c>
    </row>
    <row r="91" s="131" customFormat="1" ht="11.5" customHeight="1">
      <c r="A91" s="715"/>
      <c r="B91" s="57"/>
      <c r="C91" s="57"/>
      <c r="D91" s="131"/>
      <c r="K91" s="53"/>
      <c r="L91" s="57"/>
      <c r="M91" s="57"/>
      <c r="N91" s="53"/>
      <c r="O91" s="53"/>
      <c r="P91" s="53"/>
      <c r="Q91" s="53"/>
      <c r="R91" s="57"/>
      <c r="S91" s="53"/>
      <c r="T91" s="53"/>
      <c r="U91" s="716"/>
      <c r="V91" s="53"/>
      <c r="W91" s="53"/>
      <c r="X91" s="53"/>
      <c r="Y91" s="53"/>
      <c r="Z91" s="53"/>
      <c r="AA91" s="56"/>
      <c r="AB91" s="54"/>
      <c r="AC91" s="54"/>
      <c r="AD91" s="54"/>
      <c r="AE91" s="54"/>
      <c r="AF91" s="131">
        <v>11</v>
      </c>
    </row>
    <row r="92" s="131" customFormat="1" ht="11.5" customHeight="1">
      <c r="A92" s="715"/>
      <c r="B92" s="57"/>
      <c r="C92" s="57"/>
      <c r="D92" s="131"/>
      <c r="K92" s="53"/>
      <c r="L92" s="57"/>
      <c r="M92" s="57"/>
      <c r="N92" s="53"/>
      <c r="O92" s="53"/>
      <c r="P92" s="53"/>
      <c r="Q92" s="53"/>
      <c r="R92" s="57"/>
      <c r="S92" s="53"/>
      <c r="T92" s="53"/>
      <c r="U92" s="716"/>
      <c r="V92" s="53"/>
      <c r="W92" s="53"/>
      <c r="X92" s="53"/>
      <c r="Y92" s="53"/>
      <c r="Z92" s="53"/>
      <c r="AA92" s="56"/>
      <c r="AB92" s="54"/>
      <c r="AC92" s="54"/>
      <c r="AD92" s="54"/>
      <c r="AE92" s="54"/>
      <c r="AF92" s="131">
        <v>11</v>
      </c>
    </row>
    <row r="93" s="131" customFormat="1" ht="11.5" customHeight="1">
      <c r="A93" s="715"/>
      <c r="B93" s="57"/>
      <c r="C93" s="57"/>
      <c r="D93" s="131"/>
      <c r="K93" s="53"/>
      <c r="L93" s="57"/>
      <c r="M93" s="57"/>
      <c r="N93" s="53"/>
      <c r="O93" s="53"/>
      <c r="P93" s="53"/>
      <c r="Q93" s="53"/>
      <c r="R93" s="57"/>
      <c r="S93" s="53"/>
      <c r="T93" s="53"/>
      <c r="U93" s="716"/>
      <c r="V93" s="53"/>
      <c r="W93" s="53"/>
      <c r="X93" s="53"/>
      <c r="Y93" s="53"/>
      <c r="Z93" s="53"/>
      <c r="AA93" s="56"/>
      <c r="AB93" s="54"/>
      <c r="AC93" s="54"/>
      <c r="AD93" s="54"/>
      <c r="AE93" s="54"/>
      <c r="AF93" s="131">
        <v>11</v>
      </c>
    </row>
    <row r="94" s="131" customFormat="1" ht="11.5" customHeight="1">
      <c r="A94" s="715"/>
      <c r="B94" s="57"/>
      <c r="C94" s="57"/>
      <c r="D94" s="131"/>
      <c r="K94" s="53"/>
      <c r="L94" s="57"/>
      <c r="M94" s="57"/>
      <c r="N94" s="53"/>
      <c r="O94" s="53"/>
      <c r="P94" s="53"/>
      <c r="Q94" s="53"/>
      <c r="R94" s="57"/>
      <c r="S94" s="53"/>
      <c r="T94" s="53"/>
      <c r="U94" s="716"/>
      <c r="V94" s="53"/>
      <c r="W94" s="53"/>
      <c r="X94" s="53"/>
      <c r="Y94" s="53"/>
      <c r="Z94" s="53"/>
      <c r="AA94" s="56"/>
      <c r="AB94" s="54"/>
      <c r="AC94" s="54"/>
      <c r="AD94" s="54"/>
      <c r="AE94" s="54"/>
      <c r="AF94" s="131">
        <v>11</v>
      </c>
    </row>
    <row r="95" s="131" customFormat="1" ht="11.5" customHeight="1">
      <c r="A95" s="715"/>
      <c r="B95" s="57"/>
      <c r="C95" s="57"/>
      <c r="D95" s="131"/>
      <c r="K95" s="53"/>
      <c r="L95" s="57"/>
      <c r="M95" s="57"/>
      <c r="N95" s="53"/>
      <c r="O95" s="53"/>
      <c r="P95" s="53"/>
      <c r="Q95" s="53"/>
      <c r="R95" s="57"/>
      <c r="S95" s="53"/>
      <c r="T95" s="53"/>
      <c r="U95" s="716"/>
      <c r="V95" s="53"/>
      <c r="W95" s="53"/>
      <c r="X95" s="53"/>
      <c r="Y95" s="53"/>
      <c r="Z95" s="53"/>
      <c r="AA95" s="56"/>
      <c r="AB95" s="54"/>
      <c r="AC95" s="54"/>
      <c r="AD95" s="54"/>
      <c r="AE95" s="54"/>
      <c r="AF95" s="131">
        <v>11</v>
      </c>
    </row>
    <row r="96" s="131" customFormat="1" ht="11.5" customHeight="1">
      <c r="A96" s="715"/>
      <c r="B96" s="57"/>
      <c r="C96" s="57"/>
      <c r="D96" s="131"/>
      <c r="K96" s="53"/>
      <c r="L96" s="57"/>
      <c r="M96" s="57"/>
      <c r="N96" s="53"/>
      <c r="O96" s="53"/>
      <c r="P96" s="53"/>
      <c r="Q96" s="53"/>
      <c r="R96" s="57"/>
      <c r="S96" s="53"/>
      <c r="T96" s="53"/>
      <c r="U96" s="716"/>
      <c r="V96" s="53"/>
      <c r="W96" s="53"/>
      <c r="X96" s="53"/>
      <c r="Y96" s="53"/>
      <c r="Z96" s="53"/>
      <c r="AA96" s="56"/>
      <c r="AB96" s="54"/>
      <c r="AC96" s="54"/>
      <c r="AD96" s="54"/>
      <c r="AE96" s="54"/>
      <c r="AF96" s="131">
        <v>11</v>
      </c>
    </row>
    <row r="97" s="131" customFormat="1" ht="11.5" customHeight="1">
      <c r="A97" s="715"/>
      <c r="B97" s="57"/>
      <c r="C97" s="57"/>
      <c r="D97" s="131"/>
      <c r="K97" s="53"/>
      <c r="L97" s="57"/>
      <c r="M97" s="57"/>
      <c r="N97" s="53"/>
      <c r="O97" s="53"/>
      <c r="P97" s="53"/>
      <c r="Q97" s="53"/>
      <c r="R97" s="57"/>
      <c r="S97" s="53"/>
      <c r="T97" s="53"/>
      <c r="U97" s="716"/>
      <c r="V97" s="53"/>
      <c r="W97" s="53"/>
      <c r="X97" s="53"/>
      <c r="Y97" s="53"/>
      <c r="Z97" s="53"/>
      <c r="AA97" s="56"/>
      <c r="AB97" s="54"/>
      <c r="AC97" s="54"/>
      <c r="AD97" s="54"/>
      <c r="AE97" s="54"/>
      <c r="AF97" s="131">
        <v>11</v>
      </c>
    </row>
    <row r="98" s="131" customFormat="1" ht="11.5" customHeight="1">
      <c r="A98" s="715"/>
      <c r="B98" s="57"/>
      <c r="C98" s="57"/>
      <c r="D98" s="131"/>
      <c r="K98" s="53"/>
      <c r="L98" s="57"/>
      <c r="M98" s="57"/>
      <c r="N98" s="53"/>
      <c r="O98" s="53"/>
      <c r="P98" s="53"/>
      <c r="Q98" s="53"/>
      <c r="R98" s="57"/>
      <c r="S98" s="53"/>
      <c r="T98" s="53"/>
      <c r="U98" s="716"/>
      <c r="V98" s="53"/>
      <c r="W98" s="53"/>
      <c r="X98" s="53"/>
      <c r="Y98" s="53"/>
      <c r="Z98" s="53"/>
      <c r="AA98" s="56"/>
      <c r="AB98" s="54"/>
      <c r="AC98" s="54"/>
      <c r="AD98" s="54"/>
      <c r="AE98" s="54"/>
      <c r="AF98" s="131">
        <v>11</v>
      </c>
    </row>
    <row r="99" s="131" customFormat="1" ht="11.5" customHeight="1">
      <c r="A99" s="715"/>
      <c r="B99" s="57"/>
      <c r="C99" s="57"/>
      <c r="D99" s="131"/>
      <c r="K99" s="53"/>
      <c r="L99" s="57"/>
      <c r="M99" s="57"/>
      <c r="N99" s="53"/>
      <c r="O99" s="53"/>
      <c r="P99" s="53"/>
      <c r="Q99" s="53"/>
      <c r="R99" s="57"/>
      <c r="S99" s="53"/>
      <c r="T99" s="53"/>
      <c r="U99" s="716"/>
      <c r="V99" s="53"/>
      <c r="W99" s="53"/>
      <c r="X99" s="53"/>
      <c r="Y99" s="53"/>
      <c r="Z99" s="53"/>
      <c r="AA99" s="56"/>
      <c r="AB99" s="54"/>
      <c r="AC99" s="54"/>
      <c r="AD99" s="54"/>
      <c r="AE99" s="54"/>
      <c r="AF99" s="131">
        <v>11</v>
      </c>
    </row>
    <row r="100" s="131" customFormat="1" ht="11.5" customHeight="1">
      <c r="A100" s="715"/>
      <c r="B100" s="57"/>
      <c r="C100" s="57"/>
      <c r="D100" s="131"/>
      <c r="K100" s="53"/>
      <c r="L100" s="57"/>
      <c r="M100" s="57"/>
      <c r="N100" s="53"/>
      <c r="O100" s="53"/>
      <c r="P100" s="53"/>
      <c r="Q100" s="53"/>
      <c r="R100" s="57"/>
      <c r="S100" s="53"/>
      <c r="T100" s="53"/>
      <c r="U100" s="716"/>
      <c r="V100" s="53"/>
      <c r="W100" s="53"/>
      <c r="X100" s="53"/>
      <c r="Y100" s="53"/>
      <c r="Z100" s="53"/>
      <c r="AA100" s="56"/>
      <c r="AB100" s="54"/>
      <c r="AC100" s="54"/>
      <c r="AD100" s="54"/>
      <c r="AE100" s="54"/>
      <c r="AF100" s="131">
        <v>11</v>
      </c>
    </row>
    <row r="101" s="131" customFormat="1" ht="11.5" customHeight="1">
      <c r="A101" s="715"/>
      <c r="B101" s="57"/>
      <c r="C101" s="57"/>
      <c r="D101" s="131"/>
      <c r="K101" s="53"/>
      <c r="L101" s="57"/>
      <c r="M101" s="57"/>
      <c r="N101" s="53"/>
      <c r="O101" s="53"/>
      <c r="P101" s="53"/>
      <c r="Q101" s="53"/>
      <c r="R101" s="57"/>
      <c r="S101" s="53"/>
      <c r="T101" s="53"/>
      <c r="U101" s="716"/>
      <c r="V101" s="53"/>
      <c r="W101" s="53"/>
      <c r="X101" s="53"/>
      <c r="Y101" s="53"/>
      <c r="Z101" s="53"/>
      <c r="AA101" s="56"/>
      <c r="AB101" s="54"/>
      <c r="AC101" s="54"/>
      <c r="AD101" s="54"/>
      <c r="AE101" s="54"/>
      <c r="AF101" s="131">
        <v>11</v>
      </c>
    </row>
    <row r="102" s="131" customFormat="1" ht="11.5" customHeight="1">
      <c r="A102" s="715"/>
      <c r="B102" s="57"/>
      <c r="C102" s="57"/>
      <c r="D102" s="131"/>
      <c r="K102" s="53"/>
      <c r="L102" s="57"/>
      <c r="M102" s="57"/>
      <c r="N102" s="53"/>
      <c r="O102" s="53"/>
      <c r="P102" s="53"/>
      <c r="Q102" s="53"/>
      <c r="R102" s="57"/>
      <c r="S102" s="53"/>
      <c r="T102" s="53"/>
      <c r="U102" s="716"/>
      <c r="V102" s="53"/>
      <c r="W102" s="53"/>
      <c r="X102" s="53"/>
      <c r="Y102" s="53"/>
      <c r="Z102" s="53"/>
      <c r="AA102" s="56"/>
      <c r="AB102" s="54"/>
      <c r="AC102" s="54"/>
      <c r="AD102" s="54"/>
      <c r="AE102" s="54"/>
      <c r="AF102" s="131">
        <v>11</v>
      </c>
    </row>
    <row r="103" s="131" customFormat="1" ht="11.5" customHeight="1">
      <c r="A103" s="715"/>
      <c r="B103" s="57"/>
      <c r="C103" s="57"/>
      <c r="D103" s="131"/>
      <c r="K103" s="53"/>
      <c r="L103" s="57"/>
      <c r="M103" s="57"/>
      <c r="N103" s="53"/>
      <c r="O103" s="53"/>
      <c r="P103" s="53"/>
      <c r="Q103" s="53"/>
      <c r="R103" s="57"/>
      <c r="S103" s="53"/>
      <c r="T103" s="53"/>
      <c r="U103" s="716"/>
      <c r="V103" s="53"/>
      <c r="W103" s="53"/>
      <c r="X103" s="53"/>
      <c r="Y103" s="53"/>
      <c r="Z103" s="53"/>
      <c r="AA103" s="56"/>
      <c r="AB103" s="54"/>
      <c r="AC103" s="54"/>
      <c r="AD103" s="54"/>
      <c r="AE103" s="54"/>
      <c r="AF103" s="131">
        <v>11</v>
      </c>
    </row>
    <row r="104" s="131" customFormat="1" ht="11.5" customHeight="1">
      <c r="A104" s="715"/>
      <c r="B104" s="57"/>
      <c r="C104" s="57"/>
      <c r="D104" s="131"/>
      <c r="K104" s="53"/>
      <c r="L104" s="57"/>
      <c r="M104" s="57"/>
      <c r="N104" s="53"/>
      <c r="O104" s="53"/>
      <c r="P104" s="53"/>
      <c r="Q104" s="53"/>
      <c r="R104" s="57"/>
      <c r="S104" s="53"/>
      <c r="T104" s="53"/>
      <c r="U104" s="716"/>
      <c r="V104" s="53"/>
      <c r="W104" s="53"/>
      <c r="X104" s="53"/>
      <c r="Y104" s="53"/>
      <c r="Z104" s="53"/>
      <c r="AA104" s="56"/>
      <c r="AB104" s="54"/>
      <c r="AC104" s="54"/>
      <c r="AD104" s="54"/>
      <c r="AE104" s="54"/>
      <c r="AF104" s="131">
        <v>11</v>
      </c>
    </row>
    <row r="105" s="131" customFormat="1" ht="11.5" customHeight="1">
      <c r="A105" s="715"/>
      <c r="B105" s="57"/>
      <c r="C105" s="57"/>
      <c r="D105" s="131"/>
      <c r="K105" s="53"/>
      <c r="L105" s="57"/>
      <c r="M105" s="57"/>
      <c r="N105" s="53"/>
      <c r="O105" s="53"/>
      <c r="P105" s="53"/>
      <c r="Q105" s="53"/>
      <c r="R105" s="57"/>
      <c r="S105" s="53"/>
      <c r="T105" s="53"/>
      <c r="U105" s="716"/>
      <c r="V105" s="53"/>
      <c r="W105" s="53"/>
      <c r="X105" s="53"/>
      <c r="Y105" s="53"/>
      <c r="Z105" s="53"/>
      <c r="AA105" s="56"/>
      <c r="AB105" s="54"/>
      <c r="AC105" s="54"/>
      <c r="AD105" s="54"/>
      <c r="AE105" s="54"/>
      <c r="AF105" s="131">
        <v>11</v>
      </c>
    </row>
    <row r="106" s="131" customFormat="1" ht="11.5" customHeight="1">
      <c r="A106" s="715"/>
      <c r="B106" s="57"/>
      <c r="C106" s="57"/>
      <c r="D106" s="131"/>
      <c r="K106" s="53"/>
      <c r="L106" s="57"/>
      <c r="M106" s="57"/>
      <c r="N106" s="53"/>
      <c r="O106" s="53"/>
      <c r="P106" s="53"/>
      <c r="Q106" s="53"/>
      <c r="R106" s="57"/>
      <c r="S106" s="53"/>
      <c r="T106" s="53"/>
      <c r="U106" s="716"/>
      <c r="V106" s="53"/>
      <c r="W106" s="53"/>
      <c r="X106" s="53"/>
      <c r="Y106" s="53"/>
      <c r="Z106" s="53"/>
      <c r="AA106" s="56"/>
      <c r="AB106" s="54"/>
      <c r="AC106" s="54"/>
      <c r="AD106" s="54"/>
      <c r="AE106" s="54"/>
      <c r="AF106" s="131">
        <v>11</v>
      </c>
    </row>
    <row r="107" s="131" customFormat="1" ht="11.5" customHeight="1">
      <c r="A107" s="715"/>
      <c r="B107" s="57"/>
      <c r="C107" s="57"/>
      <c r="D107" s="131"/>
      <c r="K107" s="53"/>
      <c r="L107" s="57"/>
      <c r="M107" s="57"/>
      <c r="N107" s="53"/>
      <c r="O107" s="53"/>
      <c r="P107" s="53"/>
      <c r="Q107" s="53"/>
      <c r="R107" s="57"/>
      <c r="S107" s="53"/>
      <c r="T107" s="53"/>
      <c r="U107" s="716"/>
      <c r="V107" s="53"/>
      <c r="W107" s="53"/>
      <c r="X107" s="53"/>
      <c r="Y107" s="53"/>
      <c r="Z107" s="53"/>
      <c r="AA107" s="56"/>
      <c r="AB107" s="54"/>
      <c r="AC107" s="54"/>
      <c r="AD107" s="54"/>
      <c r="AE107" s="54"/>
      <c r="AF107" s="131">
        <v>11</v>
      </c>
    </row>
    <row r="108" s="131" customFormat="1" ht="11.5" customHeight="1">
      <c r="A108" s="715"/>
      <c r="B108" s="57"/>
      <c r="C108" s="57"/>
      <c r="D108" s="131"/>
      <c r="K108" s="53"/>
      <c r="L108" s="57"/>
      <c r="M108" s="57"/>
      <c r="N108" s="53"/>
      <c r="O108" s="53"/>
      <c r="P108" s="53"/>
      <c r="Q108" s="53"/>
      <c r="R108" s="57"/>
      <c r="S108" s="53"/>
      <c r="T108" s="53"/>
      <c r="U108" s="716"/>
      <c r="V108" s="53"/>
      <c r="W108" s="53"/>
      <c r="X108" s="53"/>
      <c r="Y108" s="53"/>
      <c r="Z108" s="53"/>
      <c r="AA108" s="56"/>
      <c r="AB108" s="54"/>
      <c r="AC108" s="54"/>
      <c r="AD108" s="54"/>
      <c r="AE108" s="54"/>
      <c r="AF108" s="131">
        <v>11</v>
      </c>
    </row>
    <row r="109" s="131" customFormat="1" ht="11.5" customHeight="1">
      <c r="A109" s="715"/>
      <c r="B109" s="57"/>
      <c r="C109" s="57"/>
      <c r="D109" s="131"/>
      <c r="K109" s="53"/>
      <c r="L109" s="57"/>
      <c r="M109" s="57"/>
      <c r="N109" s="53"/>
      <c r="O109" s="53"/>
      <c r="P109" s="53"/>
      <c r="Q109" s="53"/>
      <c r="R109" s="57"/>
      <c r="S109" s="53"/>
      <c r="T109" s="53"/>
      <c r="U109" s="716"/>
      <c r="V109" s="53"/>
      <c r="W109" s="53"/>
      <c r="X109" s="53"/>
      <c r="Y109" s="53"/>
      <c r="Z109" s="53"/>
      <c r="AA109" s="56"/>
      <c r="AB109" s="54"/>
      <c r="AC109" s="54"/>
      <c r="AD109" s="54"/>
      <c r="AE109" s="54"/>
      <c r="AF109" s="131">
        <v>11</v>
      </c>
    </row>
    <row r="110" s="131" customFormat="1" ht="11.5" customHeight="1">
      <c r="A110" s="715"/>
      <c r="B110" s="57"/>
      <c r="C110" s="57"/>
      <c r="D110" s="131"/>
      <c r="K110" s="53"/>
      <c r="L110" s="57"/>
      <c r="M110" s="57"/>
      <c r="N110" s="53"/>
      <c r="O110" s="53"/>
      <c r="P110" s="53"/>
      <c r="Q110" s="53"/>
      <c r="R110" s="57"/>
      <c r="S110" s="53"/>
      <c r="T110" s="53"/>
      <c r="U110" s="716"/>
      <c r="V110" s="53"/>
      <c r="W110" s="53"/>
      <c r="X110" s="53"/>
      <c r="Y110" s="53"/>
      <c r="Z110" s="53"/>
      <c r="AA110" s="56"/>
      <c r="AB110" s="54"/>
      <c r="AC110" s="54"/>
      <c r="AD110" s="54"/>
      <c r="AE110" s="54"/>
      <c r="AF110" s="131">
        <v>11</v>
      </c>
    </row>
    <row r="111" s="131" customFormat="1" ht="11.5" customHeight="1">
      <c r="A111" s="715"/>
      <c r="B111" s="57"/>
      <c r="C111" s="57"/>
      <c r="D111" s="131"/>
      <c r="K111" s="53"/>
      <c r="L111" s="57"/>
      <c r="M111" s="57"/>
      <c r="N111" s="53"/>
      <c r="O111" s="53"/>
      <c r="P111" s="53"/>
      <c r="Q111" s="53"/>
      <c r="R111" s="57"/>
      <c r="S111" s="53"/>
      <c r="T111" s="53"/>
      <c r="U111" s="716"/>
      <c r="V111" s="53"/>
      <c r="W111" s="53"/>
      <c r="X111" s="53"/>
      <c r="Y111" s="53"/>
      <c r="Z111" s="53"/>
      <c r="AA111" s="56"/>
      <c r="AB111" s="54"/>
      <c r="AC111" s="54"/>
      <c r="AD111" s="54"/>
      <c r="AE111" s="54"/>
      <c r="AF111" s="131">
        <v>11</v>
      </c>
    </row>
    <row r="112" s="131" customFormat="1" ht="11.5" customHeight="1">
      <c r="A112" s="715"/>
      <c r="B112" s="57"/>
      <c r="C112" s="57"/>
      <c r="D112" s="131"/>
      <c r="K112" s="53"/>
      <c r="L112" s="57"/>
      <c r="M112" s="57"/>
      <c r="N112" s="53"/>
      <c r="O112" s="53"/>
      <c r="P112" s="53"/>
      <c r="Q112" s="53"/>
      <c r="R112" s="57"/>
      <c r="S112" s="53"/>
      <c r="T112" s="53"/>
      <c r="U112" s="716"/>
      <c r="V112" s="53"/>
      <c r="W112" s="53"/>
      <c r="X112" s="53"/>
      <c r="Y112" s="53"/>
      <c r="Z112" s="53"/>
      <c r="AA112" s="56"/>
      <c r="AB112" s="54"/>
      <c r="AC112" s="54"/>
      <c r="AD112" s="54"/>
      <c r="AE112" s="54"/>
      <c r="AF112" s="131">
        <v>11</v>
      </c>
    </row>
    <row r="113" s="131" customFormat="1" ht="11.5" customHeight="1">
      <c r="A113" s="715"/>
      <c r="B113" s="57"/>
      <c r="C113" s="57"/>
      <c r="D113" s="131"/>
      <c r="K113" s="53"/>
      <c r="L113" s="57"/>
      <c r="M113" s="57"/>
      <c r="N113" s="53"/>
      <c r="O113" s="53"/>
      <c r="P113" s="53"/>
      <c r="Q113" s="53"/>
      <c r="R113" s="57"/>
      <c r="S113" s="53"/>
      <c r="T113" s="53"/>
      <c r="U113" s="716"/>
      <c r="V113" s="53"/>
      <c r="W113" s="53"/>
      <c r="X113" s="53"/>
      <c r="Y113" s="53"/>
      <c r="Z113" s="53"/>
      <c r="AA113" s="56"/>
      <c r="AB113" s="54"/>
      <c r="AC113" s="54"/>
      <c r="AD113" s="54"/>
      <c r="AE113" s="54"/>
      <c r="AF113" s="131">
        <v>11</v>
      </c>
    </row>
    <row r="114" s="131" customFormat="1" ht="11.5" customHeight="1">
      <c r="A114" s="715"/>
      <c r="B114" s="57"/>
      <c r="C114" s="57"/>
      <c r="D114" s="131"/>
      <c r="K114" s="53"/>
      <c r="L114" s="57"/>
      <c r="M114" s="57"/>
      <c r="N114" s="53"/>
      <c r="O114" s="53"/>
      <c r="P114" s="53"/>
      <c r="Q114" s="53"/>
      <c r="R114" s="57"/>
      <c r="S114" s="53"/>
      <c r="T114" s="53"/>
      <c r="U114" s="716"/>
      <c r="V114" s="53"/>
      <c r="W114" s="53"/>
      <c r="X114" s="53"/>
      <c r="Y114" s="53"/>
      <c r="Z114" s="53"/>
      <c r="AA114" s="56"/>
      <c r="AB114" s="54"/>
      <c r="AC114" s="54"/>
      <c r="AD114" s="54"/>
      <c r="AE114" s="54"/>
      <c r="AF114" s="131">
        <v>11</v>
      </c>
    </row>
    <row r="115" s="131" customFormat="1" ht="11.5" customHeight="1">
      <c r="A115" s="715"/>
      <c r="B115" s="57"/>
      <c r="C115" s="57"/>
      <c r="D115" s="131"/>
      <c r="K115" s="53"/>
      <c r="L115" s="57"/>
      <c r="M115" s="57"/>
      <c r="N115" s="53"/>
      <c r="O115" s="53"/>
      <c r="P115" s="53"/>
      <c r="Q115" s="53"/>
      <c r="R115" s="57"/>
      <c r="S115" s="53"/>
      <c r="T115" s="53"/>
      <c r="U115" s="716"/>
      <c r="V115" s="53"/>
      <c r="W115" s="53"/>
      <c r="X115" s="53"/>
      <c r="Y115" s="53"/>
      <c r="Z115" s="53"/>
      <c r="AA115" s="56"/>
      <c r="AB115" s="54"/>
      <c r="AC115" s="54"/>
      <c r="AD115" s="54"/>
      <c r="AE115" s="54"/>
      <c r="AF115" s="131">
        <v>11</v>
      </c>
    </row>
    <row r="116" s="131" customFormat="1" ht="11.5" customHeight="1">
      <c r="A116" s="715"/>
      <c r="B116" s="57"/>
      <c r="C116" s="57"/>
      <c r="D116" s="131"/>
      <c r="K116" s="53"/>
      <c r="L116" s="57"/>
      <c r="M116" s="57"/>
      <c r="N116" s="53"/>
      <c r="O116" s="53"/>
      <c r="P116" s="53"/>
      <c r="Q116" s="53"/>
      <c r="R116" s="57"/>
      <c r="S116" s="53"/>
      <c r="T116" s="53"/>
      <c r="U116" s="716"/>
      <c r="V116" s="53"/>
      <c r="W116" s="53"/>
      <c r="X116" s="53"/>
      <c r="Y116" s="53"/>
      <c r="Z116" s="53"/>
      <c r="AA116" s="56"/>
      <c r="AB116" s="54"/>
      <c r="AC116" s="54"/>
      <c r="AD116" s="54"/>
      <c r="AE116" s="54"/>
      <c r="AF116" s="131">
        <v>11</v>
      </c>
    </row>
    <row r="117" s="131" customFormat="1" ht="11.5" customHeight="1">
      <c r="A117" s="715"/>
      <c r="B117" s="57"/>
      <c r="C117" s="57"/>
      <c r="D117" s="131"/>
      <c r="K117" s="53"/>
      <c r="L117" s="57"/>
      <c r="M117" s="57"/>
      <c r="N117" s="53"/>
      <c r="O117" s="53"/>
      <c r="P117" s="53"/>
      <c r="Q117" s="53"/>
      <c r="R117" s="57"/>
      <c r="S117" s="53"/>
      <c r="T117" s="53"/>
      <c r="U117" s="716"/>
      <c r="V117" s="53"/>
      <c r="W117" s="53"/>
      <c r="X117" s="53"/>
      <c r="Y117" s="53"/>
      <c r="Z117" s="53"/>
      <c r="AA117" s="56"/>
      <c r="AB117" s="54"/>
      <c r="AC117" s="54"/>
      <c r="AD117" s="54"/>
      <c r="AE117" s="54"/>
      <c r="AF117" s="131">
        <v>11</v>
      </c>
    </row>
    <row r="118" s="131" customFormat="1" ht="11.5" customHeight="1">
      <c r="A118" s="715"/>
      <c r="B118" s="57"/>
      <c r="C118" s="57"/>
      <c r="D118" s="131"/>
      <c r="K118" s="53"/>
      <c r="L118" s="57"/>
      <c r="M118" s="57"/>
      <c r="N118" s="53"/>
      <c r="O118" s="53"/>
      <c r="P118" s="53"/>
      <c r="Q118" s="53"/>
      <c r="R118" s="57"/>
      <c r="S118" s="53"/>
      <c r="T118" s="53"/>
      <c r="U118" s="716"/>
      <c r="V118" s="53"/>
      <c r="W118" s="53"/>
      <c r="X118" s="53"/>
      <c r="Y118" s="53"/>
      <c r="Z118" s="53"/>
      <c r="AA118" s="56"/>
      <c r="AB118" s="54"/>
      <c r="AC118" s="54"/>
      <c r="AD118" s="54"/>
      <c r="AE118" s="54"/>
      <c r="AF118" s="131">
        <v>11</v>
      </c>
    </row>
    <row r="119" s="131" customFormat="1" ht="11.5" customHeight="1">
      <c r="A119" s="715"/>
      <c r="B119" s="57"/>
      <c r="C119" s="57"/>
      <c r="D119" s="131"/>
      <c r="K119" s="53"/>
      <c r="L119" s="57"/>
      <c r="M119" s="57"/>
      <c r="N119" s="53"/>
      <c r="O119" s="53"/>
      <c r="P119" s="53"/>
      <c r="Q119" s="53"/>
      <c r="R119" s="57"/>
      <c r="S119" s="53"/>
      <c r="T119" s="53"/>
      <c r="U119" s="716"/>
      <c r="V119" s="53"/>
      <c r="W119" s="53"/>
      <c r="X119" s="53"/>
      <c r="Y119" s="53"/>
      <c r="Z119" s="53"/>
      <c r="AA119" s="56"/>
      <c r="AB119" s="54"/>
      <c r="AC119" s="54"/>
      <c r="AD119" s="54"/>
      <c r="AE119" s="54"/>
      <c r="AF119" s="131">
        <v>11</v>
      </c>
    </row>
    <row r="120" s="131" customFormat="1" ht="11.5" customHeight="1">
      <c r="A120" s="715"/>
      <c r="B120" s="57"/>
      <c r="C120" s="57"/>
      <c r="D120" s="131"/>
      <c r="K120" s="53"/>
      <c r="L120" s="57"/>
      <c r="M120" s="57"/>
      <c r="N120" s="53"/>
      <c r="O120" s="53"/>
      <c r="P120" s="53"/>
      <c r="Q120" s="53"/>
      <c r="R120" s="57"/>
      <c r="S120" s="53"/>
      <c r="T120" s="53"/>
      <c r="U120" s="716"/>
      <c r="V120" s="53"/>
      <c r="W120" s="53"/>
      <c r="X120" s="53"/>
      <c r="Y120" s="53"/>
      <c r="Z120" s="53"/>
      <c r="AA120" s="56"/>
      <c r="AB120" s="54"/>
      <c r="AC120" s="54"/>
      <c r="AD120" s="54"/>
      <c r="AE120" s="54"/>
      <c r="AF120" s="131">
        <v>11</v>
      </c>
    </row>
    <row r="121" s="131" customFormat="1" ht="11.5" customHeight="1">
      <c r="A121" s="715"/>
      <c r="B121" s="57"/>
      <c r="C121" s="57"/>
      <c r="D121" s="131"/>
      <c r="K121" s="53"/>
      <c r="L121" s="57"/>
      <c r="M121" s="57"/>
      <c r="N121" s="53"/>
      <c r="O121" s="53"/>
      <c r="P121" s="53"/>
      <c r="Q121" s="53"/>
      <c r="R121" s="57"/>
      <c r="S121" s="53"/>
      <c r="T121" s="53"/>
      <c r="U121" s="716"/>
      <c r="V121" s="53"/>
      <c r="W121" s="53"/>
      <c r="X121" s="53"/>
      <c r="Y121" s="53"/>
      <c r="Z121" s="53"/>
      <c r="AA121" s="56"/>
      <c r="AB121" s="54"/>
      <c r="AC121" s="54"/>
      <c r="AD121" s="54"/>
      <c r="AE121" s="54"/>
      <c r="AF121" s="131">
        <v>11</v>
      </c>
    </row>
    <row r="122" s="131" customFormat="1" ht="11.5" customHeight="1">
      <c r="A122" s="715"/>
      <c r="B122" s="57"/>
      <c r="C122" s="57"/>
      <c r="D122" s="131"/>
      <c r="K122" s="53"/>
      <c r="L122" s="57"/>
      <c r="M122" s="57"/>
      <c r="N122" s="53"/>
      <c r="O122" s="53"/>
      <c r="P122" s="53"/>
      <c r="Q122" s="53"/>
      <c r="R122" s="57"/>
      <c r="S122" s="53"/>
      <c r="T122" s="53"/>
      <c r="U122" s="716"/>
      <c r="V122" s="53"/>
      <c r="W122" s="53"/>
      <c r="X122" s="53"/>
      <c r="Y122" s="53"/>
      <c r="Z122" s="53"/>
      <c r="AA122" s="56"/>
      <c r="AB122" s="54"/>
      <c r="AC122" s="54"/>
      <c r="AD122" s="54"/>
      <c r="AE122" s="54"/>
      <c r="AF122" s="131">
        <v>11</v>
      </c>
    </row>
    <row r="123" s="131" customFormat="1" ht="11.5" customHeight="1">
      <c r="A123" s="715"/>
      <c r="B123" s="57"/>
      <c r="C123" s="57"/>
      <c r="D123" s="131"/>
      <c r="K123" s="53"/>
      <c r="L123" s="57"/>
      <c r="M123" s="57"/>
      <c r="N123" s="53"/>
      <c r="O123" s="53"/>
      <c r="P123" s="53"/>
      <c r="Q123" s="53"/>
      <c r="R123" s="57"/>
      <c r="S123" s="53"/>
      <c r="T123" s="53"/>
      <c r="U123" s="716"/>
      <c r="V123" s="53"/>
      <c r="W123" s="53"/>
      <c r="X123" s="53"/>
      <c r="Y123" s="53"/>
      <c r="Z123" s="53"/>
      <c r="AA123" s="56"/>
      <c r="AB123" s="54"/>
      <c r="AC123" s="54"/>
      <c r="AD123" s="54"/>
      <c r="AE123" s="54"/>
      <c r="AF123" s="131">
        <v>11</v>
      </c>
    </row>
    <row r="124" s="131" customFormat="1" ht="11.5" customHeight="1">
      <c r="A124" s="715"/>
      <c r="B124" s="57"/>
      <c r="C124" s="57"/>
      <c r="D124" s="131"/>
      <c r="K124" s="53"/>
      <c r="L124" s="57"/>
      <c r="M124" s="57"/>
      <c r="N124" s="53"/>
      <c r="O124" s="53"/>
      <c r="P124" s="53"/>
      <c r="Q124" s="53"/>
      <c r="R124" s="57"/>
      <c r="S124" s="53"/>
      <c r="T124" s="53"/>
      <c r="U124" s="716"/>
      <c r="V124" s="53"/>
      <c r="W124" s="53"/>
      <c r="X124" s="53"/>
      <c r="Y124" s="53"/>
      <c r="Z124" s="53"/>
      <c r="AA124" s="56"/>
      <c r="AB124" s="54"/>
      <c r="AC124" s="54"/>
      <c r="AD124" s="54"/>
      <c r="AE124" s="54"/>
      <c r="AF124" s="131">
        <v>11</v>
      </c>
    </row>
    <row r="125" s="131" customFormat="1" ht="11.5" customHeight="1">
      <c r="A125" s="715"/>
      <c r="B125" s="57"/>
      <c r="C125" s="57"/>
      <c r="D125" s="131"/>
      <c r="K125" s="53"/>
      <c r="L125" s="57"/>
      <c r="M125" s="57"/>
      <c r="N125" s="53"/>
      <c r="O125" s="53"/>
      <c r="P125" s="53"/>
      <c r="Q125" s="53"/>
      <c r="R125" s="57"/>
      <c r="S125" s="53"/>
      <c r="T125" s="53"/>
      <c r="U125" s="716"/>
      <c r="V125" s="53"/>
      <c r="W125" s="53"/>
      <c r="X125" s="53"/>
      <c r="Y125" s="53"/>
      <c r="Z125" s="53"/>
      <c r="AA125" s="56"/>
      <c r="AB125" s="54"/>
      <c r="AC125" s="54"/>
      <c r="AD125" s="54"/>
      <c r="AE125" s="54"/>
      <c r="AF125" s="131">
        <v>11</v>
      </c>
    </row>
    <row r="126" s="131" customFormat="1" ht="11.5" customHeight="1">
      <c r="A126" s="715"/>
      <c r="B126" s="57"/>
      <c r="C126" s="57"/>
      <c r="D126" s="131"/>
      <c r="K126" s="53"/>
      <c r="L126" s="57"/>
      <c r="M126" s="57"/>
      <c r="N126" s="53"/>
      <c r="O126" s="53"/>
      <c r="P126" s="53"/>
      <c r="Q126" s="53"/>
      <c r="R126" s="57"/>
      <c r="S126" s="53"/>
      <c r="T126" s="53"/>
      <c r="U126" s="716"/>
      <c r="V126" s="53"/>
      <c r="W126" s="53"/>
      <c r="X126" s="53"/>
      <c r="Y126" s="53"/>
      <c r="Z126" s="53"/>
      <c r="AA126" s="56"/>
      <c r="AB126" s="54"/>
      <c r="AC126" s="54"/>
      <c r="AD126" s="54"/>
      <c r="AE126" s="54"/>
      <c r="AF126" s="131">
        <v>11</v>
      </c>
    </row>
    <row r="127" s="131" customFormat="1" ht="11.5" customHeight="1">
      <c r="A127" s="715"/>
      <c r="B127" s="57"/>
      <c r="C127" s="57"/>
      <c r="D127" s="131"/>
      <c r="K127" s="53"/>
      <c r="L127" s="57"/>
      <c r="M127" s="57"/>
      <c r="N127" s="53"/>
      <c r="O127" s="53"/>
      <c r="P127" s="53"/>
      <c r="Q127" s="53"/>
      <c r="R127" s="57"/>
      <c r="S127" s="53"/>
      <c r="T127" s="53"/>
      <c r="U127" s="716"/>
      <c r="V127" s="53"/>
      <c r="W127" s="53"/>
      <c r="X127" s="53"/>
      <c r="Y127" s="53"/>
      <c r="Z127" s="53"/>
      <c r="AA127" s="56"/>
      <c r="AB127" s="54"/>
      <c r="AC127" s="54"/>
      <c r="AD127" s="54"/>
      <c r="AE127" s="54"/>
      <c r="AF127" s="131">
        <v>11</v>
      </c>
    </row>
    <row r="128" s="131" customFormat="1" ht="11.5" customHeight="1">
      <c r="A128" s="715"/>
      <c r="B128" s="57"/>
      <c r="C128" s="57"/>
      <c r="D128" s="131"/>
      <c r="K128" s="53"/>
      <c r="L128" s="57"/>
      <c r="M128" s="57"/>
      <c r="N128" s="53"/>
      <c r="O128" s="53"/>
      <c r="P128" s="53"/>
      <c r="Q128" s="53"/>
      <c r="R128" s="57"/>
      <c r="S128" s="53"/>
      <c r="T128" s="53"/>
      <c r="U128" s="716"/>
      <c r="V128" s="53"/>
      <c r="W128" s="53"/>
      <c r="X128" s="53"/>
      <c r="Y128" s="53"/>
      <c r="Z128" s="53"/>
      <c r="AA128" s="56"/>
      <c r="AB128" s="54"/>
      <c r="AC128" s="54"/>
      <c r="AD128" s="54"/>
      <c r="AE128" s="54"/>
      <c r="AF128" s="131">
        <v>11</v>
      </c>
    </row>
    <row r="129" s="131" customFormat="1" ht="11.5" customHeight="1">
      <c r="A129" s="715"/>
      <c r="B129" s="57"/>
      <c r="C129" s="57"/>
      <c r="D129" s="131"/>
      <c r="K129" s="53"/>
      <c r="L129" s="57"/>
      <c r="M129" s="57"/>
      <c r="N129" s="53"/>
      <c r="O129" s="53"/>
      <c r="P129" s="53"/>
      <c r="Q129" s="53"/>
      <c r="R129" s="57"/>
      <c r="S129" s="53"/>
      <c r="T129" s="53"/>
      <c r="U129" s="716"/>
      <c r="V129" s="53"/>
      <c r="W129" s="53"/>
      <c r="X129" s="53"/>
      <c r="Y129" s="53"/>
      <c r="Z129" s="53"/>
      <c r="AA129" s="56"/>
      <c r="AB129" s="54"/>
      <c r="AC129" s="54"/>
      <c r="AD129" s="54"/>
      <c r="AE129" s="54"/>
      <c r="AF129" s="131">
        <v>11</v>
      </c>
    </row>
    <row r="130" s="131" customFormat="1" ht="11.5" customHeight="1">
      <c r="A130" s="715"/>
      <c r="B130" s="57"/>
      <c r="C130" s="57"/>
      <c r="D130" s="131"/>
      <c r="K130" s="53"/>
      <c r="L130" s="57"/>
      <c r="M130" s="57"/>
      <c r="N130" s="53"/>
      <c r="O130" s="53"/>
      <c r="P130" s="53"/>
      <c r="Q130" s="53"/>
      <c r="R130" s="57"/>
      <c r="S130" s="53"/>
      <c r="T130" s="53"/>
      <c r="U130" s="716"/>
      <c r="V130" s="53"/>
      <c r="W130" s="53"/>
      <c r="X130" s="53"/>
      <c r="Y130" s="53"/>
      <c r="Z130" s="53"/>
      <c r="AA130" s="56"/>
      <c r="AB130" s="54"/>
      <c r="AC130" s="54"/>
      <c r="AD130" s="54"/>
      <c r="AE130" s="54"/>
      <c r="AF130" s="131">
        <v>11</v>
      </c>
    </row>
    <row r="131" s="131" customFormat="1" ht="11.5" customHeight="1">
      <c r="A131" s="715"/>
      <c r="B131" s="57"/>
      <c r="C131" s="57"/>
      <c r="D131" s="131"/>
      <c r="K131" s="53"/>
      <c r="L131" s="57"/>
      <c r="M131" s="57"/>
      <c r="N131" s="53"/>
      <c r="O131" s="53"/>
      <c r="P131" s="53"/>
      <c r="Q131" s="53"/>
      <c r="R131" s="57"/>
      <c r="S131" s="53"/>
      <c r="T131" s="53"/>
      <c r="U131" s="716"/>
      <c r="V131" s="53"/>
      <c r="W131" s="53"/>
      <c r="X131" s="53"/>
      <c r="Y131" s="53"/>
      <c r="Z131" s="53"/>
      <c r="AA131" s="56"/>
      <c r="AB131" s="54"/>
      <c r="AC131" s="54"/>
      <c r="AD131" s="54"/>
      <c r="AE131" s="54"/>
      <c r="AF131" s="131">
        <v>11</v>
      </c>
    </row>
    <row r="132" s="131" customFormat="1" ht="11.5" customHeight="1">
      <c r="A132" s="715"/>
      <c r="B132" s="57"/>
      <c r="C132" s="57"/>
      <c r="D132" s="131"/>
      <c r="K132" s="53"/>
      <c r="L132" s="57"/>
      <c r="M132" s="57"/>
      <c r="N132" s="53"/>
      <c r="O132" s="53"/>
      <c r="P132" s="53"/>
      <c r="Q132" s="53"/>
      <c r="R132" s="57"/>
      <c r="S132" s="53"/>
      <c r="T132" s="53"/>
      <c r="U132" s="716"/>
      <c r="V132" s="53"/>
      <c r="W132" s="53"/>
      <c r="X132" s="53"/>
      <c r="Y132" s="53"/>
      <c r="Z132" s="53"/>
      <c r="AA132" s="56"/>
      <c r="AB132" s="54"/>
      <c r="AC132" s="54"/>
      <c r="AD132" s="54"/>
      <c r="AE132" s="54"/>
      <c r="AF132" s="131">
        <v>11</v>
      </c>
    </row>
    <row r="133" s="131" customFormat="1" ht="11.5" customHeight="1">
      <c r="A133" s="715"/>
      <c r="B133" s="57"/>
      <c r="C133" s="57"/>
      <c r="D133" s="131"/>
      <c r="K133" s="53"/>
      <c r="L133" s="57"/>
      <c r="M133" s="57"/>
      <c r="N133" s="53"/>
      <c r="O133" s="53"/>
      <c r="P133" s="53"/>
      <c r="Q133" s="53"/>
      <c r="R133" s="57"/>
      <c r="S133" s="53"/>
      <c r="T133" s="53"/>
      <c r="U133" s="716"/>
      <c r="V133" s="53"/>
      <c r="W133" s="53"/>
      <c r="X133" s="53"/>
      <c r="Y133" s="53"/>
      <c r="Z133" s="53"/>
      <c r="AA133" s="56"/>
      <c r="AB133" s="54"/>
      <c r="AC133" s="54"/>
      <c r="AD133" s="54"/>
      <c r="AE133" s="54"/>
      <c r="AF133" s="131">
        <v>11</v>
      </c>
    </row>
    <row r="134" s="131" customFormat="1" ht="11.5" customHeight="1">
      <c r="A134" s="715"/>
      <c r="B134" s="57"/>
      <c r="C134" s="57"/>
      <c r="D134" s="131"/>
      <c r="K134" s="53"/>
      <c r="L134" s="57"/>
      <c r="M134" s="57"/>
      <c r="N134" s="53"/>
      <c r="O134" s="53"/>
      <c r="P134" s="53"/>
      <c r="Q134" s="53"/>
      <c r="R134" s="57"/>
      <c r="S134" s="53"/>
      <c r="T134" s="53"/>
      <c r="U134" s="716"/>
      <c r="V134" s="53"/>
      <c r="W134" s="53"/>
      <c r="X134" s="53"/>
      <c r="Y134" s="53"/>
      <c r="Z134" s="53"/>
      <c r="AA134" s="56"/>
      <c r="AB134" s="54"/>
      <c r="AC134" s="54"/>
      <c r="AD134" s="54"/>
      <c r="AE134" s="54"/>
      <c r="AF134" s="131">
        <v>11</v>
      </c>
    </row>
    <row r="135" s="131" customFormat="1" ht="11.5" customHeight="1">
      <c r="A135" s="715"/>
      <c r="B135" s="57"/>
      <c r="C135" s="57"/>
      <c r="D135" s="131"/>
      <c r="K135" s="53"/>
      <c r="L135" s="57"/>
      <c r="M135" s="57"/>
      <c r="N135" s="53"/>
      <c r="O135" s="53"/>
      <c r="P135" s="53"/>
      <c r="Q135" s="53"/>
      <c r="R135" s="57"/>
      <c r="S135" s="53"/>
      <c r="T135" s="53"/>
      <c r="U135" s="716"/>
      <c r="V135" s="53"/>
      <c r="W135" s="53"/>
      <c r="X135" s="53"/>
      <c r="Y135" s="53"/>
      <c r="Z135" s="53"/>
      <c r="AA135" s="56"/>
      <c r="AB135" s="54"/>
      <c r="AC135" s="54"/>
      <c r="AD135" s="54"/>
      <c r="AE135" s="54"/>
      <c r="AF135" s="131">
        <v>11</v>
      </c>
    </row>
    <row r="136" s="131" customFormat="1" ht="11.5" customHeight="1">
      <c r="A136" s="715"/>
      <c r="B136" s="57"/>
      <c r="C136" s="57"/>
      <c r="D136" s="131"/>
      <c r="K136" s="53"/>
      <c r="L136" s="57"/>
      <c r="M136" s="57"/>
      <c r="N136" s="53"/>
      <c r="O136" s="53"/>
      <c r="P136" s="53"/>
      <c r="Q136" s="53"/>
      <c r="R136" s="57"/>
      <c r="S136" s="53"/>
      <c r="T136" s="53"/>
      <c r="U136" s="716"/>
      <c r="V136" s="53"/>
      <c r="W136" s="53"/>
      <c r="X136" s="53"/>
      <c r="Y136" s="53"/>
      <c r="Z136" s="53"/>
      <c r="AA136" s="56"/>
      <c r="AB136" s="54"/>
      <c r="AC136" s="54"/>
      <c r="AD136" s="54"/>
      <c r="AE136" s="54"/>
      <c r="AF136" s="131">
        <v>11</v>
      </c>
    </row>
    <row r="137" s="131" customFormat="1" ht="11.5" customHeight="1">
      <c r="A137" s="715"/>
      <c r="B137" s="57"/>
      <c r="C137" s="57"/>
      <c r="D137" s="131"/>
      <c r="K137" s="53"/>
      <c r="L137" s="57"/>
      <c r="M137" s="57"/>
      <c r="N137" s="53"/>
      <c r="O137" s="53"/>
      <c r="P137" s="53"/>
      <c r="Q137" s="53"/>
      <c r="R137" s="57"/>
      <c r="S137" s="53"/>
      <c r="T137" s="53"/>
      <c r="U137" s="716"/>
      <c r="V137" s="53"/>
      <c r="W137" s="53"/>
      <c r="X137" s="53"/>
      <c r="Y137" s="53"/>
      <c r="Z137" s="53"/>
      <c r="AA137" s="56"/>
      <c r="AB137" s="54"/>
      <c r="AC137" s="54"/>
      <c r="AD137" s="54"/>
      <c r="AE137" s="54"/>
      <c r="AF137" s="131">
        <v>11</v>
      </c>
    </row>
    <row r="138" s="131" customFormat="1" ht="11.5" customHeight="1">
      <c r="A138" s="715"/>
      <c r="B138" s="57"/>
      <c r="C138" s="57"/>
      <c r="D138" s="131"/>
      <c r="K138" s="53"/>
      <c r="L138" s="57"/>
      <c r="M138" s="57"/>
      <c r="N138" s="53"/>
      <c r="O138" s="53"/>
      <c r="P138" s="53"/>
      <c r="Q138" s="53"/>
      <c r="R138" s="57"/>
      <c r="S138" s="53"/>
      <c r="T138" s="53"/>
      <c r="U138" s="716"/>
      <c r="V138" s="53"/>
      <c r="W138" s="53"/>
      <c r="X138" s="53"/>
      <c r="Y138" s="53"/>
      <c r="Z138" s="53"/>
      <c r="AA138" s="56"/>
      <c r="AB138" s="54"/>
      <c r="AC138" s="54"/>
      <c r="AD138" s="54"/>
      <c r="AE138" s="54"/>
      <c r="AF138" s="131">
        <v>11</v>
      </c>
    </row>
    <row r="139" s="131" customFormat="1" ht="11.5" customHeight="1">
      <c r="A139" s="715"/>
      <c r="B139" s="57"/>
      <c r="C139" s="57"/>
      <c r="D139" s="131"/>
      <c r="K139" s="53"/>
      <c r="L139" s="57"/>
      <c r="M139" s="57"/>
      <c r="N139" s="53"/>
      <c r="O139" s="53"/>
      <c r="P139" s="53"/>
      <c r="Q139" s="53"/>
      <c r="R139" s="57"/>
      <c r="S139" s="53"/>
      <c r="T139" s="53"/>
      <c r="U139" s="716"/>
      <c r="V139" s="53"/>
      <c r="W139" s="53"/>
      <c r="X139" s="53"/>
      <c r="Y139" s="53"/>
      <c r="Z139" s="53"/>
      <c r="AA139" s="56"/>
      <c r="AB139" s="54"/>
      <c r="AC139" s="54"/>
      <c r="AD139" s="54"/>
      <c r="AE139" s="54"/>
      <c r="AF139" s="131">
        <v>11</v>
      </c>
    </row>
    <row r="140" s="131" customFormat="1" ht="11.5" customHeight="1">
      <c r="A140" s="715"/>
      <c r="B140" s="57"/>
      <c r="C140" s="57"/>
      <c r="D140" s="131"/>
      <c r="K140" s="53"/>
      <c r="L140" s="57"/>
      <c r="M140" s="57"/>
      <c r="N140" s="53"/>
      <c r="O140" s="53"/>
      <c r="P140" s="53"/>
      <c r="Q140" s="53"/>
      <c r="R140" s="57"/>
      <c r="S140" s="53"/>
      <c r="T140" s="53"/>
      <c r="U140" s="716"/>
      <c r="V140" s="53"/>
      <c r="W140" s="53"/>
      <c r="X140" s="53"/>
      <c r="Y140" s="53"/>
      <c r="Z140" s="53"/>
      <c r="AA140" s="56"/>
      <c r="AB140" s="54"/>
      <c r="AC140" s="54"/>
      <c r="AD140" s="54"/>
      <c r="AE140" s="54"/>
      <c r="AF140" s="131">
        <v>11</v>
      </c>
    </row>
    <row r="141" s="131" customFormat="1" ht="11.5" customHeight="1">
      <c r="A141" s="715"/>
      <c r="B141" s="57"/>
      <c r="C141" s="57"/>
      <c r="D141" s="131"/>
      <c r="K141" s="53"/>
      <c r="L141" s="57"/>
      <c r="M141" s="57"/>
      <c r="N141" s="53"/>
      <c r="O141" s="53"/>
      <c r="P141" s="53"/>
      <c r="Q141" s="53"/>
      <c r="R141" s="57"/>
      <c r="S141" s="53"/>
      <c r="T141" s="53"/>
      <c r="U141" s="716"/>
      <c r="V141" s="53"/>
      <c r="W141" s="53"/>
      <c r="X141" s="53"/>
      <c r="Y141" s="53"/>
      <c r="Z141" s="53"/>
      <c r="AA141" s="56"/>
      <c r="AB141" s="54"/>
      <c r="AC141" s="54"/>
      <c r="AD141" s="54"/>
      <c r="AE141" s="54"/>
      <c r="AF141" s="131">
        <v>11</v>
      </c>
    </row>
    <row r="142" s="131" customFormat="1" ht="11.5" customHeight="1">
      <c r="A142" s="715"/>
      <c r="B142" s="57"/>
      <c r="C142" s="57"/>
      <c r="D142" s="131"/>
      <c r="K142" s="53"/>
      <c r="L142" s="57"/>
      <c r="M142" s="57"/>
      <c r="N142" s="53"/>
      <c r="O142" s="53"/>
      <c r="P142" s="53"/>
      <c r="Q142" s="53"/>
      <c r="R142" s="57"/>
      <c r="S142" s="53"/>
      <c r="T142" s="53"/>
      <c r="U142" s="716"/>
      <c r="V142" s="53"/>
      <c r="W142" s="53"/>
      <c r="X142" s="53"/>
      <c r="Y142" s="53"/>
      <c r="Z142" s="53"/>
      <c r="AA142" s="56"/>
      <c r="AB142" s="54"/>
      <c r="AC142" s="54"/>
      <c r="AD142" s="54"/>
      <c r="AE142" s="54"/>
      <c r="AF142" s="131">
        <v>11</v>
      </c>
    </row>
    <row r="143" s="131" customFormat="1" ht="11.5" customHeight="1">
      <c r="A143" s="715"/>
      <c r="B143" s="57"/>
      <c r="C143" s="57"/>
      <c r="D143" s="131"/>
      <c r="K143" s="53"/>
      <c r="L143" s="57"/>
      <c r="M143" s="57"/>
      <c r="N143" s="53"/>
      <c r="O143" s="53"/>
      <c r="P143" s="53"/>
      <c r="Q143" s="53"/>
      <c r="R143" s="57"/>
      <c r="S143" s="53"/>
      <c r="T143" s="53"/>
      <c r="U143" s="716"/>
      <c r="V143" s="53"/>
      <c r="W143" s="53"/>
      <c r="X143" s="53"/>
      <c r="Y143" s="53"/>
      <c r="Z143" s="53"/>
      <c r="AA143" s="56"/>
      <c r="AB143" s="54"/>
      <c r="AC143" s="54"/>
      <c r="AD143" s="54"/>
      <c r="AE143" s="54"/>
      <c r="AF143" s="131">
        <v>11</v>
      </c>
    </row>
    <row r="144" s="131" customFormat="1" ht="11.5" customHeight="1">
      <c r="A144" s="715"/>
      <c r="B144" s="57"/>
      <c r="C144" s="57"/>
      <c r="D144" s="131"/>
      <c r="K144" s="53"/>
      <c r="L144" s="57"/>
      <c r="M144" s="57"/>
      <c r="N144" s="53"/>
      <c r="O144" s="53"/>
      <c r="P144" s="53"/>
      <c r="Q144" s="53"/>
      <c r="R144" s="57"/>
      <c r="S144" s="53"/>
      <c r="T144" s="53"/>
      <c r="U144" s="716"/>
      <c r="V144" s="53"/>
      <c r="W144" s="53"/>
      <c r="X144" s="53"/>
      <c r="Y144" s="53"/>
      <c r="Z144" s="53"/>
      <c r="AA144" s="56"/>
      <c r="AB144" s="54"/>
      <c r="AC144" s="54"/>
      <c r="AD144" s="54"/>
      <c r="AE144" s="54"/>
      <c r="AF144" s="131">
        <v>11</v>
      </c>
    </row>
    <row r="145" s="131" customFormat="1" ht="11.5" customHeight="1">
      <c r="A145" s="715"/>
      <c r="B145" s="57"/>
      <c r="C145" s="57"/>
      <c r="D145" s="131"/>
      <c r="K145" s="53"/>
      <c r="L145" s="57"/>
      <c r="M145" s="57"/>
      <c r="N145" s="53"/>
      <c r="O145" s="53"/>
      <c r="P145" s="53"/>
      <c r="Q145" s="53"/>
      <c r="R145" s="57"/>
      <c r="S145" s="53"/>
      <c r="T145" s="53"/>
      <c r="U145" s="716"/>
      <c r="V145" s="53"/>
      <c r="W145" s="53"/>
      <c r="X145" s="53"/>
      <c r="Y145" s="53"/>
      <c r="Z145" s="53"/>
      <c r="AA145" s="56"/>
      <c r="AB145" s="54"/>
      <c r="AC145" s="54"/>
      <c r="AD145" s="54"/>
      <c r="AE145" s="54"/>
      <c r="AF145" s="131">
        <v>11</v>
      </c>
    </row>
    <row r="146" s="131" customFormat="1" ht="11.5" customHeight="1">
      <c r="A146" s="715"/>
      <c r="B146" s="57"/>
      <c r="C146" s="57"/>
      <c r="D146" s="131"/>
      <c r="K146" s="53"/>
      <c r="L146" s="57"/>
      <c r="M146" s="57"/>
      <c r="N146" s="53"/>
      <c r="O146" s="53"/>
      <c r="P146" s="53"/>
      <c r="Q146" s="53"/>
      <c r="R146" s="57"/>
      <c r="S146" s="53"/>
      <c r="T146" s="53"/>
      <c r="U146" s="716"/>
      <c r="V146" s="53"/>
      <c r="W146" s="53"/>
      <c r="X146" s="53"/>
      <c r="Y146" s="53"/>
      <c r="Z146" s="53"/>
      <c r="AA146" s="56"/>
      <c r="AB146" s="54"/>
      <c r="AC146" s="54"/>
      <c r="AD146" s="54"/>
      <c r="AE146" s="54"/>
      <c r="AF146" s="131">
        <v>11</v>
      </c>
    </row>
    <row r="147" s="131" customFormat="1" ht="11.5" customHeight="1">
      <c r="A147" s="715"/>
      <c r="B147" s="57"/>
      <c r="C147" s="57"/>
      <c r="D147" s="131"/>
      <c r="K147" s="53"/>
      <c r="L147" s="57"/>
      <c r="M147" s="57"/>
      <c r="N147" s="53"/>
      <c r="O147" s="53"/>
      <c r="P147" s="53"/>
      <c r="Q147" s="53"/>
      <c r="R147" s="57"/>
      <c r="S147" s="53"/>
      <c r="T147" s="53"/>
      <c r="U147" s="716"/>
      <c r="V147" s="53"/>
      <c r="W147" s="53"/>
      <c r="X147" s="53"/>
      <c r="Y147" s="53"/>
      <c r="Z147" s="53"/>
      <c r="AA147" s="56"/>
      <c r="AB147" s="54"/>
      <c r="AC147" s="54"/>
      <c r="AD147" s="54"/>
      <c r="AE147" s="54"/>
      <c r="AF147" s="131">
        <v>11</v>
      </c>
    </row>
    <row r="148" s="131" customFormat="1" ht="11.5" customHeight="1">
      <c r="A148" s="715"/>
      <c r="B148" s="57"/>
      <c r="C148" s="57"/>
      <c r="D148" s="131"/>
      <c r="K148" s="53"/>
      <c r="L148" s="57"/>
      <c r="M148" s="57"/>
      <c r="N148" s="53"/>
      <c r="O148" s="53"/>
      <c r="P148" s="53"/>
      <c r="Q148" s="53"/>
      <c r="R148" s="57"/>
      <c r="S148" s="53"/>
      <c r="T148" s="53"/>
      <c r="U148" s="716"/>
      <c r="V148" s="53"/>
      <c r="W148" s="53"/>
      <c r="X148" s="53"/>
      <c r="Y148" s="53"/>
      <c r="Z148" s="53"/>
      <c r="AA148" s="56"/>
      <c r="AB148" s="54"/>
      <c r="AC148" s="54"/>
      <c r="AD148" s="54"/>
      <c r="AE148" s="54"/>
      <c r="AF148" s="131">
        <v>11</v>
      </c>
    </row>
    <row r="149" s="131" customFormat="1" ht="11.5" customHeight="1">
      <c r="A149" s="715"/>
      <c r="B149" s="57"/>
      <c r="C149" s="57"/>
      <c r="D149" s="131"/>
      <c r="K149" s="53"/>
      <c r="L149" s="57"/>
      <c r="M149" s="57"/>
      <c r="N149" s="53"/>
      <c r="O149" s="53"/>
      <c r="P149" s="53"/>
      <c r="Q149" s="53"/>
      <c r="R149" s="57"/>
      <c r="S149" s="53"/>
      <c r="T149" s="53"/>
      <c r="U149" s="716"/>
      <c r="V149" s="53"/>
      <c r="W149" s="53"/>
      <c r="X149" s="53"/>
      <c r="Y149" s="53"/>
      <c r="Z149" s="53"/>
      <c r="AA149" s="56"/>
      <c r="AB149" s="54"/>
      <c r="AC149" s="54"/>
      <c r="AD149" s="54"/>
      <c r="AE149" s="54"/>
      <c r="AF149" s="131">
        <v>11</v>
      </c>
    </row>
    <row r="150" s="131" customFormat="1" ht="11.5" customHeight="1">
      <c r="A150" s="715"/>
      <c r="B150" s="57"/>
      <c r="C150" s="57"/>
      <c r="D150" s="131"/>
      <c r="K150" s="53"/>
      <c r="L150" s="57"/>
      <c r="M150" s="57"/>
      <c r="N150" s="53"/>
      <c r="O150" s="53"/>
      <c r="P150" s="53"/>
      <c r="Q150" s="53"/>
      <c r="R150" s="57"/>
      <c r="S150" s="53"/>
      <c r="T150" s="53"/>
      <c r="U150" s="716"/>
      <c r="V150" s="53"/>
      <c r="W150" s="53"/>
      <c r="X150" s="53"/>
      <c r="Y150" s="53"/>
      <c r="Z150" s="53"/>
      <c r="AA150" s="56"/>
      <c r="AB150" s="54"/>
      <c r="AC150" s="54"/>
      <c r="AD150" s="54"/>
      <c r="AE150" s="54"/>
      <c r="AF150" s="131">
        <v>11</v>
      </c>
    </row>
    <row r="151" s="131" customFormat="1" ht="11.5" customHeight="1">
      <c r="A151" s="715"/>
      <c r="B151" s="57"/>
      <c r="C151" s="57"/>
      <c r="D151" s="131"/>
      <c r="K151" s="53"/>
      <c r="L151" s="57"/>
      <c r="M151" s="57"/>
      <c r="N151" s="53"/>
      <c r="O151" s="53"/>
      <c r="P151" s="53"/>
      <c r="Q151" s="53"/>
      <c r="R151" s="57"/>
      <c r="S151" s="53"/>
      <c r="T151" s="53"/>
      <c r="U151" s="716"/>
      <c r="V151" s="53"/>
      <c r="W151" s="53"/>
      <c r="X151" s="53"/>
      <c r="Y151" s="53"/>
      <c r="Z151" s="53"/>
      <c r="AA151" s="56"/>
      <c r="AB151" s="54"/>
      <c r="AC151" s="54"/>
      <c r="AD151" s="54"/>
      <c r="AE151" s="54"/>
      <c r="AF151" s="131">
        <v>11</v>
      </c>
    </row>
    <row r="152" s="131" customFormat="1" ht="11.5" customHeight="1">
      <c r="A152" s="715"/>
      <c r="B152" s="57"/>
      <c r="C152" s="57"/>
      <c r="D152" s="131"/>
      <c r="K152" s="53"/>
      <c r="L152" s="57"/>
      <c r="M152" s="57"/>
      <c r="N152" s="53"/>
      <c r="O152" s="53"/>
      <c r="P152" s="53"/>
      <c r="Q152" s="53"/>
      <c r="R152" s="57"/>
      <c r="S152" s="53"/>
      <c r="T152" s="53"/>
      <c r="U152" s="716"/>
      <c r="V152" s="53"/>
      <c r="W152" s="53"/>
      <c r="X152" s="53"/>
      <c r="Y152" s="53"/>
      <c r="Z152" s="53"/>
      <c r="AA152" s="56"/>
      <c r="AB152" s="54"/>
      <c r="AC152" s="54"/>
      <c r="AD152" s="54"/>
      <c r="AE152" s="54"/>
      <c r="AF152" s="131">
        <v>11</v>
      </c>
    </row>
    <row r="153" s="131" customFormat="1" ht="11.5" customHeight="1">
      <c r="A153" s="715"/>
      <c r="B153" s="57"/>
      <c r="C153" s="57"/>
      <c r="D153" s="131"/>
      <c r="K153" s="53"/>
      <c r="L153" s="57"/>
      <c r="M153" s="57"/>
      <c r="N153" s="53"/>
      <c r="O153" s="53"/>
      <c r="P153" s="53"/>
      <c r="Q153" s="53"/>
      <c r="R153" s="57"/>
      <c r="S153" s="53"/>
      <c r="T153" s="53"/>
      <c r="U153" s="716"/>
      <c r="V153" s="53"/>
      <c r="W153" s="53"/>
      <c r="X153" s="53"/>
      <c r="Y153" s="53"/>
      <c r="Z153" s="53"/>
      <c r="AA153" s="56"/>
      <c r="AB153" s="54"/>
      <c r="AC153" s="54"/>
      <c r="AD153" s="54"/>
      <c r="AE153" s="54"/>
      <c r="AF153" s="131">
        <v>11</v>
      </c>
    </row>
    <row r="154" s="131" customFormat="1" ht="11.5" customHeight="1">
      <c r="A154" s="715"/>
      <c r="B154" s="57"/>
      <c r="C154" s="57"/>
      <c r="D154" s="131"/>
      <c r="K154" s="53"/>
      <c r="L154" s="57"/>
      <c r="M154" s="57"/>
      <c r="N154" s="53"/>
      <c r="O154" s="53"/>
      <c r="P154" s="53"/>
      <c r="Q154" s="53"/>
      <c r="R154" s="57"/>
      <c r="S154" s="53"/>
      <c r="T154" s="53"/>
      <c r="U154" s="716"/>
      <c r="V154" s="53"/>
      <c r="W154" s="53"/>
      <c r="X154" s="53"/>
      <c r="Y154" s="53"/>
      <c r="Z154" s="53"/>
      <c r="AA154" s="56"/>
      <c r="AB154" s="54"/>
      <c r="AC154" s="54"/>
      <c r="AD154" s="54"/>
      <c r="AE154" s="54"/>
      <c r="AF154" s="131">
        <v>11</v>
      </c>
    </row>
    <row r="155" s="131" customFormat="1" ht="11.5" customHeight="1">
      <c r="A155" s="715"/>
      <c r="B155" s="57"/>
      <c r="C155" s="57"/>
      <c r="D155" s="131"/>
      <c r="K155" s="53"/>
      <c r="L155" s="57"/>
      <c r="M155" s="57"/>
      <c r="N155" s="53"/>
      <c r="O155" s="53"/>
      <c r="P155" s="53"/>
      <c r="Q155" s="53"/>
      <c r="R155" s="57"/>
      <c r="S155" s="53"/>
      <c r="T155" s="53"/>
      <c r="U155" s="716"/>
      <c r="V155" s="53"/>
      <c r="W155" s="53"/>
      <c r="X155" s="53"/>
      <c r="Y155" s="53"/>
      <c r="Z155" s="53"/>
      <c r="AA155" s="56"/>
      <c r="AB155" s="54"/>
      <c r="AC155" s="54"/>
      <c r="AD155" s="54"/>
      <c r="AE155" s="54"/>
      <c r="AF155" s="131">
        <v>11</v>
      </c>
    </row>
    <row r="156" s="131" customFormat="1" ht="11.5" customHeight="1">
      <c r="A156" s="715"/>
      <c r="B156" s="57"/>
      <c r="C156" s="57"/>
      <c r="D156" s="131"/>
      <c r="K156" s="53"/>
      <c r="L156" s="57"/>
      <c r="M156" s="57"/>
      <c r="N156" s="53"/>
      <c r="O156" s="53"/>
      <c r="P156" s="53"/>
      <c r="Q156" s="53"/>
      <c r="R156" s="57"/>
      <c r="S156" s="53"/>
      <c r="T156" s="53"/>
      <c r="U156" s="716"/>
      <c r="V156" s="53"/>
      <c r="W156" s="53"/>
      <c r="X156" s="53"/>
      <c r="Y156" s="53"/>
      <c r="Z156" s="53"/>
      <c r="AA156" s="56"/>
      <c r="AB156" s="54"/>
      <c r="AC156" s="54"/>
      <c r="AD156" s="54"/>
      <c r="AE156" s="54"/>
      <c r="AF156" s="131">
        <v>11</v>
      </c>
    </row>
    <row r="157" s="131" customFormat="1" ht="11.5" customHeight="1">
      <c r="A157" s="715"/>
      <c r="B157" s="57"/>
      <c r="C157" s="57"/>
      <c r="D157" s="131"/>
      <c r="K157" s="53"/>
      <c r="L157" s="57"/>
      <c r="M157" s="57"/>
      <c r="N157" s="53"/>
      <c r="O157" s="53"/>
      <c r="P157" s="53"/>
      <c r="Q157" s="53"/>
      <c r="R157" s="57"/>
      <c r="S157" s="53"/>
      <c r="T157" s="53"/>
      <c r="U157" s="716"/>
      <c r="V157" s="53"/>
      <c r="W157" s="53"/>
      <c r="X157" s="53"/>
      <c r="Y157" s="53"/>
      <c r="Z157" s="53"/>
      <c r="AA157" s="56"/>
      <c r="AB157" s="54"/>
      <c r="AC157" s="54"/>
      <c r="AD157" s="54"/>
      <c r="AE157" s="54"/>
      <c r="AF157" s="131">
        <v>11</v>
      </c>
    </row>
    <row r="158" s="131" customFormat="1" ht="11.5" customHeight="1">
      <c r="A158" s="715"/>
      <c r="B158" s="57"/>
      <c r="C158" s="57"/>
      <c r="D158" s="131"/>
      <c r="K158" s="53"/>
      <c r="L158" s="57"/>
      <c r="M158" s="57"/>
      <c r="N158" s="53"/>
      <c r="O158" s="53"/>
      <c r="P158" s="53"/>
      <c r="Q158" s="53"/>
      <c r="R158" s="57"/>
      <c r="S158" s="53"/>
      <c r="T158" s="53"/>
      <c r="U158" s="716"/>
      <c r="V158" s="53"/>
      <c r="W158" s="53"/>
      <c r="X158" s="53"/>
      <c r="Y158" s="53"/>
      <c r="Z158" s="53"/>
      <c r="AA158" s="56"/>
      <c r="AB158" s="54"/>
      <c r="AC158" s="54"/>
      <c r="AD158" s="54"/>
      <c r="AE158" s="54"/>
      <c r="AF158" s="131">
        <v>11</v>
      </c>
    </row>
    <row r="159" s="131" customFormat="1" ht="11.5" customHeight="1">
      <c r="A159" s="715"/>
      <c r="B159" s="57"/>
      <c r="C159" s="57"/>
      <c r="D159" s="131"/>
      <c r="K159" s="53"/>
      <c r="L159" s="57"/>
      <c r="M159" s="57"/>
      <c r="N159" s="53"/>
      <c r="O159" s="53"/>
      <c r="P159" s="53"/>
      <c r="Q159" s="53"/>
      <c r="R159" s="57"/>
      <c r="S159" s="53"/>
      <c r="T159" s="53"/>
      <c r="U159" s="716"/>
      <c r="V159" s="53"/>
      <c r="W159" s="53"/>
      <c r="X159" s="53"/>
      <c r="Y159" s="53"/>
      <c r="Z159" s="53"/>
      <c r="AA159" s="56"/>
      <c r="AB159" s="54"/>
      <c r="AC159" s="54"/>
      <c r="AD159" s="54"/>
      <c r="AE159" s="54"/>
      <c r="AF159" s="131">
        <v>11</v>
      </c>
    </row>
    <row r="160" s="131" customFormat="1" ht="11.5" customHeight="1">
      <c r="A160" s="715"/>
      <c r="B160" s="57"/>
      <c r="C160" s="57"/>
      <c r="D160" s="131"/>
      <c r="K160" s="53"/>
      <c r="L160" s="57"/>
      <c r="M160" s="57"/>
      <c r="N160" s="53"/>
      <c r="O160" s="53"/>
      <c r="P160" s="53"/>
      <c r="Q160" s="53"/>
      <c r="R160" s="57"/>
      <c r="S160" s="53"/>
      <c r="T160" s="53"/>
      <c r="U160" s="716"/>
      <c r="V160" s="53"/>
      <c r="W160" s="53"/>
      <c r="X160" s="53"/>
      <c r="Y160" s="53"/>
      <c r="Z160" s="53"/>
      <c r="AA160" s="56"/>
      <c r="AB160" s="54"/>
      <c r="AC160" s="54"/>
      <c r="AD160" s="54"/>
      <c r="AE160" s="54"/>
      <c r="AF160" s="131">
        <v>11</v>
      </c>
    </row>
    <row r="161" s="131" customFormat="1" ht="11.5" customHeight="1">
      <c r="A161" s="715"/>
      <c r="B161" s="57"/>
      <c r="C161" s="57"/>
      <c r="D161" s="131"/>
      <c r="K161" s="53"/>
      <c r="L161" s="57"/>
      <c r="M161" s="57"/>
      <c r="N161" s="53"/>
      <c r="O161" s="53"/>
      <c r="P161" s="53"/>
      <c r="Q161" s="53"/>
      <c r="R161" s="57"/>
      <c r="S161" s="53"/>
      <c r="T161" s="53"/>
      <c r="U161" s="716"/>
      <c r="V161" s="53"/>
      <c r="W161" s="53"/>
      <c r="X161" s="53"/>
      <c r="Y161" s="53"/>
      <c r="Z161" s="53"/>
      <c r="AA161" s="56"/>
      <c r="AB161" s="54"/>
      <c r="AC161" s="54"/>
      <c r="AD161" s="54"/>
      <c r="AE161" s="54"/>
      <c r="AF161" s="131">
        <v>11</v>
      </c>
    </row>
    <row r="162" s="131" customFormat="1" ht="11.5" customHeight="1">
      <c r="A162" s="715"/>
      <c r="B162" s="57"/>
      <c r="C162" s="57"/>
      <c r="D162" s="131"/>
      <c r="K162" s="53"/>
      <c r="L162" s="57"/>
      <c r="M162" s="57"/>
      <c r="N162" s="53"/>
      <c r="O162" s="53"/>
      <c r="P162" s="53"/>
      <c r="Q162" s="53"/>
      <c r="R162" s="57"/>
      <c r="S162" s="53"/>
      <c r="T162" s="53"/>
      <c r="U162" s="716"/>
      <c r="V162" s="53"/>
      <c r="W162" s="53"/>
      <c r="X162" s="53"/>
      <c r="Y162" s="53"/>
      <c r="Z162" s="53"/>
      <c r="AA162" s="56"/>
      <c r="AB162" s="54"/>
      <c r="AC162" s="54"/>
      <c r="AD162" s="54"/>
      <c r="AE162" s="54"/>
      <c r="AF162" s="131">
        <v>11</v>
      </c>
    </row>
    <row r="163" s="131" customFormat="1" ht="11.5" customHeight="1">
      <c r="A163" s="715"/>
      <c r="B163" s="57"/>
      <c r="C163" s="57"/>
      <c r="D163" s="131"/>
      <c r="K163" s="53"/>
      <c r="L163" s="57"/>
      <c r="M163" s="57"/>
      <c r="N163" s="53"/>
      <c r="O163" s="53"/>
      <c r="P163" s="53"/>
      <c r="Q163" s="53"/>
      <c r="R163" s="57"/>
      <c r="S163" s="53"/>
      <c r="T163" s="53"/>
      <c r="U163" s="716"/>
      <c r="V163" s="53"/>
      <c r="W163" s="53"/>
      <c r="X163" s="53"/>
      <c r="Y163" s="53"/>
      <c r="Z163" s="53"/>
      <c r="AA163" s="56"/>
      <c r="AB163" s="54"/>
      <c r="AC163" s="54"/>
      <c r="AD163" s="54"/>
      <c r="AE163" s="54"/>
      <c r="AF163" s="131">
        <v>11</v>
      </c>
    </row>
    <row r="164" s="131" customFormat="1" ht="11.5" customHeight="1">
      <c r="A164" s="715"/>
      <c r="B164" s="57"/>
      <c r="C164" s="57"/>
      <c r="D164" s="131"/>
      <c r="K164" s="53"/>
      <c r="L164" s="57"/>
      <c r="M164" s="57"/>
      <c r="N164" s="53"/>
      <c r="O164" s="53"/>
      <c r="P164" s="53"/>
      <c r="Q164" s="53"/>
      <c r="R164" s="57"/>
      <c r="S164" s="53"/>
      <c r="T164" s="53"/>
      <c r="U164" s="716"/>
      <c r="V164" s="53"/>
      <c r="W164" s="53"/>
      <c r="X164" s="53"/>
      <c r="Y164" s="53"/>
      <c r="Z164" s="53"/>
      <c r="AA164" s="56"/>
      <c r="AB164" s="54"/>
      <c r="AC164" s="54"/>
      <c r="AD164" s="54"/>
      <c r="AE164" s="54"/>
      <c r="AF164" s="131">
        <v>11</v>
      </c>
    </row>
    <row r="165" s="131" customFormat="1" ht="11.5" customHeight="1">
      <c r="A165" s="715"/>
      <c r="B165" s="57"/>
      <c r="C165" s="57"/>
      <c r="D165" s="131"/>
      <c r="K165" s="53"/>
      <c r="L165" s="57"/>
      <c r="M165" s="57"/>
      <c r="N165" s="53"/>
      <c r="O165" s="53"/>
      <c r="P165" s="53"/>
      <c r="Q165" s="53"/>
      <c r="R165" s="57"/>
      <c r="S165" s="53"/>
      <c r="T165" s="53"/>
      <c r="U165" s="716"/>
      <c r="V165" s="53"/>
      <c r="W165" s="53"/>
      <c r="X165" s="53"/>
      <c r="Y165" s="53"/>
      <c r="Z165" s="53"/>
      <c r="AA165" s="56"/>
      <c r="AB165" s="54"/>
      <c r="AC165" s="54"/>
      <c r="AD165" s="54"/>
      <c r="AE165" s="54"/>
      <c r="AF165" s="131">
        <v>11</v>
      </c>
    </row>
    <row r="166" s="131" customFormat="1" ht="11.5" customHeight="1">
      <c r="A166" s="715"/>
      <c r="B166" s="57"/>
      <c r="C166" s="57"/>
      <c r="D166" s="131"/>
      <c r="K166" s="53"/>
      <c r="L166" s="57"/>
      <c r="M166" s="57"/>
      <c r="N166" s="53"/>
      <c r="O166" s="53"/>
      <c r="P166" s="53"/>
      <c r="Q166" s="53"/>
      <c r="R166" s="57"/>
      <c r="S166" s="53"/>
      <c r="T166" s="53"/>
      <c r="U166" s="716"/>
      <c r="V166" s="53"/>
      <c r="W166" s="53"/>
      <c r="X166" s="53"/>
      <c r="Y166" s="53"/>
      <c r="Z166" s="53"/>
      <c r="AA166" s="56"/>
      <c r="AB166" s="54"/>
      <c r="AC166" s="54"/>
      <c r="AD166" s="54"/>
      <c r="AE166" s="54"/>
      <c r="AF166" s="131">
        <v>11</v>
      </c>
    </row>
    <row r="167" s="131" customFormat="1" ht="11.5" customHeight="1">
      <c r="A167" s="715"/>
      <c r="B167" s="57"/>
      <c r="C167" s="57"/>
      <c r="D167" s="131"/>
      <c r="K167" s="53"/>
      <c r="L167" s="57"/>
      <c r="M167" s="57"/>
      <c r="N167" s="53"/>
      <c r="O167" s="53"/>
      <c r="P167" s="53"/>
      <c r="Q167" s="53"/>
      <c r="R167" s="57"/>
      <c r="S167" s="53"/>
      <c r="T167" s="53"/>
      <c r="U167" s="716"/>
      <c r="V167" s="53"/>
      <c r="W167" s="53"/>
      <c r="X167" s="53"/>
      <c r="Y167" s="53"/>
      <c r="Z167" s="53"/>
      <c r="AA167" s="56"/>
      <c r="AB167" s="54"/>
      <c r="AC167" s="54"/>
      <c r="AD167" s="54"/>
      <c r="AE167" s="54"/>
      <c r="AF167" s="131">
        <v>11</v>
      </c>
    </row>
    <row r="168" s="131" customFormat="1" ht="11.5" customHeight="1">
      <c r="A168" s="715"/>
      <c r="B168" s="57"/>
      <c r="C168" s="57"/>
      <c r="D168" s="131"/>
      <c r="K168" s="53"/>
      <c r="L168" s="57"/>
      <c r="M168" s="57"/>
      <c r="N168" s="53"/>
      <c r="O168" s="53"/>
      <c r="P168" s="53"/>
      <c r="Q168" s="53"/>
      <c r="R168" s="57"/>
      <c r="S168" s="53"/>
      <c r="T168" s="53"/>
      <c r="U168" s="716"/>
      <c r="V168" s="53"/>
      <c r="W168" s="53"/>
      <c r="X168" s="53"/>
      <c r="Y168" s="53"/>
      <c r="Z168" s="53"/>
      <c r="AA168" s="56"/>
      <c r="AB168" s="54"/>
      <c r="AC168" s="54"/>
      <c r="AD168" s="54"/>
      <c r="AE168" s="54"/>
      <c r="AF168" s="131">
        <v>11</v>
      </c>
    </row>
    <row r="169" s="131" customFormat="1" ht="11.5" customHeight="1">
      <c r="A169" s="715"/>
      <c r="B169" s="57"/>
      <c r="C169" s="57"/>
      <c r="D169" s="131"/>
      <c r="K169" s="53"/>
      <c r="L169" s="57"/>
      <c r="M169" s="57"/>
      <c r="N169" s="53"/>
      <c r="O169" s="53"/>
      <c r="P169" s="53"/>
      <c r="Q169" s="53"/>
      <c r="R169" s="57"/>
      <c r="S169" s="53"/>
      <c r="T169" s="53"/>
      <c r="U169" s="716"/>
      <c r="V169" s="53"/>
      <c r="W169" s="53"/>
      <c r="X169" s="53"/>
      <c r="Y169" s="53"/>
      <c r="Z169" s="53"/>
      <c r="AA169" s="56"/>
      <c r="AB169" s="54"/>
      <c r="AC169" s="54"/>
      <c r="AD169" s="54"/>
      <c r="AE169" s="54"/>
      <c r="AF169" s="131">
        <v>11</v>
      </c>
    </row>
    <row r="170" s="131" customFormat="1" ht="11.5" customHeight="1">
      <c r="A170" s="715"/>
      <c r="B170" s="57"/>
      <c r="C170" s="57"/>
      <c r="D170" s="131"/>
      <c r="K170" s="53"/>
      <c r="L170" s="57"/>
      <c r="M170" s="57"/>
      <c r="N170" s="53"/>
      <c r="O170" s="53"/>
      <c r="P170" s="53"/>
      <c r="Q170" s="53"/>
      <c r="R170" s="57"/>
      <c r="S170" s="53"/>
      <c r="T170" s="53"/>
      <c r="U170" s="716"/>
      <c r="V170" s="53"/>
      <c r="W170" s="53"/>
      <c r="X170" s="53"/>
      <c r="Y170" s="53"/>
      <c r="Z170" s="53"/>
      <c r="AA170" s="56"/>
      <c r="AB170" s="54"/>
      <c r="AC170" s="54"/>
      <c r="AD170" s="54"/>
      <c r="AE170" s="54"/>
      <c r="AF170" s="131">
        <v>11</v>
      </c>
    </row>
    <row r="171" s="131" customFormat="1" ht="11.5" customHeight="1">
      <c r="A171" s="715"/>
      <c r="B171" s="57"/>
      <c r="C171" s="57"/>
      <c r="D171" s="131"/>
      <c r="K171" s="53"/>
      <c r="L171" s="57"/>
      <c r="M171" s="57"/>
      <c r="N171" s="53"/>
      <c r="O171" s="53"/>
      <c r="P171" s="53"/>
      <c r="Q171" s="53"/>
      <c r="R171" s="57"/>
      <c r="S171" s="53"/>
      <c r="T171" s="53"/>
      <c r="U171" s="716"/>
      <c r="V171" s="53"/>
      <c r="W171" s="53"/>
      <c r="X171" s="53"/>
      <c r="Y171" s="53"/>
      <c r="Z171" s="53"/>
      <c r="AA171" s="56"/>
      <c r="AB171" s="54"/>
      <c r="AC171" s="54"/>
      <c r="AD171" s="54"/>
      <c r="AE171" s="54"/>
      <c r="AF171" s="131">
        <v>11</v>
      </c>
    </row>
    <row r="172" s="131" customFormat="1" ht="11.5" customHeight="1">
      <c r="A172" s="715"/>
      <c r="B172" s="57"/>
      <c r="C172" s="57"/>
      <c r="D172" s="131"/>
      <c r="K172" s="53"/>
      <c r="L172" s="57"/>
      <c r="M172" s="57"/>
      <c r="N172" s="53"/>
      <c r="O172" s="53"/>
      <c r="P172" s="53"/>
      <c r="Q172" s="53"/>
      <c r="R172" s="57"/>
      <c r="S172" s="53"/>
      <c r="T172" s="53"/>
      <c r="U172" s="716"/>
      <c r="V172" s="53"/>
      <c r="W172" s="53"/>
      <c r="X172" s="53"/>
      <c r="Y172" s="53"/>
      <c r="Z172" s="53"/>
      <c r="AA172" s="56"/>
      <c r="AB172" s="54"/>
      <c r="AC172" s="54"/>
      <c r="AD172" s="54"/>
      <c r="AE172" s="54"/>
      <c r="AF172" s="131">
        <v>11</v>
      </c>
    </row>
    <row r="173" s="131" customFormat="1" ht="11.5" customHeight="1">
      <c r="A173" s="715"/>
      <c r="B173" s="57"/>
      <c r="C173" s="57"/>
      <c r="D173" s="131"/>
      <c r="K173" s="53"/>
      <c r="L173" s="57"/>
      <c r="M173" s="57"/>
      <c r="N173" s="53"/>
      <c r="O173" s="53"/>
      <c r="P173" s="53"/>
      <c r="Q173" s="53"/>
      <c r="R173" s="57"/>
      <c r="S173" s="53"/>
      <c r="T173" s="53"/>
      <c r="U173" s="716"/>
      <c r="V173" s="53"/>
      <c r="W173" s="53"/>
      <c r="X173" s="53"/>
      <c r="Y173" s="53"/>
      <c r="Z173" s="53"/>
      <c r="AA173" s="56"/>
      <c r="AB173" s="54"/>
      <c r="AC173" s="54"/>
      <c r="AD173" s="54"/>
      <c r="AE173" s="54"/>
      <c r="AF173" s="131">
        <v>11</v>
      </c>
    </row>
    <row r="174" s="131" customFormat="1" ht="11.5" customHeight="1">
      <c r="A174" s="715"/>
      <c r="B174" s="57"/>
      <c r="C174" s="57"/>
      <c r="D174" s="131"/>
      <c r="K174" s="53"/>
      <c r="L174" s="57"/>
      <c r="M174" s="57"/>
      <c r="N174" s="53"/>
      <c r="O174" s="53"/>
      <c r="P174" s="53"/>
      <c r="Q174" s="53"/>
      <c r="R174" s="57"/>
      <c r="S174" s="53"/>
      <c r="T174" s="53"/>
      <c r="U174" s="716"/>
      <c r="V174" s="53"/>
      <c r="W174" s="53"/>
      <c r="X174" s="53"/>
      <c r="Y174" s="53"/>
      <c r="Z174" s="53"/>
      <c r="AA174" s="56"/>
      <c r="AB174" s="54"/>
      <c r="AC174" s="54"/>
      <c r="AD174" s="54"/>
      <c r="AE174" s="54"/>
      <c r="AF174" s="131">
        <v>11</v>
      </c>
    </row>
    <row r="175" s="131" customFormat="1" ht="11.5" customHeight="1">
      <c r="A175" s="715"/>
      <c r="B175" s="57"/>
      <c r="C175" s="57"/>
      <c r="D175" s="131"/>
      <c r="K175" s="53"/>
      <c r="L175" s="57"/>
      <c r="M175" s="57"/>
      <c r="N175" s="53"/>
      <c r="O175" s="53"/>
      <c r="P175" s="53"/>
      <c r="Q175" s="53"/>
      <c r="R175" s="57"/>
      <c r="S175" s="53"/>
      <c r="T175" s="53"/>
      <c r="U175" s="716"/>
      <c r="V175" s="53"/>
      <c r="W175" s="53"/>
      <c r="X175" s="53"/>
      <c r="Y175" s="53"/>
      <c r="Z175" s="53"/>
      <c r="AA175" s="56"/>
      <c r="AB175" s="54"/>
      <c r="AC175" s="54"/>
      <c r="AD175" s="54"/>
      <c r="AE175" s="54"/>
      <c r="AF175" s="131">
        <v>11</v>
      </c>
    </row>
    <row r="176" s="131" customFormat="1" ht="11.5" customHeight="1">
      <c r="A176" s="715"/>
      <c r="B176" s="57"/>
      <c r="C176" s="57"/>
      <c r="D176" s="131"/>
      <c r="K176" s="53"/>
      <c r="L176" s="57"/>
      <c r="M176" s="57"/>
      <c r="N176" s="53"/>
      <c r="O176" s="53"/>
      <c r="P176" s="53"/>
      <c r="Q176" s="53"/>
      <c r="R176" s="57"/>
      <c r="S176" s="53"/>
      <c r="T176" s="53"/>
      <c r="U176" s="716"/>
      <c r="V176" s="53"/>
      <c r="W176" s="53"/>
      <c r="X176" s="53"/>
      <c r="Y176" s="53"/>
      <c r="Z176" s="53"/>
      <c r="AA176" s="56"/>
      <c r="AB176" s="54"/>
      <c r="AC176" s="54"/>
      <c r="AD176" s="54"/>
      <c r="AE176" s="54"/>
      <c r="AF176" s="131">
        <v>11</v>
      </c>
    </row>
    <row r="177" s="131" customFormat="1" ht="11.5" customHeight="1">
      <c r="A177" s="715"/>
      <c r="B177" s="57"/>
      <c r="C177" s="57"/>
      <c r="D177" s="131"/>
      <c r="K177" s="53"/>
      <c r="L177" s="57"/>
      <c r="M177" s="57"/>
      <c r="N177" s="53"/>
      <c r="O177" s="53"/>
      <c r="P177" s="53"/>
      <c r="Q177" s="53"/>
      <c r="R177" s="57"/>
      <c r="S177" s="53"/>
      <c r="T177" s="53"/>
      <c r="U177" s="716"/>
      <c r="V177" s="53"/>
      <c r="W177" s="53"/>
      <c r="X177" s="53"/>
      <c r="Y177" s="53"/>
      <c r="Z177" s="53"/>
      <c r="AA177" s="56"/>
      <c r="AB177" s="54"/>
      <c r="AC177" s="54"/>
      <c r="AD177" s="54"/>
      <c r="AE177" s="54"/>
      <c r="AF177" s="131">
        <v>11</v>
      </c>
    </row>
    <row r="178" s="131" customFormat="1" ht="11.5" customHeight="1">
      <c r="A178" s="715"/>
      <c r="B178" s="57"/>
      <c r="C178" s="57"/>
      <c r="D178" s="131"/>
      <c r="K178" s="53"/>
      <c r="L178" s="57"/>
      <c r="M178" s="57"/>
      <c r="N178" s="53"/>
      <c r="O178" s="53"/>
      <c r="P178" s="53"/>
      <c r="Q178" s="53"/>
      <c r="R178" s="57"/>
      <c r="S178" s="53"/>
      <c r="T178" s="53"/>
      <c r="U178" s="716"/>
      <c r="V178" s="53"/>
      <c r="W178" s="53"/>
      <c r="X178" s="53"/>
      <c r="Y178" s="53"/>
      <c r="Z178" s="53"/>
      <c r="AA178" s="56"/>
      <c r="AB178" s="54"/>
      <c r="AC178" s="54"/>
      <c r="AD178" s="54"/>
      <c r="AE178" s="54"/>
      <c r="AF178" s="131">
        <v>11</v>
      </c>
    </row>
    <row r="179" s="131" customFormat="1" ht="11.5" customHeight="1">
      <c r="A179" s="715"/>
      <c r="B179" s="57"/>
      <c r="C179" s="57"/>
      <c r="D179" s="131"/>
      <c r="K179" s="53"/>
      <c r="L179" s="57"/>
      <c r="M179" s="57"/>
      <c r="N179" s="53"/>
      <c r="O179" s="53"/>
      <c r="P179" s="53"/>
      <c r="Q179" s="53"/>
      <c r="R179" s="57"/>
      <c r="S179" s="53"/>
      <c r="T179" s="53"/>
      <c r="U179" s="716"/>
      <c r="V179" s="53"/>
      <c r="W179" s="53"/>
      <c r="X179" s="53"/>
      <c r="Y179" s="53"/>
      <c r="Z179" s="53"/>
      <c r="AA179" s="56"/>
      <c r="AB179" s="54"/>
      <c r="AC179" s="54"/>
      <c r="AD179" s="54"/>
      <c r="AE179" s="54"/>
      <c r="AF179" s="131">
        <v>11</v>
      </c>
    </row>
    <row r="180" s="131" customFormat="1" ht="11.5" customHeight="1">
      <c r="A180" s="715"/>
      <c r="B180" s="57"/>
      <c r="C180" s="57"/>
      <c r="D180" s="131"/>
      <c r="K180" s="53"/>
      <c r="L180" s="57"/>
      <c r="M180" s="57"/>
      <c r="N180" s="53"/>
      <c r="O180" s="53"/>
      <c r="P180" s="53"/>
      <c r="Q180" s="53"/>
      <c r="R180" s="57"/>
      <c r="S180" s="53"/>
      <c r="T180" s="53"/>
      <c r="U180" s="716"/>
      <c r="V180" s="53"/>
      <c r="W180" s="53"/>
      <c r="X180" s="53"/>
      <c r="Y180" s="53"/>
      <c r="Z180" s="53"/>
      <c r="AA180" s="56"/>
      <c r="AB180" s="54"/>
      <c r="AC180" s="54"/>
      <c r="AD180" s="54"/>
      <c r="AE180" s="54"/>
      <c r="AF180" s="131">
        <v>11</v>
      </c>
    </row>
    <row r="181" s="131" customFormat="1" ht="11.5" customHeight="1">
      <c r="A181" s="715"/>
      <c r="B181" s="57"/>
      <c r="C181" s="57"/>
      <c r="D181" s="131"/>
      <c r="K181" s="53"/>
      <c r="L181" s="57"/>
      <c r="M181" s="57"/>
      <c r="N181" s="53"/>
      <c r="O181" s="53"/>
      <c r="P181" s="53"/>
      <c r="Q181" s="53"/>
      <c r="R181" s="57"/>
      <c r="S181" s="53"/>
      <c r="T181" s="53"/>
      <c r="U181" s="716"/>
      <c r="V181" s="53"/>
      <c r="W181" s="53"/>
      <c r="X181" s="53"/>
      <c r="Y181" s="53"/>
      <c r="Z181" s="53"/>
      <c r="AA181" s="56"/>
      <c r="AB181" s="54"/>
      <c r="AC181" s="54"/>
      <c r="AD181" s="54"/>
      <c r="AE181" s="54"/>
      <c r="AF181" s="131">
        <v>11</v>
      </c>
    </row>
    <row r="182" s="131" customFormat="1" ht="11.5" customHeight="1">
      <c r="A182" s="715"/>
      <c r="B182" s="57"/>
      <c r="C182" s="57"/>
      <c r="D182" s="131"/>
      <c r="K182" s="53"/>
      <c r="L182" s="57"/>
      <c r="M182" s="57"/>
      <c r="N182" s="53"/>
      <c r="O182" s="53"/>
      <c r="P182" s="53"/>
      <c r="Q182" s="53"/>
      <c r="R182" s="57"/>
      <c r="S182" s="53"/>
      <c r="T182" s="53"/>
      <c r="U182" s="716"/>
      <c r="V182" s="53"/>
      <c r="W182" s="53"/>
      <c r="X182" s="53"/>
      <c r="Y182" s="53"/>
      <c r="Z182" s="53"/>
      <c r="AA182" s="56"/>
      <c r="AB182" s="54"/>
      <c r="AC182" s="54"/>
      <c r="AD182" s="54"/>
      <c r="AE182" s="54"/>
      <c r="AF182" s="131">
        <v>11</v>
      </c>
    </row>
    <row r="183" s="131" customFormat="1" ht="11.5" customHeight="1">
      <c r="A183" s="715"/>
      <c r="B183" s="57"/>
      <c r="C183" s="57"/>
      <c r="D183" s="131"/>
      <c r="K183" s="53"/>
      <c r="L183" s="57"/>
      <c r="M183" s="57"/>
      <c r="N183" s="53"/>
      <c r="O183" s="53"/>
      <c r="P183" s="53"/>
      <c r="Q183" s="53"/>
      <c r="R183" s="57"/>
      <c r="S183" s="53"/>
      <c r="T183" s="53"/>
      <c r="U183" s="716"/>
      <c r="V183" s="53"/>
      <c r="W183" s="53"/>
      <c r="X183" s="53"/>
      <c r="Y183" s="53"/>
      <c r="Z183" s="53"/>
      <c r="AA183" s="56"/>
      <c r="AB183" s="54"/>
      <c r="AC183" s="54"/>
      <c r="AD183" s="54"/>
      <c r="AE183" s="54"/>
      <c r="AF183" s="131">
        <v>11</v>
      </c>
    </row>
    <row r="184" s="131" customFormat="1" ht="11.5" customHeight="1">
      <c r="A184" s="715"/>
      <c r="B184" s="57"/>
      <c r="C184" s="57"/>
      <c r="D184" s="131"/>
      <c r="K184" s="53"/>
      <c r="L184" s="57"/>
      <c r="M184" s="57"/>
      <c r="N184" s="53"/>
      <c r="O184" s="53"/>
      <c r="P184" s="53"/>
      <c r="Q184" s="53"/>
      <c r="R184" s="57"/>
      <c r="S184" s="53"/>
      <c r="T184" s="53"/>
      <c r="U184" s="716"/>
      <c r="V184" s="53"/>
      <c r="W184" s="53"/>
      <c r="X184" s="53"/>
      <c r="Y184" s="53"/>
      <c r="Z184" s="53"/>
      <c r="AA184" s="56"/>
      <c r="AB184" s="54"/>
      <c r="AC184" s="54"/>
      <c r="AD184" s="54"/>
      <c r="AE184" s="54"/>
      <c r="AF184" s="131">
        <v>11</v>
      </c>
    </row>
    <row r="185" s="131" customFormat="1" ht="11.5" customHeight="1">
      <c r="A185" s="715"/>
      <c r="B185" s="57"/>
      <c r="C185" s="57"/>
      <c r="D185" s="131"/>
      <c r="K185" s="53"/>
      <c r="L185" s="57"/>
      <c r="M185" s="57"/>
      <c r="N185" s="53"/>
      <c r="O185" s="53"/>
      <c r="P185" s="53"/>
      <c r="Q185" s="53"/>
      <c r="R185" s="57"/>
      <c r="S185" s="53"/>
      <c r="T185" s="53"/>
      <c r="U185" s="716"/>
      <c r="V185" s="53"/>
      <c r="W185" s="53"/>
      <c r="X185" s="53"/>
      <c r="Y185" s="53"/>
      <c r="Z185" s="53"/>
      <c r="AA185" s="56"/>
      <c r="AB185" s="54"/>
      <c r="AC185" s="54"/>
      <c r="AD185" s="54"/>
      <c r="AE185" s="54"/>
      <c r="AF185" s="131">
        <v>11</v>
      </c>
    </row>
    <row r="186" s="131" customFormat="1" ht="11.5" customHeight="1">
      <c r="A186" s="715"/>
      <c r="B186" s="57"/>
      <c r="C186" s="57"/>
      <c r="D186" s="131"/>
      <c r="K186" s="53"/>
      <c r="L186" s="57"/>
      <c r="M186" s="57"/>
      <c r="N186" s="53"/>
      <c r="O186" s="53"/>
      <c r="P186" s="53"/>
      <c r="Q186" s="53"/>
      <c r="R186" s="57"/>
      <c r="S186" s="53"/>
      <c r="T186" s="53"/>
      <c r="U186" s="716"/>
      <c r="V186" s="53"/>
      <c r="W186" s="53"/>
      <c r="X186" s="53"/>
      <c r="Y186" s="53"/>
      <c r="Z186" s="53"/>
      <c r="AA186" s="56"/>
      <c r="AB186" s="54"/>
      <c r="AC186" s="54"/>
      <c r="AD186" s="54"/>
      <c r="AE186" s="54"/>
      <c r="AF186" s="131">
        <v>11</v>
      </c>
    </row>
    <row r="187" s="131" customFormat="1" ht="11.5" customHeight="1">
      <c r="A187" s="715"/>
      <c r="B187" s="57"/>
      <c r="C187" s="57"/>
      <c r="D187" s="131"/>
      <c r="K187" s="53"/>
      <c r="L187" s="57"/>
      <c r="M187" s="57"/>
      <c r="N187" s="53"/>
      <c r="O187" s="53"/>
      <c r="P187" s="53"/>
      <c r="Q187" s="53"/>
      <c r="R187" s="57"/>
      <c r="S187" s="53"/>
      <c r="T187" s="53"/>
      <c r="U187" s="716"/>
      <c r="V187" s="53"/>
      <c r="W187" s="53"/>
      <c r="X187" s="53"/>
      <c r="Y187" s="53"/>
      <c r="Z187" s="53"/>
      <c r="AA187" s="56"/>
      <c r="AB187" s="54"/>
      <c r="AC187" s="54"/>
      <c r="AD187" s="54"/>
      <c r="AE187" s="54"/>
      <c r="AF187" s="131">
        <v>11</v>
      </c>
    </row>
    <row r="188" s="131" customFormat="1" ht="11.5" customHeight="1">
      <c r="A188" s="715"/>
      <c r="B188" s="57"/>
      <c r="C188" s="57"/>
      <c r="D188" s="131"/>
      <c r="K188" s="53"/>
      <c r="L188" s="57"/>
      <c r="M188" s="57"/>
      <c r="N188" s="53"/>
      <c r="O188" s="53"/>
      <c r="P188" s="53"/>
      <c r="Q188" s="53"/>
      <c r="R188" s="57"/>
      <c r="S188" s="53"/>
      <c r="T188" s="53"/>
      <c r="U188" s="716"/>
      <c r="V188" s="53"/>
      <c r="W188" s="53"/>
      <c r="X188" s="53"/>
      <c r="Y188" s="53"/>
      <c r="Z188" s="53"/>
      <c r="AA188" s="56"/>
      <c r="AB188" s="54"/>
      <c r="AC188" s="54"/>
      <c r="AD188" s="54"/>
      <c r="AE188" s="54"/>
      <c r="AF188" s="131">
        <v>11</v>
      </c>
    </row>
    <row r="189" s="131" customFormat="1" ht="11.5" customHeight="1">
      <c r="A189" s="715"/>
      <c r="B189" s="57"/>
      <c r="C189" s="57"/>
      <c r="D189" s="131"/>
      <c r="K189" s="53"/>
      <c r="L189" s="57"/>
      <c r="M189" s="57"/>
      <c r="N189" s="53"/>
      <c r="O189" s="53"/>
      <c r="P189" s="53"/>
      <c r="Q189" s="53"/>
      <c r="R189" s="57"/>
      <c r="S189" s="53"/>
      <c r="T189" s="53"/>
      <c r="U189" s="716"/>
      <c r="V189" s="53"/>
      <c r="W189" s="53"/>
      <c r="X189" s="53"/>
      <c r="Y189" s="53"/>
      <c r="Z189" s="53"/>
      <c r="AA189" s="56"/>
      <c r="AB189" s="54"/>
      <c r="AC189" s="54"/>
      <c r="AD189" s="54"/>
      <c r="AE189" s="54"/>
      <c r="AF189" s="131">
        <v>11</v>
      </c>
    </row>
    <row r="190" s="131" customFormat="1" ht="11.5" customHeight="1">
      <c r="A190" s="715"/>
      <c r="B190" s="57"/>
      <c r="C190" s="57"/>
      <c r="D190" s="131"/>
      <c r="K190" s="53"/>
      <c r="L190" s="57"/>
      <c r="M190" s="57"/>
      <c r="N190" s="53"/>
      <c r="O190" s="53"/>
      <c r="P190" s="53"/>
      <c r="Q190" s="53"/>
      <c r="R190" s="57"/>
      <c r="S190" s="53"/>
      <c r="T190" s="53"/>
      <c r="U190" s="716"/>
      <c r="V190" s="53"/>
      <c r="W190" s="53"/>
      <c r="X190" s="53"/>
      <c r="Y190" s="53"/>
      <c r="Z190" s="53"/>
      <c r="AA190" s="56"/>
      <c r="AB190" s="54"/>
      <c r="AC190" s="54"/>
      <c r="AD190" s="54"/>
      <c r="AE190" s="54"/>
      <c r="AF190" s="131">
        <v>11</v>
      </c>
    </row>
    <row r="191" s="131" customFormat="1" ht="11.5" customHeight="1">
      <c r="A191" s="715"/>
      <c r="B191" s="57"/>
      <c r="C191" s="57"/>
      <c r="D191" s="131"/>
      <c r="K191" s="53"/>
      <c r="L191" s="57"/>
      <c r="M191" s="57"/>
      <c r="N191" s="53"/>
      <c r="O191" s="53"/>
      <c r="P191" s="53"/>
      <c r="Q191" s="53"/>
      <c r="R191" s="57"/>
      <c r="S191" s="53"/>
      <c r="T191" s="53"/>
      <c r="U191" s="716"/>
      <c r="V191" s="53"/>
      <c r="W191" s="53"/>
      <c r="X191" s="53"/>
      <c r="Y191" s="53"/>
      <c r="Z191" s="53"/>
      <c r="AA191" s="56"/>
      <c r="AB191" s="54"/>
      <c r="AC191" s="54"/>
      <c r="AD191" s="54"/>
      <c r="AE191" s="54"/>
      <c r="AF191" s="131">
        <v>11</v>
      </c>
    </row>
    <row r="192" s="131" customFormat="1" ht="11.5" customHeight="1">
      <c r="A192" s="715"/>
      <c r="B192" s="57"/>
      <c r="C192" s="57"/>
      <c r="D192" s="131"/>
      <c r="K192" s="53"/>
      <c r="L192" s="57"/>
      <c r="M192" s="57"/>
      <c r="N192" s="53"/>
      <c r="O192" s="53"/>
      <c r="P192" s="53"/>
      <c r="Q192" s="53"/>
      <c r="R192" s="57"/>
      <c r="S192" s="53"/>
      <c r="T192" s="53"/>
      <c r="U192" s="716"/>
      <c r="V192" s="53"/>
      <c r="W192" s="53"/>
      <c r="X192" s="53"/>
      <c r="Y192" s="53"/>
      <c r="Z192" s="53"/>
      <c r="AA192" s="56"/>
      <c r="AB192" s="54"/>
      <c r="AC192" s="54"/>
      <c r="AD192" s="54"/>
      <c r="AE192" s="54"/>
      <c r="AF192" s="131">
        <v>11</v>
      </c>
    </row>
    <row r="193" s="131" customFormat="1" ht="11.5" customHeight="1">
      <c r="A193" s="715"/>
      <c r="B193" s="57"/>
      <c r="C193" s="57"/>
      <c r="D193" s="131"/>
      <c r="K193" s="53"/>
      <c r="L193" s="57"/>
      <c r="M193" s="57"/>
      <c r="N193" s="53"/>
      <c r="O193" s="53"/>
      <c r="P193" s="53"/>
      <c r="Q193" s="53"/>
      <c r="R193" s="57"/>
      <c r="S193" s="53"/>
      <c r="T193" s="53"/>
      <c r="U193" s="716"/>
      <c r="V193" s="53"/>
      <c r="W193" s="53"/>
      <c r="X193" s="53"/>
      <c r="Y193" s="53"/>
      <c r="Z193" s="53"/>
      <c r="AA193" s="56"/>
      <c r="AB193" s="54"/>
      <c r="AC193" s="54"/>
      <c r="AD193" s="54"/>
      <c r="AE193" s="54"/>
      <c r="AF193" s="131">
        <v>11</v>
      </c>
    </row>
    <row r="194" s="131" customFormat="1" ht="11.5" customHeight="1">
      <c r="A194" s="715"/>
      <c r="B194" s="57"/>
      <c r="C194" s="57"/>
      <c r="D194" s="131"/>
      <c r="K194" s="53"/>
      <c r="L194" s="57"/>
      <c r="M194" s="57"/>
      <c r="N194" s="53"/>
      <c r="O194" s="53"/>
      <c r="P194" s="53"/>
      <c r="Q194" s="53"/>
      <c r="R194" s="57"/>
      <c r="S194" s="53"/>
      <c r="T194" s="53"/>
      <c r="U194" s="716"/>
      <c r="V194" s="53"/>
      <c r="W194" s="53"/>
      <c r="X194" s="53"/>
      <c r="Y194" s="53"/>
      <c r="Z194" s="53"/>
      <c r="AA194" s="56"/>
      <c r="AB194" s="54"/>
      <c r="AC194" s="54"/>
      <c r="AD194" s="54"/>
      <c r="AE194" s="54"/>
      <c r="AF194" s="131">
        <v>11</v>
      </c>
    </row>
    <row r="195" s="131" customFormat="1" ht="11.5" customHeight="1">
      <c r="A195" s="715"/>
      <c r="B195" s="57"/>
      <c r="C195" s="57"/>
      <c r="D195" s="131"/>
      <c r="K195" s="53"/>
      <c r="L195" s="57"/>
      <c r="M195" s="57"/>
      <c r="N195" s="53"/>
      <c r="O195" s="53"/>
      <c r="P195" s="53"/>
      <c r="Q195" s="53"/>
      <c r="R195" s="57"/>
      <c r="S195" s="53"/>
      <c r="T195" s="53"/>
      <c r="U195" s="716"/>
      <c r="V195" s="53"/>
      <c r="W195" s="53"/>
      <c r="X195" s="53"/>
      <c r="Y195" s="53"/>
      <c r="Z195" s="53"/>
      <c r="AA195" s="56"/>
      <c r="AB195" s="54"/>
      <c r="AC195" s="54"/>
      <c r="AD195" s="54"/>
      <c r="AE195" s="54"/>
      <c r="AF195" s="131">
        <v>11</v>
      </c>
    </row>
    <row r="196" ht="11.5" customHeight="1">
      <c r="AF196" s="50">
        <v>11</v>
      </c>
    </row>
    <row r="197" ht="11.5" customHeight="1">
      <c r="AF197" s="50">
        <v>11</v>
      </c>
    </row>
    <row r="198" ht="11.5" customHeight="1">
      <c r="AF198" s="50">
        <v>11</v>
      </c>
    </row>
    <row r="199" ht="11.5" customHeight="1">
      <c r="A199" s="783"/>
      <c r="B199" s="50"/>
      <c r="D199" s="50"/>
      <c r="K199" s="50"/>
      <c r="N199" s="50"/>
      <c r="O199" s="50"/>
      <c r="P199" s="50"/>
      <c r="Q199" s="50"/>
      <c r="S199" s="50"/>
      <c r="T199" s="50"/>
      <c r="U199" s="50"/>
      <c r="V199" s="50"/>
      <c r="W199" s="50"/>
      <c r="X199" s="50"/>
      <c r="Y199" s="50"/>
      <c r="Z199" s="50"/>
      <c r="AA199" s="50"/>
      <c r="AB199" s="50"/>
      <c r="AC199" s="50"/>
      <c r="AD199" s="50"/>
      <c r="AE199" s="50"/>
      <c r="AF199" s="50">
        <v>11</v>
      </c>
    </row>
    <row r="200" ht="11.5" customHeight="1">
      <c r="A200" s="783"/>
      <c r="B200" s="50"/>
      <c r="D200" s="50"/>
      <c r="K200" s="50"/>
      <c r="N200" s="50"/>
      <c r="O200" s="50"/>
      <c r="P200" s="50"/>
      <c r="Q200" s="50"/>
      <c r="S200" s="50"/>
      <c r="T200" s="50"/>
      <c r="U200" s="50"/>
      <c r="V200" s="50"/>
      <c r="W200" s="50"/>
      <c r="X200" s="50"/>
      <c r="Y200" s="50"/>
      <c r="Z200" s="50"/>
      <c r="AA200" s="50"/>
      <c r="AB200" s="50"/>
      <c r="AC200" s="50"/>
      <c r="AD200" s="50"/>
      <c r="AE200" s="50"/>
      <c r="AF200" s="50">
        <v>11</v>
      </c>
    </row>
    <row r="201" ht="11.5" customHeight="1">
      <c r="A201" s="783"/>
      <c r="B201" s="50"/>
      <c r="D201" s="50"/>
      <c r="K201" s="50"/>
      <c r="N201" s="50"/>
      <c r="O201" s="50"/>
      <c r="P201" s="50"/>
      <c r="Q201" s="50"/>
      <c r="S201" s="50"/>
      <c r="T201" s="50"/>
      <c r="U201" s="50"/>
      <c r="V201" s="50"/>
      <c r="W201" s="50"/>
      <c r="X201" s="50"/>
      <c r="Y201" s="50"/>
      <c r="Z201" s="50"/>
      <c r="AA201" s="50"/>
      <c r="AB201" s="50"/>
      <c r="AC201" s="50"/>
      <c r="AD201" s="50"/>
      <c r="AE201" s="50"/>
      <c r="AF201" s="50">
        <v>11</v>
      </c>
    </row>
    <row r="202" ht="11.5" customHeight="1">
      <c r="A202" s="783"/>
      <c r="B202" s="50"/>
      <c r="D202" s="50"/>
      <c r="K202" s="50"/>
      <c r="N202" s="50"/>
      <c r="O202" s="50"/>
      <c r="P202" s="50"/>
      <c r="Q202" s="50"/>
      <c r="S202" s="50"/>
      <c r="T202" s="50"/>
      <c r="U202" s="50"/>
      <c r="V202" s="50"/>
      <c r="W202" s="50"/>
      <c r="X202" s="50"/>
      <c r="Y202" s="50"/>
      <c r="Z202" s="50"/>
      <c r="AA202" s="50"/>
      <c r="AB202" s="50"/>
      <c r="AC202" s="50"/>
      <c r="AD202" s="50"/>
      <c r="AE202" s="50"/>
      <c r="AF202" s="50">
        <v>11</v>
      </c>
    </row>
    <row r="203" ht="11.5" customHeight="1">
      <c r="A203" s="783"/>
      <c r="B203" s="50"/>
      <c r="D203" s="50"/>
      <c r="K203" s="50"/>
      <c r="N203" s="50"/>
      <c r="O203" s="50"/>
      <c r="P203" s="50"/>
      <c r="Q203" s="50"/>
      <c r="S203" s="50"/>
      <c r="T203" s="50"/>
      <c r="U203" s="50"/>
      <c r="V203" s="50"/>
      <c r="W203" s="50"/>
      <c r="X203" s="50"/>
      <c r="Y203" s="50"/>
      <c r="Z203" s="50"/>
      <c r="AA203" s="50"/>
      <c r="AB203" s="50"/>
      <c r="AC203" s="50"/>
      <c r="AD203" s="50"/>
      <c r="AE203" s="50"/>
      <c r="AF203" s="50">
        <v>11</v>
      </c>
    </row>
    <row r="204" ht="11.5" customHeight="1">
      <c r="A204" s="783"/>
      <c r="B204" s="50"/>
      <c r="D204" s="50"/>
      <c r="K204" s="50"/>
      <c r="N204" s="50"/>
      <c r="O204" s="50"/>
      <c r="P204" s="50"/>
      <c r="Q204" s="50"/>
      <c r="S204" s="50"/>
      <c r="T204" s="50"/>
      <c r="U204" s="50"/>
      <c r="V204" s="50"/>
      <c r="W204" s="50"/>
      <c r="X204" s="50"/>
      <c r="Y204" s="50"/>
      <c r="Z204" s="50"/>
      <c r="AA204" s="50"/>
      <c r="AB204" s="50"/>
      <c r="AC204" s="50"/>
      <c r="AD204" s="50"/>
      <c r="AE204" s="50"/>
      <c r="AF204" s="50">
        <v>11</v>
      </c>
    </row>
    <row r="205" ht="11.5" customHeight="1">
      <c r="A205" s="783"/>
      <c r="B205" s="50"/>
      <c r="D205" s="50"/>
      <c r="K205" s="50"/>
      <c r="N205" s="50"/>
      <c r="O205" s="50"/>
      <c r="P205" s="50"/>
      <c r="Q205" s="50"/>
      <c r="S205" s="50"/>
      <c r="T205" s="50"/>
      <c r="U205" s="50"/>
      <c r="V205" s="50"/>
      <c r="W205" s="50"/>
      <c r="X205" s="50"/>
      <c r="Y205" s="50"/>
      <c r="Z205" s="50"/>
      <c r="AA205" s="50"/>
      <c r="AB205" s="50"/>
      <c r="AC205" s="50"/>
      <c r="AD205" s="50"/>
      <c r="AE205" s="50"/>
      <c r="AF205" s="50">
        <v>11</v>
      </c>
    </row>
    <row r="206" ht="11.5" customHeight="1">
      <c r="A206" s="783"/>
      <c r="B206" s="50"/>
      <c r="D206" s="50"/>
      <c r="K206" s="50"/>
      <c r="N206" s="50"/>
      <c r="O206" s="50"/>
      <c r="P206" s="50"/>
      <c r="Q206" s="50"/>
      <c r="S206" s="50"/>
      <c r="T206" s="50"/>
      <c r="U206" s="50"/>
      <c r="V206" s="50"/>
      <c r="W206" s="50"/>
      <c r="X206" s="50"/>
      <c r="Y206" s="50"/>
      <c r="Z206" s="50"/>
      <c r="AA206" s="50"/>
      <c r="AB206" s="50"/>
      <c r="AC206" s="50"/>
      <c r="AD206" s="50"/>
      <c r="AE206" s="50"/>
      <c r="AF206" s="50">
        <v>11</v>
      </c>
    </row>
    <row r="207" ht="11.5" customHeight="1">
      <c r="A207" s="783"/>
      <c r="B207" s="50"/>
      <c r="D207" s="50"/>
      <c r="K207" s="50"/>
      <c r="N207" s="50"/>
      <c r="O207" s="50"/>
      <c r="P207" s="50"/>
      <c r="Q207" s="50"/>
      <c r="S207" s="50"/>
      <c r="T207" s="50"/>
      <c r="U207" s="50"/>
      <c r="V207" s="50"/>
      <c r="W207" s="50"/>
      <c r="X207" s="50"/>
      <c r="Y207" s="50"/>
      <c r="Z207" s="50"/>
      <c r="AA207" s="50"/>
      <c r="AB207" s="50"/>
      <c r="AC207" s="50"/>
      <c r="AD207" s="50"/>
      <c r="AE207" s="50"/>
      <c r="AF207" s="50">
        <v>11</v>
      </c>
    </row>
    <row r="208" ht="11.5" customHeight="1">
      <c r="A208" s="783"/>
      <c r="B208" s="50"/>
      <c r="D208" s="50"/>
      <c r="K208" s="50"/>
      <c r="N208" s="50"/>
      <c r="O208" s="50"/>
      <c r="P208" s="50"/>
      <c r="Q208" s="50"/>
      <c r="S208" s="50"/>
      <c r="T208" s="50"/>
      <c r="U208" s="50"/>
      <c r="V208" s="50"/>
      <c r="W208" s="50"/>
      <c r="X208" s="50"/>
      <c r="Y208" s="50"/>
      <c r="Z208" s="50"/>
      <c r="AA208" s="50"/>
      <c r="AB208" s="50"/>
      <c r="AC208" s="50"/>
      <c r="AD208" s="50"/>
      <c r="AE208" s="50"/>
      <c r="AF208" s="50">
        <v>11</v>
      </c>
    </row>
    <row r="209" ht="11.5" customHeight="1">
      <c r="A209" s="783"/>
      <c r="B209" s="50"/>
      <c r="D209" s="50"/>
      <c r="K209" s="50"/>
      <c r="N209" s="50"/>
      <c r="O209" s="50"/>
      <c r="P209" s="50"/>
      <c r="Q209" s="50"/>
      <c r="S209" s="50"/>
      <c r="T209" s="50"/>
      <c r="U209" s="50"/>
      <c r="V209" s="50"/>
      <c r="W209" s="50"/>
      <c r="X209" s="50"/>
      <c r="Y209" s="50"/>
      <c r="Z209" s="50"/>
      <c r="AA209" s="50"/>
      <c r="AB209" s="50"/>
      <c r="AC209" s="50"/>
      <c r="AD209" s="50"/>
      <c r="AE209" s="50"/>
      <c r="AF209" s="50">
        <v>11</v>
      </c>
    </row>
    <row r="210" ht="11.25" hidden="1" customHeight="1">
      <c r="A210" s="715" t="s">
        <v>83</v>
      </c>
      <c r="B210" s="53">
        <v>0</v>
      </c>
      <c r="C210" s="57">
        <v>0</v>
      </c>
      <c r="D210" s="50">
        <v>3</v>
      </c>
      <c r="E210" s="50">
        <v>7</v>
      </c>
      <c r="F210" s="50">
        <v>54</v>
      </c>
      <c r="G210" s="50">
        <v>10</v>
      </c>
      <c r="H210" s="50">
        <v>0</v>
      </c>
      <c r="I210" s="50">
        <v>40</v>
      </c>
      <c r="J210" s="50">
        <v>102</v>
      </c>
      <c r="K210" s="53">
        <v>9</v>
      </c>
      <c r="L210" s="57">
        <v>5</v>
      </c>
      <c r="M210" s="57">
        <v>3</v>
      </c>
      <c r="N210" s="53">
        <v>3</v>
      </c>
      <c r="O210" s="53">
        <v>3</v>
      </c>
      <c r="P210" s="53">
        <v>3</v>
      </c>
      <c r="Q210" s="53">
        <v>3</v>
      </c>
      <c r="R210" s="57">
        <v>10</v>
      </c>
      <c r="S210" s="53">
        <v>34</v>
      </c>
      <c r="T210" s="53">
        <v>9</v>
      </c>
      <c r="U210" s="716">
        <v>8</v>
      </c>
      <c r="V210" s="53">
        <v>8</v>
      </c>
      <c r="W210" s="53">
        <v>8</v>
      </c>
      <c r="X210" s="53">
        <v>8</v>
      </c>
      <c r="Y210" s="53">
        <v>8</v>
      </c>
      <c r="Z210" s="53">
        <v>8</v>
      </c>
      <c r="AA210" s="56">
        <v>8</v>
      </c>
      <c r="AB210" s="56">
        <v>8</v>
      </c>
      <c r="AC210" s="56">
        <v>8</v>
      </c>
      <c r="AD210" s="56">
        <v>8</v>
      </c>
      <c r="AE210" s="56">
        <v>8</v>
      </c>
      <c r="AF210" s="50">
        <v>11</v>
      </c>
    </row>
  </sheetData>
  <sheetProtection autoFilter="0" deleteColumns="1" deleteRows="1" formatCells="1" formatColumns="0" formatRows="0" insertColumns="1" insertHyperlinks="1" insertRows="1" objects="0" pivotTables="1" scenarios="0" selectLockedCells="0" selectUnlockedCells="0" sheet="1" sort="1"/>
  <mergeCells count="9">
    <mergeCell ref="E6:I6"/>
    <mergeCell ref="E7:I7"/>
    <mergeCell ref="F10:G10"/>
    <mergeCell ref="J10:J14"/>
    <mergeCell ref="F11:G11"/>
    <mergeCell ref="F12:G12"/>
    <mergeCell ref="E13:G13"/>
    <mergeCell ref="F39:G39"/>
    <mergeCell ref="F40:G40"/>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5" disablePrompts="0">
        <x14:dataValidation xr:uid="{00F20032-00B9-40D1-A1E3-009B009C0095}" type="decimal" allowBlank="1" error="Допускается ввод только действительных чисел!" errorStyle="stop" errorTitle="Ошибка" imeMode="noControl" operator="between" showDropDown="0" showErrorMessage="1" showInputMessage="0">
          <x14:formula1>
            <xm:f>-9.99999999999999E+37</xm:f>
          </x14:formula1>
          <x14:formula2>
            <xm:f>9.99999999999999E+37</xm:f>
          </x14:formula2>
          <xm:sqref>H32:I34</xm:sqref>
        </x14:dataValidation>
        <x14:dataValidation xr:uid="{008B007C-00AC-4F5C-A6D7-005E00930087}" type="decimal" allowBlank="1" error="Допускается ввод только действительных чисел!" errorStyle="stop" errorTitle="Ошибка" imeMode="noControl" operator="between" showDropDown="0" showErrorMessage="1" showInputMessage="0">
          <x14:formula1>
            <xm:f>-9.99999999999999E+23</xm:f>
          </x14:formula1>
          <x14:formula2>
            <xm:f>9.99999999999999E+23</xm:f>
          </x14:formula2>
          <xm:sqref>H30:I30</xm:sqref>
        </x14:dataValidation>
        <x14:dataValidation xr:uid="{00BA00D7-00C5-4FAB-827B-003F008F00B1}"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H35:I35</xm:sqref>
        </x14:dataValidation>
        <x14:dataValidation xr:uid="{002800B1-00DA-4793-A4F9-004400E3000B}" type="decimal" allowBlank="1" error="Допускается ввод только неотрицательных чисел!" errorStyle="stop" errorTitle="Ошибка" imeMode="noControl" operator="between" showDropDown="0" showErrorMessage="1" showInputMessage="0">
          <x14:formula1>
            <xm:f>0</xm:f>
          </x14:formula1>
          <x14:formula2>
            <xm:f>9.99999999999999E+23</xm:f>
          </x14:formula2>
          <xm:sqref>H31:I31 H2:I2 H15:I15 H17:I27 H36:I37</xm:sqref>
        </x14:dataValidation>
        <x14:dataValidation xr:uid="{008C003A-008A-4B05-B27B-0057004C0077}" type="textLength" allowBlank="1" error="Допускается ввод не более 900 символов!" errorStyle="stop" errorTitle="Ошибка" imeMode="noControl" operator="lessThanOrEqual" prompt="Введите наименование прочих расходов" showDropDown="0" showErrorMessage="1" showInputMessage="1">
          <x14:formula1>
            <xm:f>900</xm:f>
          </x14:formula1>
          <xm:sqref>H28:I28</xm:sqref>
        </x14:dataValidation>
      </x14:dataValidations>
    </ext>
  </extLst>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outlinePr applyStyles="0" summaryBelow="1" summaryRight="1" showOutlineSymbols="1"/>
    <pageSetUpPr autoPageBreaks="1" fitToPage="0"/>
  </sheetPr>
  <sheetViews>
    <sheetView showGridLines="0" zoomScale="90" workbookViewId="0">
      <pane xSplit="8" ySplit="11" topLeftCell="I12" activePane="bottomRight" state="frozen"/>
      <selection activeCell="A1" activeCellId="0" sqref="A1"/>
    </sheetView>
  </sheetViews>
  <sheetFormatPr defaultColWidth="10.57421875" defaultRowHeight="11.25" customHeight="1"/>
  <cols>
    <col customWidth="1" hidden="1" min="1" max="1" style="124" width="9.140625"/>
    <col customWidth="1" hidden="1" min="2" max="2" style="57" width="3.57421875"/>
    <col customWidth="1" min="3" max="3" style="50" width="3.00390625"/>
    <col customWidth="1" min="4" max="4" style="50" width="7.00390625"/>
    <col customWidth="1" min="5" max="5" style="50" width="69.00390625"/>
    <col customWidth="1" min="6" max="6" style="50" width="10.00390625"/>
    <col customWidth="1" hidden="1" min="7" max="8" style="50" width="44.00390625"/>
    <col customWidth="1" min="9" max="9" style="50" width="44.00390625"/>
    <col customWidth="1" min="10" max="10" style="50" width="43.00390625"/>
    <col customWidth="1" min="11" max="11" style="50" width="73.00390625"/>
    <col customWidth="1" min="12" max="12" style="50" width="3.00390625"/>
    <col customWidth="1" min="13" max="23" style="50" width="10.00390625"/>
    <col hidden="1" min="24" max="24" style="50" width="10.57421875"/>
  </cols>
  <sheetData>
    <row r="1" s="53" customFormat="1" ht="22.5" hidden="1" customHeight="1">
      <c r="A1" s="124"/>
      <c r="B1" s="57"/>
      <c r="G1" s="53">
        <v>4</v>
      </c>
      <c r="I1" s="53">
        <v>4</v>
      </c>
      <c r="K1" s="53">
        <v>5</v>
      </c>
      <c r="X1" s="53" t="s">
        <v>14</v>
      </c>
    </row>
    <row r="2" ht="3" customHeight="1">
      <c r="X2" s="50">
        <v>3</v>
      </c>
    </row>
    <row r="3" ht="78.75" customHeight="1">
      <c r="D3" s="185" t="str">
        <f>KNE_NAME_FORM</f>
        <v xml:space="preserve">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186"/>
      <c r="F3" s="187"/>
      <c r="X3" s="50">
        <v>75</v>
      </c>
    </row>
    <row r="4" s="50" customFormat="1" ht="21" customHeight="1">
      <c r="A4" s="124"/>
      <c r="B4" s="57"/>
      <c r="D4" s="417" t="str">
        <f>IF(org=0,"Не определено",org)</f>
        <v xml:space="preserve">АО "ДГК"</v>
      </c>
      <c r="E4" s="418"/>
      <c r="F4" s="419"/>
      <c r="X4" s="50">
        <v>20</v>
      </c>
    </row>
    <row r="5" ht="11.5" customHeight="1">
      <c r="C5" s="50"/>
      <c r="D5" s="50"/>
      <c r="E5" s="50"/>
      <c r="F5" s="50"/>
      <c r="G5" s="50"/>
      <c r="H5" s="352"/>
      <c r="I5" s="50"/>
      <c r="J5" s="352"/>
      <c r="K5" s="50"/>
      <c r="X5" s="50">
        <v>11</v>
      </c>
    </row>
    <row r="6" ht="1.05" customHeight="1">
      <c r="C6" s="50"/>
      <c r="D6" s="50"/>
      <c r="E6" s="51"/>
      <c r="F6" s="787"/>
      <c r="G6" s="852"/>
      <c r="H6" s="852"/>
      <c r="I6" s="852" t="s">
        <v>117</v>
      </c>
      <c r="J6" s="852"/>
      <c r="X6" s="50">
        <v>1</v>
      </c>
    </row>
    <row r="7" ht="11.5" customHeight="1">
      <c r="D7" s="731"/>
      <c r="E7" s="732" t="s">
        <v>105</v>
      </c>
      <c r="F7" s="733"/>
      <c r="G7" s="734" t="str">
        <f>IF(G6="","",INDEX(DIFFERENTIATION_UNMERGE_VD,MATCH(G6,DIFFERENTIATION_ID_DIFF,0)))</f>
        <v/>
      </c>
      <c r="H7" s="853"/>
      <c r="I7" s="734">
        <f>IF(I6="","",INDEX(DIFFERENTIATION_UNMERGE_VD,MATCH(I6,DIFFERENTIATION_ID_DIFF,0)))</f>
        <v>0</v>
      </c>
      <c r="J7" s="853"/>
      <c r="K7" s="320"/>
      <c r="L7" s="50"/>
      <c r="X7" s="50">
        <v>11</v>
      </c>
    </row>
    <row r="8" ht="11.5" customHeight="1">
      <c r="A8" s="124"/>
      <c r="D8" s="731"/>
      <c r="E8" s="732" t="s">
        <v>568</v>
      </c>
      <c r="F8" s="733"/>
      <c r="G8" s="734" t="str">
        <f>IF(G6="","",INDEX(DIFFERENTIATION_UNMERGE_AREA,MATCH(G6,DIFFERENTIATION_ID_DIFF,0)))</f>
        <v/>
      </c>
      <c r="H8" s="853"/>
      <c r="I8" s="734" t="str">
        <f>IF(I6="","",INDEX(DIFFERENTIATION_UNMERGE_AREA,MATCH(I6,DIFFERENTIATION_ID_DIFF,0)))</f>
        <v/>
      </c>
      <c r="J8" s="853"/>
      <c r="K8" s="319"/>
      <c r="L8" s="50"/>
      <c r="X8" s="50">
        <v>11</v>
      </c>
    </row>
    <row r="9" ht="11.5" customHeight="1">
      <c r="A9" s="124"/>
      <c r="D9" s="731"/>
      <c r="E9" s="732" t="s">
        <v>569</v>
      </c>
      <c r="F9" s="733"/>
      <c r="G9" s="734" t="str">
        <f>IF(G6="","",INDEX(DIFFERENTIATION_UNMERGE_SYSTEM,MATCH(G6,DIFFERENTIATION_ID_DIFF,0)))</f>
        <v/>
      </c>
      <c r="H9" s="853"/>
      <c r="I9" s="734" t="str">
        <f>IF(I6="","",INDEX(DIFFERENTIATION_UNMERGE_SYSTEM,MATCH(I6,DIFFERENTIATION_ID_DIFF,0)))</f>
        <v xml:space="preserve">без дифференциации</v>
      </c>
      <c r="J9" s="853"/>
      <c r="K9" s="319"/>
      <c r="L9" s="50"/>
      <c r="X9" s="50">
        <v>11</v>
      </c>
    </row>
    <row r="10" s="50" customFormat="1" ht="11.5" customHeight="1">
      <c r="A10" s="124"/>
      <c r="B10" s="57"/>
      <c r="D10" s="73" t="s">
        <v>305</v>
      </c>
      <c r="E10" s="145"/>
      <c r="F10" s="145"/>
      <c r="G10" s="145"/>
      <c r="H10" s="145"/>
      <c r="I10" s="145"/>
      <c r="J10" s="72"/>
      <c r="K10" s="319"/>
      <c r="L10" s="50"/>
      <c r="X10" s="50">
        <v>11</v>
      </c>
    </row>
    <row r="11" s="50" customFormat="1" ht="24" customHeight="1">
      <c r="A11" s="583"/>
      <c r="B11" s="583"/>
      <c r="C11" s="404"/>
      <c r="D11" s="157" t="s">
        <v>89</v>
      </c>
      <c r="E11" s="157" t="s">
        <v>811</v>
      </c>
      <c r="F11" s="157" t="s">
        <v>570</v>
      </c>
      <c r="G11" s="157" t="s">
        <v>308</v>
      </c>
      <c r="H11" s="157" t="s">
        <v>395</v>
      </c>
      <c r="I11" s="157" t="s">
        <v>308</v>
      </c>
      <c r="J11" s="73" t="s">
        <v>395</v>
      </c>
      <c r="K11" s="162"/>
      <c r="L11" s="583"/>
      <c r="X11" s="50">
        <v>23</v>
      </c>
    </row>
    <row r="12" s="57" customFormat="1" ht="10.5" customHeight="1">
      <c r="A12" s="540"/>
      <c r="D12" s="540" t="s">
        <v>109</v>
      </c>
      <c r="E12" s="540" t="s">
        <v>110</v>
      </c>
      <c r="F12" s="540" t="s">
        <v>91</v>
      </c>
      <c r="G12" s="132" t="str">
        <f>G1&amp;".1"</f>
        <v>4.1</v>
      </c>
      <c r="H12" s="132" t="str">
        <f>G1&amp;".2"</f>
        <v>4.2</v>
      </c>
      <c r="I12" s="132" t="str">
        <f>I1&amp;".1"</f>
        <v>4.1</v>
      </c>
      <c r="J12" s="132" t="str">
        <f>I1&amp;".2"</f>
        <v>4.2</v>
      </c>
      <c r="K12" s="132"/>
      <c r="X12" s="57">
        <v>10</v>
      </c>
    </row>
    <row r="13" ht="22.5" customHeight="1">
      <c r="A13" s="854" t="s">
        <v>812</v>
      </c>
      <c r="D13" s="218" t="s">
        <v>109</v>
      </c>
      <c r="E13" s="326" t="s">
        <v>813</v>
      </c>
      <c r="F13" s="146" t="s">
        <v>814</v>
      </c>
      <c r="G13" s="737"/>
      <c r="H13" s="820"/>
      <c r="I13" s="737"/>
      <c r="J13" s="820"/>
      <c r="K13" s="494" t="s">
        <v>815</v>
      </c>
      <c r="L13" s="855"/>
      <c r="X13" s="50">
        <v>0</v>
      </c>
    </row>
    <row r="14" ht="22.5" customHeight="1">
      <c r="A14" s="854"/>
      <c r="D14" s="218" t="s">
        <v>110</v>
      </c>
      <c r="E14" s="326" t="s">
        <v>816</v>
      </c>
      <c r="F14" s="146" t="s">
        <v>817</v>
      </c>
      <c r="G14" s="737"/>
      <c r="H14" s="820"/>
      <c r="I14" s="737"/>
      <c r="J14" s="820"/>
      <c r="K14" s="494" t="s">
        <v>818</v>
      </c>
      <c r="L14" s="855"/>
      <c r="X14" s="50">
        <v>0</v>
      </c>
    </row>
    <row r="15" s="50" customFormat="1" ht="78.75" customHeight="1">
      <c r="A15" s="854"/>
      <c r="B15" s="57"/>
      <c r="D15" s="218" t="s">
        <v>91</v>
      </c>
      <c r="E15" s="326" t="s">
        <v>819</v>
      </c>
      <c r="F15" s="157" t="s">
        <v>311</v>
      </c>
      <c r="G15" s="157" t="s">
        <v>311</v>
      </c>
      <c r="H15" s="291"/>
      <c r="I15" s="157" t="s">
        <v>311</v>
      </c>
      <c r="J15" s="291"/>
      <c r="K15" s="494" t="s">
        <v>820</v>
      </c>
      <c r="L15" s="855"/>
      <c r="X15" s="50">
        <v>0</v>
      </c>
    </row>
    <row r="16" s="50" customFormat="1" ht="22.5" customHeight="1">
      <c r="A16" s="854"/>
      <c r="B16" s="57"/>
      <c r="D16" s="218" t="s">
        <v>329</v>
      </c>
      <c r="E16" s="682" t="s">
        <v>821</v>
      </c>
      <c r="F16" s="157" t="s">
        <v>822</v>
      </c>
      <c r="G16" s="856"/>
      <c r="H16" s="291"/>
      <c r="I16" s="856"/>
      <c r="J16" s="291"/>
      <c r="K16" s="494"/>
      <c r="L16" s="855"/>
      <c r="X16" s="50">
        <v>0</v>
      </c>
    </row>
    <row r="17" s="50" customFormat="1" ht="22.5" customHeight="1">
      <c r="A17" s="854"/>
      <c r="B17" s="57"/>
      <c r="D17" s="218" t="s">
        <v>337</v>
      </c>
      <c r="E17" s="682" t="s">
        <v>823</v>
      </c>
      <c r="F17" s="157" t="s">
        <v>824</v>
      </c>
      <c r="G17" s="856"/>
      <c r="H17" s="291"/>
      <c r="I17" s="856"/>
      <c r="J17" s="291"/>
      <c r="K17" s="494"/>
      <c r="L17" s="855"/>
      <c r="X17" s="50">
        <v>0</v>
      </c>
    </row>
    <row r="18" s="50" customFormat="1" ht="33.75" customHeight="1">
      <c r="A18" s="854"/>
      <c r="B18" s="57"/>
      <c r="D18" s="218" t="s">
        <v>339</v>
      </c>
      <c r="E18" s="682" t="s">
        <v>825</v>
      </c>
      <c r="F18" s="157" t="s">
        <v>575</v>
      </c>
      <c r="G18" s="857"/>
      <c r="H18" s="291"/>
      <c r="I18" s="857"/>
      <c r="J18" s="291"/>
      <c r="K18" s="494"/>
      <c r="L18" s="855"/>
      <c r="X18" s="50">
        <v>0</v>
      </c>
    </row>
    <row r="19" ht="101.25" customHeight="1">
      <c r="A19" s="854"/>
      <c r="D19" s="218" t="s">
        <v>92</v>
      </c>
      <c r="E19" s="326" t="s">
        <v>826</v>
      </c>
      <c r="F19" s="146" t="s">
        <v>550</v>
      </c>
      <c r="G19" s="457"/>
      <c r="H19" s="820"/>
      <c r="I19" s="457"/>
      <c r="J19" s="820"/>
      <c r="K19" s="494" t="s">
        <v>827</v>
      </c>
      <c r="L19" s="855"/>
      <c r="X19" s="50">
        <v>0</v>
      </c>
    </row>
    <row r="20" s="50" customFormat="1" ht="18.75" customHeight="1">
      <c r="A20" s="854"/>
      <c r="C20" s="128"/>
      <c r="D20" s="218" t="s">
        <v>758</v>
      </c>
      <c r="E20" s="682" t="s">
        <v>828</v>
      </c>
      <c r="F20" s="157" t="s">
        <v>311</v>
      </c>
      <c r="G20" s="157" t="s">
        <v>311</v>
      </c>
      <c r="H20" s="320" t="s">
        <v>311</v>
      </c>
      <c r="I20" s="157" t="s">
        <v>311</v>
      </c>
      <c r="J20" s="320" t="s">
        <v>311</v>
      </c>
      <c r="K20" s="73"/>
      <c r="L20" s="855"/>
      <c r="W20" s="114"/>
      <c r="X20" s="50">
        <v>0</v>
      </c>
    </row>
    <row r="21" s="50" customFormat="1" ht="33.75" customHeight="1">
      <c r="A21" s="854"/>
      <c r="C21" s="128"/>
      <c r="D21" s="218" t="s">
        <v>761</v>
      </c>
      <c r="E21" s="753" t="s">
        <v>829</v>
      </c>
      <c r="F21" s="157" t="s">
        <v>830</v>
      </c>
      <c r="G21" s="857"/>
      <c r="H21" s="291"/>
      <c r="I21" s="857"/>
      <c r="J21" s="291"/>
      <c r="K21" s="73"/>
      <c r="L21" s="855"/>
      <c r="W21" s="114"/>
      <c r="X21" s="50">
        <v>0</v>
      </c>
    </row>
    <row r="22" s="50" customFormat="1" ht="33.75" customHeight="1">
      <c r="A22" s="854"/>
      <c r="C22" s="128"/>
      <c r="D22" s="218" t="s">
        <v>764</v>
      </c>
      <c r="E22" s="753" t="s">
        <v>831</v>
      </c>
      <c r="F22" s="157" t="s">
        <v>832</v>
      </c>
      <c r="G22" s="857"/>
      <c r="H22" s="291"/>
      <c r="I22" s="857"/>
      <c r="J22" s="291"/>
      <c r="K22" s="73"/>
      <c r="L22" s="855"/>
      <c r="W22" s="114"/>
      <c r="X22" s="50">
        <v>0</v>
      </c>
    </row>
    <row r="23" s="50" customFormat="1" ht="22.5" customHeight="1">
      <c r="A23" s="854"/>
      <c r="C23" s="128"/>
      <c r="D23" s="218" t="s">
        <v>800</v>
      </c>
      <c r="E23" s="682" t="s">
        <v>833</v>
      </c>
      <c r="F23" s="157" t="s">
        <v>311</v>
      </c>
      <c r="G23" s="157" t="s">
        <v>311</v>
      </c>
      <c r="H23" s="320" t="s">
        <v>311</v>
      </c>
      <c r="I23" s="157" t="s">
        <v>311</v>
      </c>
      <c r="J23" s="320" t="s">
        <v>311</v>
      </c>
      <c r="K23" s="73"/>
      <c r="L23" s="855"/>
      <c r="W23" s="114"/>
      <c r="X23" s="50">
        <v>0</v>
      </c>
    </row>
    <row r="24" s="50" customFormat="1" ht="22.5" customHeight="1">
      <c r="A24" s="854"/>
      <c r="C24" s="128"/>
      <c r="D24" s="218" t="s">
        <v>834</v>
      </c>
      <c r="E24" s="753" t="s">
        <v>835</v>
      </c>
      <c r="F24" s="157" t="s">
        <v>836</v>
      </c>
      <c r="G24" s="857"/>
      <c r="H24" s="688"/>
      <c r="I24" s="857"/>
      <c r="J24" s="688"/>
      <c r="K24" s="73"/>
      <c r="L24" s="855"/>
      <c r="W24" s="114"/>
      <c r="X24" s="50">
        <v>0</v>
      </c>
    </row>
    <row r="25" s="50" customFormat="1" ht="22.5" customHeight="1">
      <c r="A25" s="854"/>
      <c r="C25" s="128"/>
      <c r="D25" s="218" t="s">
        <v>837</v>
      </c>
      <c r="E25" s="753" t="s">
        <v>838</v>
      </c>
      <c r="F25" s="157" t="s">
        <v>311</v>
      </c>
      <c r="G25" s="157" t="s">
        <v>311</v>
      </c>
      <c r="H25" s="320" t="s">
        <v>311</v>
      </c>
      <c r="I25" s="157" t="s">
        <v>311</v>
      </c>
      <c r="J25" s="320" t="s">
        <v>311</v>
      </c>
      <c r="K25" s="73"/>
      <c r="L25" s="855"/>
      <c r="W25" s="114"/>
      <c r="X25" s="50">
        <v>0</v>
      </c>
    </row>
    <row r="26" s="50" customFormat="1" ht="18.75" customHeight="1">
      <c r="A26" s="854"/>
      <c r="C26" s="128"/>
      <c r="D26" s="218" t="s">
        <v>839</v>
      </c>
      <c r="E26" s="722" t="s">
        <v>840</v>
      </c>
      <c r="F26" s="157" t="s">
        <v>841</v>
      </c>
      <c r="G26" s="857"/>
      <c r="H26" s="688"/>
      <c r="I26" s="857"/>
      <c r="J26" s="688"/>
      <c r="K26" s="73"/>
      <c r="L26" s="855"/>
      <c r="W26" s="114"/>
      <c r="X26" s="50">
        <v>0</v>
      </c>
    </row>
    <row r="27" s="50" customFormat="1" ht="18.75" customHeight="1">
      <c r="A27" s="854"/>
      <c r="C27" s="128"/>
      <c r="D27" s="218" t="s">
        <v>842</v>
      </c>
      <c r="E27" s="722" t="s">
        <v>843</v>
      </c>
      <c r="F27" s="157" t="s">
        <v>844</v>
      </c>
      <c r="G27" s="857"/>
      <c r="H27" s="688"/>
      <c r="I27" s="857"/>
      <c r="J27" s="688"/>
      <c r="K27" s="73"/>
      <c r="L27" s="855"/>
      <c r="W27" s="114"/>
      <c r="X27" s="50">
        <v>0</v>
      </c>
    </row>
    <row r="28" s="50" customFormat="1" ht="18.75" customHeight="1">
      <c r="A28" s="854"/>
      <c r="C28" s="128"/>
      <c r="D28" s="218" t="s">
        <v>845</v>
      </c>
      <c r="E28" s="753" t="s">
        <v>846</v>
      </c>
      <c r="F28" s="157" t="s">
        <v>311</v>
      </c>
      <c r="G28" s="157" t="s">
        <v>311</v>
      </c>
      <c r="H28" s="320" t="s">
        <v>311</v>
      </c>
      <c r="I28" s="157" t="s">
        <v>311</v>
      </c>
      <c r="J28" s="320" t="s">
        <v>311</v>
      </c>
      <c r="K28" s="73"/>
      <c r="L28" s="855"/>
      <c r="W28" s="114"/>
      <c r="X28" s="50">
        <v>0</v>
      </c>
    </row>
    <row r="29" s="50" customFormat="1" ht="18.75" customHeight="1">
      <c r="A29" s="854"/>
      <c r="C29" s="128"/>
      <c r="D29" s="218" t="s">
        <v>847</v>
      </c>
      <c r="E29" s="722" t="s">
        <v>840</v>
      </c>
      <c r="F29" s="157" t="s">
        <v>848</v>
      </c>
      <c r="G29" s="857"/>
      <c r="H29" s="688"/>
      <c r="I29" s="857"/>
      <c r="J29" s="688"/>
      <c r="K29" s="73"/>
      <c r="L29" s="855"/>
      <c r="W29" s="114"/>
      <c r="X29" s="50">
        <v>0</v>
      </c>
    </row>
    <row r="30" s="50" customFormat="1" ht="18.75" customHeight="1">
      <c r="A30" s="854"/>
      <c r="C30" s="128"/>
      <c r="D30" s="218" t="s">
        <v>849</v>
      </c>
      <c r="E30" s="722" t="s">
        <v>850</v>
      </c>
      <c r="F30" s="157" t="s">
        <v>851</v>
      </c>
      <c r="G30" s="857"/>
      <c r="H30" s="688"/>
      <c r="I30" s="857"/>
      <c r="J30" s="688"/>
      <c r="K30" s="73"/>
      <c r="L30" s="855"/>
      <c r="W30" s="114"/>
      <c r="X30" s="50">
        <v>0</v>
      </c>
    </row>
    <row r="31" ht="126.75" customHeight="1">
      <c r="A31" s="854"/>
      <c r="D31" s="218" t="s">
        <v>111</v>
      </c>
      <c r="E31" s="326" t="s">
        <v>852</v>
      </c>
      <c r="F31" s="146" t="s">
        <v>562</v>
      </c>
      <c r="G31" s="737"/>
      <c r="H31" s="820"/>
      <c r="I31" s="737"/>
      <c r="J31" s="820"/>
      <c r="K31" s="494" t="s">
        <v>853</v>
      </c>
      <c r="L31" s="855"/>
      <c r="X31" s="50">
        <v>0</v>
      </c>
    </row>
    <row r="32" ht="56.25" customHeight="1">
      <c r="A32" s="854"/>
      <c r="D32" s="218" t="s">
        <v>93</v>
      </c>
      <c r="E32" s="326" t="s">
        <v>854</v>
      </c>
      <c r="F32" s="218" t="s">
        <v>824</v>
      </c>
      <c r="G32" s="737"/>
      <c r="H32" s="820"/>
      <c r="I32" s="737"/>
      <c r="J32" s="820"/>
      <c r="K32" s="494" t="s">
        <v>855</v>
      </c>
      <c r="L32" s="855"/>
      <c r="X32" s="50">
        <v>0</v>
      </c>
    </row>
    <row r="33" ht="11.25" customHeight="1">
      <c r="A33" s="854"/>
      <c r="E33" s="486"/>
      <c r="F33" s="180"/>
      <c r="G33" s="180"/>
      <c r="H33" s="180"/>
      <c r="I33" s="180"/>
      <c r="J33" s="180"/>
      <c r="K33" s="180"/>
      <c r="X33" s="50">
        <v>0</v>
      </c>
    </row>
    <row r="34" ht="12.75" customHeight="1">
      <c r="A34" s="854"/>
      <c r="D34" s="404">
        <v>1</v>
      </c>
      <c r="E34" s="858" t="s">
        <v>856</v>
      </c>
      <c r="X34" s="50">
        <v>0</v>
      </c>
    </row>
    <row r="35" ht="11.25" customHeight="1">
      <c r="A35" s="854"/>
      <c r="D35" s="404"/>
      <c r="E35" s="858" t="s">
        <v>857</v>
      </c>
      <c r="X35" s="50">
        <v>0</v>
      </c>
    </row>
    <row r="36" s="50" customFormat="1" ht="11.5" customHeight="1">
      <c r="A36" s="124"/>
      <c r="B36" s="57"/>
      <c r="D36" s="404"/>
      <c r="E36" s="858"/>
      <c r="X36" s="50">
        <v>11</v>
      </c>
    </row>
    <row r="37" s="50" customFormat="1" ht="22.5" hidden="1" customHeight="1">
      <c r="A37" s="854" t="s">
        <v>858</v>
      </c>
      <c r="B37" s="57"/>
      <c r="D37" s="218">
        <v>1</v>
      </c>
      <c r="E37" s="326" t="s">
        <v>859</v>
      </c>
      <c r="F37" s="146" t="s">
        <v>814</v>
      </c>
      <c r="G37" s="737"/>
      <c r="H37" s="859"/>
      <c r="I37" s="737"/>
      <c r="J37" s="859"/>
      <c r="K37" s="494" t="s">
        <v>860</v>
      </c>
      <c r="X37" s="50">
        <v>0</v>
      </c>
    </row>
    <row r="38" s="50" customFormat="1" ht="22.5" hidden="1" customHeight="1">
      <c r="A38" s="854"/>
      <c r="B38" s="57"/>
      <c r="D38" s="860" t="s">
        <v>110</v>
      </c>
      <c r="E38" s="861" t="s">
        <v>861</v>
      </c>
      <c r="F38" s="862" t="s">
        <v>550</v>
      </c>
      <c r="G38" s="862" t="s">
        <v>550</v>
      </c>
      <c r="H38" s="863"/>
      <c r="I38" s="862" t="s">
        <v>550</v>
      </c>
      <c r="J38" s="863"/>
      <c r="K38" s="564"/>
      <c r="X38" s="50">
        <v>0</v>
      </c>
    </row>
    <row r="39" s="50" customFormat="1" ht="33.75" hidden="1" customHeight="1">
      <c r="A39" s="854"/>
      <c r="B39" s="57"/>
      <c r="D39" s="864" t="s">
        <v>716</v>
      </c>
      <c r="E39" s="865" t="s">
        <v>862</v>
      </c>
      <c r="F39" s="146" t="s">
        <v>863</v>
      </c>
      <c r="G39" s="866"/>
      <c r="H39" s="867"/>
      <c r="I39" s="866"/>
      <c r="J39" s="867"/>
      <c r="K39" s="494" t="s">
        <v>864</v>
      </c>
      <c r="X39" s="50">
        <v>0</v>
      </c>
    </row>
    <row r="40" s="50" customFormat="1" ht="33.75" hidden="1" customHeight="1">
      <c r="A40" s="854"/>
      <c r="B40" s="57"/>
      <c r="D40" s="864" t="s">
        <v>719</v>
      </c>
      <c r="E40" s="865" t="s">
        <v>865</v>
      </c>
      <c r="F40" s="868" t="s">
        <v>866</v>
      </c>
      <c r="G40" s="869"/>
      <c r="H40" s="867"/>
      <c r="I40" s="869"/>
      <c r="J40" s="867"/>
      <c r="K40" s="494" t="s">
        <v>867</v>
      </c>
      <c r="X40" s="50">
        <v>0</v>
      </c>
    </row>
    <row r="41" s="50" customFormat="1" ht="22.5" hidden="1" customHeight="1">
      <c r="A41" s="854"/>
      <c r="B41" s="57"/>
      <c r="D41" s="864" t="s">
        <v>91</v>
      </c>
      <c r="E41" s="870" t="s">
        <v>868</v>
      </c>
      <c r="F41" s="146" t="s">
        <v>550</v>
      </c>
      <c r="G41" s="146" t="s">
        <v>550</v>
      </c>
      <c r="H41" s="871"/>
      <c r="I41" s="146" t="s">
        <v>550</v>
      </c>
      <c r="J41" s="871"/>
      <c r="K41" s="568"/>
      <c r="X41" s="50">
        <v>0</v>
      </c>
    </row>
    <row r="42" s="50" customFormat="1" ht="45" hidden="1" customHeight="1">
      <c r="A42" s="854"/>
      <c r="B42" s="57"/>
      <c r="D42" s="864" t="s">
        <v>329</v>
      </c>
      <c r="E42" s="865" t="s">
        <v>869</v>
      </c>
      <c r="F42" s="146" t="s">
        <v>562</v>
      </c>
      <c r="G42" s="737"/>
      <c r="H42" s="871"/>
      <c r="I42" s="737"/>
      <c r="J42" s="871"/>
      <c r="K42" s="568" t="s">
        <v>870</v>
      </c>
      <c r="X42" s="50">
        <v>0</v>
      </c>
    </row>
    <row r="43" s="50" customFormat="1" ht="45" hidden="1" customHeight="1">
      <c r="A43" s="854"/>
      <c r="B43" s="57"/>
      <c r="D43" s="864" t="s">
        <v>337</v>
      </c>
      <c r="E43" s="872" t="s">
        <v>871</v>
      </c>
      <c r="F43" s="873" t="s">
        <v>562</v>
      </c>
      <c r="G43" s="773"/>
      <c r="H43" s="867"/>
      <c r="I43" s="773"/>
      <c r="J43" s="867"/>
      <c r="K43" s="568" t="s">
        <v>872</v>
      </c>
      <c r="X43" s="50">
        <v>0</v>
      </c>
    </row>
    <row r="44" s="50" customFormat="1" ht="11.25" hidden="1" customHeight="1">
      <c r="A44" s="854"/>
      <c r="B44" s="57"/>
      <c r="D44" s="864" t="s">
        <v>92</v>
      </c>
      <c r="E44" s="874" t="s">
        <v>873</v>
      </c>
      <c r="F44" s="146" t="s">
        <v>863</v>
      </c>
      <c r="G44" s="866"/>
      <c r="H44" s="867"/>
      <c r="I44" s="866"/>
      <c r="J44" s="867"/>
      <c r="K44" s="494"/>
      <c r="X44" s="50">
        <v>0</v>
      </c>
    </row>
    <row r="45" s="50" customFormat="1" ht="11.25" hidden="1" customHeight="1">
      <c r="A45" s="854"/>
      <c r="B45" s="57"/>
      <c r="D45" s="864" t="s">
        <v>758</v>
      </c>
      <c r="E45" s="872" t="s">
        <v>874</v>
      </c>
      <c r="F45" s="146" t="s">
        <v>863</v>
      </c>
      <c r="G45" s="866"/>
      <c r="H45" s="867"/>
      <c r="I45" s="866"/>
      <c r="J45" s="867"/>
      <c r="K45" s="494"/>
      <c r="X45" s="50">
        <v>0</v>
      </c>
    </row>
    <row r="46" s="50" customFormat="1" ht="11.25" hidden="1" customHeight="1">
      <c r="A46" s="854"/>
      <c r="B46" s="57"/>
      <c r="D46" s="864" t="s">
        <v>800</v>
      </c>
      <c r="E46" s="872" t="s">
        <v>875</v>
      </c>
      <c r="F46" s="146" t="s">
        <v>863</v>
      </c>
      <c r="G46" s="866"/>
      <c r="H46" s="867"/>
      <c r="I46" s="866"/>
      <c r="J46" s="867"/>
      <c r="K46" s="494"/>
      <c r="X46" s="50">
        <v>0</v>
      </c>
    </row>
    <row r="47" s="50" customFormat="1" ht="11.25" hidden="1" customHeight="1">
      <c r="A47" s="854"/>
      <c r="B47" s="57"/>
      <c r="D47" s="864" t="s">
        <v>803</v>
      </c>
      <c r="E47" s="872" t="s">
        <v>876</v>
      </c>
      <c r="F47" s="146" t="s">
        <v>863</v>
      </c>
      <c r="G47" s="866"/>
      <c r="H47" s="867"/>
      <c r="I47" s="866"/>
      <c r="J47" s="867"/>
      <c r="K47" s="494"/>
      <c r="X47" s="50">
        <v>0</v>
      </c>
    </row>
    <row r="48" s="50" customFormat="1" ht="11.25" hidden="1" customHeight="1">
      <c r="A48" s="854"/>
      <c r="B48" s="57"/>
      <c r="D48" s="864" t="s">
        <v>877</v>
      </c>
      <c r="E48" s="875" t="s">
        <v>878</v>
      </c>
      <c r="F48" s="146" t="s">
        <v>863</v>
      </c>
      <c r="G48" s="866"/>
      <c r="H48" s="867"/>
      <c r="I48" s="866"/>
      <c r="J48" s="867"/>
      <c r="K48" s="494"/>
      <c r="X48" s="50">
        <v>0</v>
      </c>
    </row>
    <row r="49" s="50" customFormat="1" ht="11.25" hidden="1" customHeight="1">
      <c r="A49" s="854"/>
      <c r="B49" s="57"/>
      <c r="D49" s="864" t="s">
        <v>879</v>
      </c>
      <c r="E49" s="875" t="s">
        <v>880</v>
      </c>
      <c r="F49" s="146" t="s">
        <v>863</v>
      </c>
      <c r="G49" s="866"/>
      <c r="H49" s="867"/>
      <c r="I49" s="866"/>
      <c r="J49" s="867"/>
      <c r="K49" s="494"/>
      <c r="X49" s="50">
        <v>0</v>
      </c>
    </row>
    <row r="50" s="50" customFormat="1" ht="11.25" hidden="1" customHeight="1">
      <c r="A50" s="854"/>
      <c r="B50" s="57"/>
      <c r="D50" s="864" t="s">
        <v>881</v>
      </c>
      <c r="E50" s="872" t="s">
        <v>882</v>
      </c>
      <c r="F50" s="146" t="s">
        <v>863</v>
      </c>
      <c r="G50" s="866"/>
      <c r="H50" s="867"/>
      <c r="I50" s="866"/>
      <c r="J50" s="867"/>
      <c r="K50" s="494"/>
      <c r="X50" s="50">
        <v>0</v>
      </c>
    </row>
    <row r="51" s="50" customFormat="1" ht="11.25" hidden="1" customHeight="1">
      <c r="A51" s="854"/>
      <c r="B51" s="57"/>
      <c r="D51" s="864" t="s">
        <v>883</v>
      </c>
      <c r="E51" s="872" t="s">
        <v>884</v>
      </c>
      <c r="F51" s="146" t="s">
        <v>863</v>
      </c>
      <c r="G51" s="866"/>
      <c r="H51" s="867"/>
      <c r="I51" s="866"/>
      <c r="J51" s="867"/>
      <c r="K51" s="494"/>
      <c r="X51" s="50">
        <v>0</v>
      </c>
    </row>
    <row r="52" s="50" customFormat="1" ht="45" hidden="1" customHeight="1">
      <c r="A52" s="854"/>
      <c r="B52" s="57"/>
      <c r="D52" s="864" t="s">
        <v>111</v>
      </c>
      <c r="E52" s="874" t="s">
        <v>885</v>
      </c>
      <c r="F52" s="146" t="s">
        <v>863</v>
      </c>
      <c r="G52" s="866"/>
      <c r="H52" s="867"/>
      <c r="I52" s="866"/>
      <c r="J52" s="867"/>
      <c r="K52" s="494"/>
      <c r="X52" s="50">
        <v>0</v>
      </c>
    </row>
    <row r="53" s="50" customFormat="1" ht="11.25" hidden="1" customHeight="1">
      <c r="A53" s="854"/>
      <c r="B53" s="57"/>
      <c r="D53" s="864" t="s">
        <v>318</v>
      </c>
      <c r="E53" s="872" t="s">
        <v>874</v>
      </c>
      <c r="F53" s="146" t="s">
        <v>863</v>
      </c>
      <c r="G53" s="866"/>
      <c r="H53" s="867"/>
      <c r="I53" s="866"/>
      <c r="J53" s="867"/>
      <c r="K53" s="494"/>
      <c r="X53" s="50">
        <v>0</v>
      </c>
    </row>
    <row r="54" s="50" customFormat="1" ht="11.25" hidden="1" customHeight="1">
      <c r="A54" s="854"/>
      <c r="B54" s="57"/>
      <c r="D54" s="864" t="s">
        <v>886</v>
      </c>
      <c r="E54" s="872" t="s">
        <v>875</v>
      </c>
      <c r="F54" s="146" t="s">
        <v>863</v>
      </c>
      <c r="G54" s="866"/>
      <c r="H54" s="867"/>
      <c r="I54" s="866"/>
      <c r="J54" s="867"/>
      <c r="K54" s="494"/>
      <c r="X54" s="50">
        <v>0</v>
      </c>
    </row>
    <row r="55" s="50" customFormat="1" ht="11.25" hidden="1" customHeight="1">
      <c r="A55" s="854"/>
      <c r="B55" s="57"/>
      <c r="D55" s="864" t="s">
        <v>887</v>
      </c>
      <c r="E55" s="872" t="s">
        <v>876</v>
      </c>
      <c r="F55" s="146" t="s">
        <v>863</v>
      </c>
      <c r="G55" s="866"/>
      <c r="H55" s="867"/>
      <c r="I55" s="866"/>
      <c r="J55" s="867"/>
      <c r="K55" s="494"/>
      <c r="X55" s="50">
        <v>0</v>
      </c>
    </row>
    <row r="56" s="50" customFormat="1" ht="11.25" hidden="1" customHeight="1">
      <c r="A56" s="854"/>
      <c r="B56" s="57"/>
      <c r="D56" s="864" t="s">
        <v>888</v>
      </c>
      <c r="E56" s="875" t="s">
        <v>878</v>
      </c>
      <c r="F56" s="146" t="s">
        <v>863</v>
      </c>
      <c r="G56" s="866"/>
      <c r="H56" s="867"/>
      <c r="I56" s="866"/>
      <c r="J56" s="867"/>
      <c r="K56" s="494"/>
      <c r="X56" s="50">
        <v>0</v>
      </c>
    </row>
    <row r="57" s="50" customFormat="1" ht="11.25" hidden="1" customHeight="1">
      <c r="A57" s="854"/>
      <c r="B57" s="57"/>
      <c r="D57" s="864" t="s">
        <v>889</v>
      </c>
      <c r="E57" s="875" t="s">
        <v>880</v>
      </c>
      <c r="F57" s="146" t="s">
        <v>863</v>
      </c>
      <c r="G57" s="866"/>
      <c r="H57" s="867"/>
      <c r="I57" s="866"/>
      <c r="J57" s="867"/>
      <c r="K57" s="494"/>
      <c r="X57" s="50">
        <v>0</v>
      </c>
    </row>
    <row r="58" s="50" customFormat="1" ht="11.25" hidden="1" customHeight="1">
      <c r="A58" s="854"/>
      <c r="B58" s="57"/>
      <c r="D58" s="864" t="s">
        <v>890</v>
      </c>
      <c r="E58" s="872" t="s">
        <v>882</v>
      </c>
      <c r="F58" s="146" t="s">
        <v>863</v>
      </c>
      <c r="G58" s="866"/>
      <c r="H58" s="867"/>
      <c r="I58" s="866"/>
      <c r="J58" s="867"/>
      <c r="K58" s="494"/>
      <c r="X58" s="50">
        <v>0</v>
      </c>
    </row>
    <row r="59" s="50" customFormat="1" ht="11.25" hidden="1" customHeight="1">
      <c r="A59" s="854"/>
      <c r="B59" s="57"/>
      <c r="D59" s="864" t="s">
        <v>891</v>
      </c>
      <c r="E59" s="872" t="s">
        <v>884</v>
      </c>
      <c r="F59" s="146" t="s">
        <v>863</v>
      </c>
      <c r="G59" s="866"/>
      <c r="H59" s="867"/>
      <c r="I59" s="866"/>
      <c r="J59" s="867"/>
      <c r="K59" s="494"/>
      <c r="X59" s="50">
        <v>0</v>
      </c>
    </row>
    <row r="60" s="50" customFormat="1" ht="33.75" hidden="1" customHeight="1">
      <c r="A60" s="854"/>
      <c r="B60" s="57"/>
      <c r="D60" s="864" t="s">
        <v>93</v>
      </c>
      <c r="E60" s="874" t="s">
        <v>892</v>
      </c>
      <c r="F60" s="876" t="s">
        <v>562</v>
      </c>
      <c r="G60" s="773"/>
      <c r="H60" s="867"/>
      <c r="I60" s="773"/>
      <c r="J60" s="867"/>
      <c r="K60" s="568" t="s">
        <v>893</v>
      </c>
      <c r="X60" s="50">
        <v>0</v>
      </c>
    </row>
    <row r="61" s="50" customFormat="1" ht="33.75" hidden="1" customHeight="1">
      <c r="A61" s="854"/>
      <c r="B61" s="57"/>
      <c r="D61" s="864" t="s">
        <v>94</v>
      </c>
      <c r="E61" s="874" t="s">
        <v>894</v>
      </c>
      <c r="F61" s="877" t="s">
        <v>824</v>
      </c>
      <c r="G61" s="866"/>
      <c r="H61" s="867"/>
      <c r="I61" s="866"/>
      <c r="J61" s="867"/>
      <c r="K61" s="494"/>
      <c r="X61" s="50">
        <v>0</v>
      </c>
    </row>
    <row r="62" s="50" customFormat="1" ht="22.5" hidden="1" customHeight="1">
      <c r="A62" s="854"/>
      <c r="B62" s="57" t="s">
        <v>592</v>
      </c>
      <c r="D62" s="864" t="s">
        <v>112</v>
      </c>
      <c r="E62" s="874" t="s">
        <v>895</v>
      </c>
      <c r="F62" s="877" t="s">
        <v>311</v>
      </c>
      <c r="G62" s="479"/>
      <c r="H62" s="867"/>
      <c r="I62" s="479"/>
      <c r="J62" s="867"/>
      <c r="K62" s="494" t="s">
        <v>635</v>
      </c>
      <c r="X62" s="50">
        <v>0</v>
      </c>
    </row>
    <row r="63" s="50" customFormat="1" ht="45" hidden="1" customHeight="1">
      <c r="A63" s="854"/>
      <c r="B63" s="57" t="s">
        <v>592</v>
      </c>
      <c r="D63" s="864" t="s">
        <v>896</v>
      </c>
      <c r="E63" s="872" t="s">
        <v>897</v>
      </c>
      <c r="F63" s="876" t="s">
        <v>311</v>
      </c>
      <c r="G63" s="479"/>
      <c r="H63" s="867"/>
      <c r="I63" s="479"/>
      <c r="J63" s="867"/>
      <c r="K63" s="494" t="s">
        <v>635</v>
      </c>
      <c r="X63" s="50">
        <v>0</v>
      </c>
    </row>
    <row r="64" s="50" customFormat="1" ht="11.5" customHeight="1">
      <c r="A64" s="124"/>
      <c r="B64" s="57"/>
      <c r="D64" s="404"/>
      <c r="E64" s="858"/>
      <c r="X64" s="50">
        <v>11</v>
      </c>
    </row>
    <row r="65" s="50" customFormat="1" ht="22.5" hidden="1" customHeight="1">
      <c r="A65" s="854" t="s">
        <v>898</v>
      </c>
      <c r="B65" s="57"/>
      <c r="D65" s="864">
        <v>1</v>
      </c>
      <c r="E65" s="878" t="s">
        <v>899</v>
      </c>
      <c r="F65" s="879" t="s">
        <v>814</v>
      </c>
      <c r="G65" s="869"/>
      <c r="H65" s="880"/>
      <c r="I65" s="869"/>
      <c r="J65" s="880"/>
      <c r="K65" s="558" t="s">
        <v>900</v>
      </c>
      <c r="X65" s="50">
        <v>0</v>
      </c>
    </row>
    <row r="66" s="50" customFormat="1" ht="56.25" hidden="1" customHeight="1">
      <c r="A66" s="854"/>
      <c r="B66" s="57"/>
      <c r="D66" s="881" t="s">
        <v>110</v>
      </c>
      <c r="E66" s="326" t="s">
        <v>901</v>
      </c>
      <c r="F66" s="146" t="s">
        <v>550</v>
      </c>
      <c r="G66" s="146" t="s">
        <v>550</v>
      </c>
      <c r="H66" s="859"/>
      <c r="I66" s="146" t="s">
        <v>550</v>
      </c>
      <c r="J66" s="859"/>
      <c r="K66" s="494"/>
      <c r="X66" s="50">
        <v>0</v>
      </c>
    </row>
    <row r="67" s="50" customFormat="1" ht="33.75" hidden="1" customHeight="1">
      <c r="A67" s="854"/>
      <c r="B67" s="57"/>
      <c r="D67" s="881" t="s">
        <v>713</v>
      </c>
      <c r="E67" s="682" t="s">
        <v>902</v>
      </c>
      <c r="F67" s="146" t="s">
        <v>866</v>
      </c>
      <c r="G67" s="826"/>
      <c r="H67" s="859"/>
      <c r="I67" s="826"/>
      <c r="J67" s="859"/>
      <c r="K67" s="494"/>
      <c r="X67" s="50">
        <v>0</v>
      </c>
    </row>
    <row r="68" s="50" customFormat="1" ht="22.5" hidden="1" customHeight="1">
      <c r="A68" s="854"/>
      <c r="B68" s="57"/>
      <c r="D68" s="881" t="s">
        <v>312</v>
      </c>
      <c r="E68" s="682" t="s">
        <v>903</v>
      </c>
      <c r="F68" s="146" t="s">
        <v>866</v>
      </c>
      <c r="G68" s="826"/>
      <c r="H68" s="859"/>
      <c r="I68" s="826"/>
      <c r="J68" s="859"/>
      <c r="K68" s="494"/>
      <c r="X68" s="50">
        <v>0</v>
      </c>
    </row>
    <row r="69" s="50" customFormat="1" ht="22.5" hidden="1" customHeight="1">
      <c r="A69" s="854"/>
      <c r="B69" s="57"/>
      <c r="D69" s="881" t="s">
        <v>315</v>
      </c>
      <c r="E69" s="682" t="s">
        <v>904</v>
      </c>
      <c r="F69" s="876" t="s">
        <v>562</v>
      </c>
      <c r="G69" s="773"/>
      <c r="H69" s="859"/>
      <c r="I69" s="773"/>
      <c r="J69" s="859"/>
      <c r="K69" s="494"/>
      <c r="X69" s="50">
        <v>0</v>
      </c>
    </row>
    <row r="70" s="50" customFormat="1" ht="22.5" hidden="1" customHeight="1">
      <c r="A70" s="854"/>
      <c r="B70" s="57"/>
      <c r="D70" s="881" t="s">
        <v>733</v>
      </c>
      <c r="E70" s="682" t="s">
        <v>905</v>
      </c>
      <c r="F70" s="876" t="s">
        <v>562</v>
      </c>
      <c r="G70" s="773"/>
      <c r="H70" s="859"/>
      <c r="I70" s="773"/>
      <c r="J70" s="859"/>
      <c r="K70" s="494"/>
      <c r="X70" s="50">
        <v>0</v>
      </c>
    </row>
    <row r="71" s="50" customFormat="1" ht="22.5" hidden="1" customHeight="1">
      <c r="A71" s="854"/>
      <c r="B71" s="57"/>
      <c r="D71" s="864" t="s">
        <v>91</v>
      </c>
      <c r="E71" s="874" t="s">
        <v>906</v>
      </c>
      <c r="F71" s="146" t="s">
        <v>866</v>
      </c>
      <c r="G71" s="737"/>
      <c r="H71" s="863"/>
      <c r="I71" s="737"/>
      <c r="J71" s="863"/>
      <c r="K71" s="568"/>
      <c r="X71" s="50">
        <v>0</v>
      </c>
    </row>
    <row r="72" s="50" customFormat="1" ht="56.25" hidden="1" customHeight="1">
      <c r="A72" s="854"/>
      <c r="B72" s="57"/>
      <c r="D72" s="864" t="s">
        <v>92</v>
      </c>
      <c r="E72" s="874" t="s">
        <v>907</v>
      </c>
      <c r="F72" s="876" t="s">
        <v>562</v>
      </c>
      <c r="G72" s="773"/>
      <c r="H72" s="867"/>
      <c r="I72" s="773"/>
      <c r="J72" s="867"/>
      <c r="K72" s="568"/>
      <c r="X72" s="50">
        <v>0</v>
      </c>
    </row>
    <row r="73" s="50" customFormat="1" ht="33.75" hidden="1" customHeight="1">
      <c r="A73" s="854"/>
      <c r="B73" s="57"/>
      <c r="D73" s="864" t="s">
        <v>111</v>
      </c>
      <c r="E73" s="874" t="s">
        <v>908</v>
      </c>
      <c r="F73" s="877" t="s">
        <v>824</v>
      </c>
      <c r="G73" s="866"/>
      <c r="H73" s="867"/>
      <c r="I73" s="866"/>
      <c r="J73" s="867"/>
      <c r="K73" s="494"/>
      <c r="X73" s="50">
        <v>0</v>
      </c>
    </row>
    <row r="74" s="50" customFormat="1" ht="22.5" hidden="1" customHeight="1">
      <c r="A74" s="854"/>
      <c r="B74" s="57" t="s">
        <v>592</v>
      </c>
      <c r="D74" s="864" t="s">
        <v>93</v>
      </c>
      <c r="E74" s="874" t="s">
        <v>909</v>
      </c>
      <c r="F74" s="877" t="s">
        <v>311</v>
      </c>
      <c r="G74" s="479"/>
      <c r="H74" s="867"/>
      <c r="I74" s="479"/>
      <c r="J74" s="867"/>
      <c r="K74" s="494" t="s">
        <v>635</v>
      </c>
      <c r="X74" s="50">
        <v>0</v>
      </c>
    </row>
    <row r="75" s="50" customFormat="1" ht="45" hidden="1" customHeight="1">
      <c r="A75" s="854"/>
      <c r="B75" s="57" t="s">
        <v>592</v>
      </c>
      <c r="D75" s="864" t="s">
        <v>656</v>
      </c>
      <c r="E75" s="872" t="s">
        <v>910</v>
      </c>
      <c r="F75" s="876" t="s">
        <v>311</v>
      </c>
      <c r="G75" s="479"/>
      <c r="H75" s="867"/>
      <c r="I75" s="479"/>
      <c r="J75" s="867"/>
      <c r="K75" s="494" t="s">
        <v>635</v>
      </c>
      <c r="X75" s="50">
        <v>0</v>
      </c>
    </row>
    <row r="76" s="50" customFormat="1" ht="11.5" customHeight="1">
      <c r="A76" s="124"/>
      <c r="B76" s="57"/>
      <c r="D76" s="404"/>
      <c r="E76" s="858"/>
      <c r="X76" s="50">
        <v>11</v>
      </c>
    </row>
    <row r="77" s="50" customFormat="1" ht="11.25" hidden="1" customHeight="1">
      <c r="A77" s="854" t="s">
        <v>911</v>
      </c>
      <c r="B77" s="57"/>
      <c r="D77" s="864">
        <v>1</v>
      </c>
      <c r="E77" s="874" t="s">
        <v>912</v>
      </c>
      <c r="F77" s="876" t="s">
        <v>814</v>
      </c>
      <c r="G77" s="882"/>
      <c r="H77" s="867"/>
      <c r="I77" s="882"/>
      <c r="J77" s="867"/>
      <c r="K77" s="494" t="s">
        <v>913</v>
      </c>
      <c r="X77" s="50">
        <v>0</v>
      </c>
    </row>
    <row r="78" s="50" customFormat="1" ht="11.25" hidden="1" customHeight="1">
      <c r="A78" s="854"/>
      <c r="B78" s="57"/>
      <c r="D78" s="864" t="s">
        <v>110</v>
      </c>
      <c r="E78" s="874" t="s">
        <v>914</v>
      </c>
      <c r="F78" s="876" t="s">
        <v>814</v>
      </c>
      <c r="G78" s="882"/>
      <c r="H78" s="867"/>
      <c r="I78" s="882"/>
      <c r="J78" s="867"/>
      <c r="K78" s="494" t="s">
        <v>915</v>
      </c>
      <c r="X78" s="50">
        <v>0</v>
      </c>
    </row>
    <row r="79" s="50" customFormat="1" ht="22.5" hidden="1" customHeight="1">
      <c r="A79" s="854"/>
      <c r="B79" s="57"/>
      <c r="D79" s="864" t="s">
        <v>91</v>
      </c>
      <c r="E79" s="870" t="s">
        <v>916</v>
      </c>
      <c r="F79" s="146" t="s">
        <v>863</v>
      </c>
      <c r="G79" s="882"/>
      <c r="H79" s="867"/>
      <c r="I79" s="882"/>
      <c r="J79" s="867"/>
      <c r="K79" s="494" t="s">
        <v>917</v>
      </c>
      <c r="X79" s="50">
        <v>0</v>
      </c>
    </row>
    <row r="80" s="50" customFormat="1" ht="11.25" hidden="1" customHeight="1">
      <c r="A80" s="854"/>
      <c r="B80" s="57"/>
      <c r="D80" s="864" t="s">
        <v>329</v>
      </c>
      <c r="E80" s="865" t="s">
        <v>918</v>
      </c>
      <c r="F80" s="146" t="s">
        <v>863</v>
      </c>
      <c r="G80" s="882"/>
      <c r="H80" s="867"/>
      <c r="I80" s="882"/>
      <c r="J80" s="867"/>
      <c r="K80" s="494"/>
      <c r="X80" s="50">
        <v>0</v>
      </c>
    </row>
    <row r="81" s="50" customFormat="1" ht="11.25" hidden="1" customHeight="1">
      <c r="A81" s="854"/>
      <c r="B81" s="57"/>
      <c r="D81" s="864" t="s">
        <v>337</v>
      </c>
      <c r="E81" s="865" t="s">
        <v>919</v>
      </c>
      <c r="F81" s="146" t="s">
        <v>863</v>
      </c>
      <c r="G81" s="882"/>
      <c r="H81" s="867"/>
      <c r="I81" s="882"/>
      <c r="J81" s="867"/>
      <c r="K81" s="494"/>
      <c r="X81" s="50">
        <v>0</v>
      </c>
    </row>
    <row r="82" s="50" customFormat="1" ht="11.25" hidden="1" customHeight="1">
      <c r="A82" s="854"/>
      <c r="B82" s="57"/>
      <c r="D82" s="864" t="s">
        <v>339</v>
      </c>
      <c r="E82" s="865" t="s">
        <v>920</v>
      </c>
      <c r="F82" s="146" t="s">
        <v>863</v>
      </c>
      <c r="G82" s="882"/>
      <c r="H82" s="867"/>
      <c r="I82" s="882"/>
      <c r="J82" s="867"/>
      <c r="K82" s="494"/>
      <c r="X82" s="50">
        <v>0</v>
      </c>
    </row>
    <row r="83" s="50" customFormat="1" ht="11.25" hidden="1" customHeight="1">
      <c r="A83" s="854"/>
      <c r="B83" s="57"/>
      <c r="D83" s="864" t="s">
        <v>341</v>
      </c>
      <c r="E83" s="865" t="s">
        <v>921</v>
      </c>
      <c r="F83" s="146" t="s">
        <v>863</v>
      </c>
      <c r="G83" s="882"/>
      <c r="H83" s="867"/>
      <c r="I83" s="882"/>
      <c r="J83" s="867"/>
      <c r="K83" s="494"/>
      <c r="X83" s="50">
        <v>0</v>
      </c>
    </row>
    <row r="84" s="50" customFormat="1" ht="11.25" hidden="1" customHeight="1">
      <c r="A84" s="854"/>
      <c r="B84" s="57"/>
      <c r="D84" s="864" t="s">
        <v>922</v>
      </c>
      <c r="E84" s="865" t="s">
        <v>923</v>
      </c>
      <c r="F84" s="146" t="s">
        <v>863</v>
      </c>
      <c r="G84" s="882"/>
      <c r="H84" s="867"/>
      <c r="I84" s="882"/>
      <c r="J84" s="867"/>
      <c r="K84" s="494"/>
      <c r="X84" s="50">
        <v>0</v>
      </c>
    </row>
    <row r="85" s="50" customFormat="1" ht="11.25" hidden="1" customHeight="1">
      <c r="A85" s="854"/>
      <c r="B85" s="57"/>
      <c r="D85" s="864" t="s">
        <v>924</v>
      </c>
      <c r="E85" s="865" t="s">
        <v>925</v>
      </c>
      <c r="F85" s="146" t="s">
        <v>863</v>
      </c>
      <c r="G85" s="882"/>
      <c r="H85" s="867"/>
      <c r="I85" s="882"/>
      <c r="J85" s="867"/>
      <c r="K85" s="494"/>
      <c r="X85" s="50">
        <v>0</v>
      </c>
    </row>
    <row r="86" s="50" customFormat="1" ht="11.25" hidden="1" customHeight="1">
      <c r="A86" s="854"/>
      <c r="B86" s="57"/>
      <c r="D86" s="864" t="s">
        <v>926</v>
      </c>
      <c r="E86" s="865" t="s">
        <v>927</v>
      </c>
      <c r="F86" s="146" t="s">
        <v>863</v>
      </c>
      <c r="G86" s="882"/>
      <c r="H86" s="867"/>
      <c r="I86" s="882"/>
      <c r="J86" s="867"/>
      <c r="K86" s="494"/>
      <c r="X86" s="50">
        <v>0</v>
      </c>
    </row>
    <row r="87" s="50" customFormat="1" ht="45" hidden="1" customHeight="1">
      <c r="A87" s="854"/>
      <c r="B87" s="57"/>
      <c r="D87" s="864" t="s">
        <v>92</v>
      </c>
      <c r="E87" s="874" t="s">
        <v>928</v>
      </c>
      <c r="F87" s="146" t="s">
        <v>863</v>
      </c>
      <c r="G87" s="882"/>
      <c r="H87" s="867"/>
      <c r="I87" s="882"/>
      <c r="J87" s="867"/>
      <c r="K87" s="494" t="s">
        <v>929</v>
      </c>
      <c r="X87" s="50">
        <v>0</v>
      </c>
    </row>
    <row r="88" s="50" customFormat="1" ht="11.25" hidden="1" customHeight="1">
      <c r="A88" s="854"/>
      <c r="B88" s="57"/>
      <c r="D88" s="864" t="s">
        <v>758</v>
      </c>
      <c r="E88" s="865" t="s">
        <v>918</v>
      </c>
      <c r="F88" s="146" t="s">
        <v>863</v>
      </c>
      <c r="G88" s="882"/>
      <c r="H88" s="867"/>
      <c r="I88" s="882"/>
      <c r="J88" s="867"/>
      <c r="K88" s="494"/>
      <c r="X88" s="50">
        <v>0</v>
      </c>
    </row>
    <row r="89" s="50" customFormat="1" ht="11.25" hidden="1" customHeight="1">
      <c r="A89" s="854"/>
      <c r="B89" s="57"/>
      <c r="D89" s="864" t="s">
        <v>800</v>
      </c>
      <c r="E89" s="865" t="s">
        <v>919</v>
      </c>
      <c r="F89" s="146" t="s">
        <v>863</v>
      </c>
      <c r="G89" s="882"/>
      <c r="H89" s="867"/>
      <c r="I89" s="882"/>
      <c r="J89" s="867"/>
      <c r="K89" s="494"/>
      <c r="X89" s="50">
        <v>0</v>
      </c>
    </row>
    <row r="90" s="50" customFormat="1" ht="11.25" hidden="1" customHeight="1">
      <c r="A90" s="854"/>
      <c r="B90" s="57"/>
      <c r="D90" s="864" t="s">
        <v>803</v>
      </c>
      <c r="E90" s="865" t="s">
        <v>920</v>
      </c>
      <c r="F90" s="146" t="s">
        <v>863</v>
      </c>
      <c r="G90" s="882"/>
      <c r="H90" s="867"/>
      <c r="I90" s="882"/>
      <c r="J90" s="867"/>
      <c r="K90" s="494"/>
      <c r="X90" s="50">
        <v>0</v>
      </c>
    </row>
    <row r="91" s="50" customFormat="1" ht="11.25" hidden="1" customHeight="1">
      <c r="A91" s="854"/>
      <c r="B91" s="57"/>
      <c r="D91" s="864" t="s">
        <v>881</v>
      </c>
      <c r="E91" s="865" t="s">
        <v>921</v>
      </c>
      <c r="F91" s="146" t="s">
        <v>863</v>
      </c>
      <c r="G91" s="882"/>
      <c r="H91" s="867"/>
      <c r="I91" s="882"/>
      <c r="J91" s="867"/>
      <c r="K91" s="494"/>
      <c r="X91" s="50">
        <v>0</v>
      </c>
    </row>
    <row r="92" s="50" customFormat="1" ht="11.25" hidden="1" customHeight="1">
      <c r="A92" s="854"/>
      <c r="B92" s="57"/>
      <c r="D92" s="864" t="s">
        <v>883</v>
      </c>
      <c r="E92" s="865" t="s">
        <v>923</v>
      </c>
      <c r="F92" s="146" t="s">
        <v>863</v>
      </c>
      <c r="G92" s="882"/>
      <c r="H92" s="867"/>
      <c r="I92" s="882"/>
      <c r="J92" s="867"/>
      <c r="K92" s="494"/>
      <c r="X92" s="50">
        <v>0</v>
      </c>
    </row>
    <row r="93" s="50" customFormat="1" ht="11.25" hidden="1" customHeight="1">
      <c r="A93" s="854"/>
      <c r="B93" s="57"/>
      <c r="D93" s="864" t="s">
        <v>930</v>
      </c>
      <c r="E93" s="865" t="s">
        <v>925</v>
      </c>
      <c r="F93" s="146" t="s">
        <v>863</v>
      </c>
      <c r="G93" s="882"/>
      <c r="H93" s="867"/>
      <c r="I93" s="882"/>
      <c r="J93" s="867"/>
      <c r="K93" s="494"/>
      <c r="X93" s="50">
        <v>0</v>
      </c>
    </row>
    <row r="94" s="50" customFormat="1" ht="11.25" hidden="1" customHeight="1">
      <c r="A94" s="854"/>
      <c r="B94" s="57"/>
      <c r="D94" s="864" t="s">
        <v>931</v>
      </c>
      <c r="E94" s="865" t="s">
        <v>927</v>
      </c>
      <c r="F94" s="146" t="s">
        <v>863</v>
      </c>
      <c r="G94" s="882"/>
      <c r="H94" s="867"/>
      <c r="I94" s="882"/>
      <c r="J94" s="867"/>
      <c r="K94" s="494"/>
      <c r="X94" s="50">
        <v>0</v>
      </c>
    </row>
    <row r="95" s="50" customFormat="1" ht="24.75" hidden="1" customHeight="1">
      <c r="A95" s="854"/>
      <c r="B95" s="57"/>
      <c r="D95" s="864" t="s">
        <v>111</v>
      </c>
      <c r="E95" s="874" t="s">
        <v>932</v>
      </c>
      <c r="F95" s="883" t="s">
        <v>562</v>
      </c>
      <c r="G95" s="826"/>
      <c r="H95" s="867"/>
      <c r="I95" s="826"/>
      <c r="J95" s="867"/>
      <c r="K95" s="494" t="s">
        <v>933</v>
      </c>
      <c r="X95" s="50">
        <v>0</v>
      </c>
    </row>
    <row r="96" s="50" customFormat="1" ht="33.75" hidden="1" customHeight="1">
      <c r="A96" s="854"/>
      <c r="B96" s="57"/>
      <c r="D96" s="864" t="s">
        <v>93</v>
      </c>
      <c r="E96" s="874" t="s">
        <v>934</v>
      </c>
      <c r="F96" s="877" t="s">
        <v>824</v>
      </c>
      <c r="G96" s="884"/>
      <c r="H96" s="867"/>
      <c r="I96" s="884"/>
      <c r="J96" s="867"/>
      <c r="K96" s="494"/>
      <c r="X96" s="50">
        <v>0</v>
      </c>
    </row>
    <row r="97" s="50" customFormat="1" ht="22.5" hidden="1" customHeight="1">
      <c r="A97" s="854"/>
      <c r="B97" s="57" t="s">
        <v>592</v>
      </c>
      <c r="D97" s="864" t="s">
        <v>94</v>
      </c>
      <c r="E97" s="874" t="s">
        <v>935</v>
      </c>
      <c r="F97" s="877" t="s">
        <v>311</v>
      </c>
      <c r="G97" s="829"/>
      <c r="H97" s="867"/>
      <c r="I97" s="829"/>
      <c r="J97" s="867"/>
      <c r="K97" s="494" t="s">
        <v>635</v>
      </c>
      <c r="X97" s="50">
        <v>0</v>
      </c>
    </row>
    <row r="98" s="50" customFormat="1" ht="45" hidden="1" customHeight="1">
      <c r="A98" s="854"/>
      <c r="B98" s="57" t="s">
        <v>592</v>
      </c>
      <c r="D98" s="864" t="s">
        <v>936</v>
      </c>
      <c r="E98" s="872" t="s">
        <v>937</v>
      </c>
      <c r="F98" s="876" t="s">
        <v>311</v>
      </c>
      <c r="G98" s="829"/>
      <c r="H98" s="867"/>
      <c r="I98" s="829"/>
      <c r="J98" s="867"/>
      <c r="K98" s="494" t="s">
        <v>635</v>
      </c>
      <c r="X98" s="50">
        <v>0</v>
      </c>
    </row>
    <row r="99" s="50" customFormat="1" ht="95.25" hidden="1" customHeight="1">
      <c r="A99" s="854"/>
      <c r="B99" s="57" t="s">
        <v>592</v>
      </c>
      <c r="D99" s="864" t="s">
        <v>112</v>
      </c>
      <c r="E99" s="874" t="s">
        <v>938</v>
      </c>
      <c r="F99" s="876" t="s">
        <v>311</v>
      </c>
      <c r="G99" s="829"/>
      <c r="H99" s="867"/>
      <c r="I99" s="829"/>
      <c r="J99" s="867"/>
      <c r="K99" s="494" t="s">
        <v>635</v>
      </c>
      <c r="X99" s="50">
        <v>0</v>
      </c>
    </row>
    <row r="100" s="50" customFormat="1" ht="22.5" hidden="1" customHeight="1">
      <c r="A100" s="854"/>
      <c r="B100" s="57" t="s">
        <v>592</v>
      </c>
      <c r="D100" s="864" t="s">
        <v>148</v>
      </c>
      <c r="E100" s="874" t="s">
        <v>939</v>
      </c>
      <c r="F100" s="876" t="s">
        <v>311</v>
      </c>
      <c r="G100" s="829"/>
      <c r="H100" s="867"/>
      <c r="I100" s="829"/>
      <c r="J100" s="867"/>
      <c r="K100" s="494" t="s">
        <v>635</v>
      </c>
      <c r="X100" s="50">
        <v>0</v>
      </c>
    </row>
    <row r="101" s="50" customFormat="1" ht="11.5" customHeight="1">
      <c r="A101" s="124"/>
      <c r="B101" s="57"/>
      <c r="D101" s="404"/>
      <c r="E101" s="858"/>
      <c r="X101" s="50">
        <v>11</v>
      </c>
    </row>
    <row r="102" ht="22.5" hidden="1" customHeight="1">
      <c r="A102" s="124" t="s">
        <v>83</v>
      </c>
      <c r="B102" s="57">
        <v>0</v>
      </c>
      <c r="C102" s="50">
        <v>3</v>
      </c>
      <c r="D102" s="50">
        <v>7</v>
      </c>
      <c r="E102" s="50">
        <v>69</v>
      </c>
      <c r="F102" s="50">
        <v>10</v>
      </c>
      <c r="G102" s="50">
        <v>0</v>
      </c>
      <c r="H102" s="50">
        <v>0</v>
      </c>
      <c r="I102" s="50">
        <v>43</v>
      </c>
      <c r="J102" s="50">
        <v>43</v>
      </c>
      <c r="K102" s="50">
        <v>73</v>
      </c>
      <c r="L102" s="50">
        <v>3</v>
      </c>
      <c r="M102" s="50">
        <v>10</v>
      </c>
      <c r="N102" s="50">
        <v>10</v>
      </c>
      <c r="O102" s="50">
        <v>10</v>
      </c>
      <c r="P102" s="50">
        <v>10</v>
      </c>
      <c r="Q102" s="50">
        <v>10</v>
      </c>
      <c r="R102" s="50">
        <v>10</v>
      </c>
      <c r="S102" s="50">
        <v>10</v>
      </c>
      <c r="T102" s="50">
        <v>10</v>
      </c>
      <c r="U102" s="50">
        <v>10</v>
      </c>
      <c r="V102" s="50">
        <v>10</v>
      </c>
      <c r="W102" s="50">
        <v>10</v>
      </c>
      <c r="X102" s="50">
        <v>23</v>
      </c>
    </row>
  </sheetData>
  <sheetProtection autoFilter="0" deleteColumns="1" deleteRows="1" formatCells="1" formatColumns="0" formatRows="0" insertColumns="1" insertHyperlinks="1" insertRows="1" objects="0" pivotTables="1" scenarios="0" selectLockedCells="0" selectUnlockedCells="0" sheet="1" sort="1"/>
  <mergeCells count="18">
    <mergeCell ref="D3:F3"/>
    <mergeCell ref="D4:F4"/>
    <mergeCell ref="E7:F7"/>
    <mergeCell ref="G7:H7"/>
    <mergeCell ref="I7:J7"/>
    <mergeCell ref="K7:K11"/>
    <mergeCell ref="E8:F8"/>
    <mergeCell ref="G8:H8"/>
    <mergeCell ref="I8:J8"/>
    <mergeCell ref="E9:F9"/>
    <mergeCell ref="G9:H9"/>
    <mergeCell ref="I9:J9"/>
    <mergeCell ref="D10:J10"/>
    <mergeCell ref="A11:B11"/>
    <mergeCell ref="A13:A35"/>
    <mergeCell ref="A37:A63"/>
    <mergeCell ref="A65:A75"/>
    <mergeCell ref="A77:A100"/>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6" disablePrompts="0">
        <x14:dataValidation xr:uid="{00F60005-0031-4F45-911A-00B40098001D}" type="textLength" allowBlank="1" error="Допускается ввод не более 900 символов!" errorStyle="stop" errorTitle="Ошибка" imeMode="noControl" operator="lessThanOrEqual" showDropDown="0" showErrorMessage="1" showInputMessage="1">
          <x14:formula1>
            <xm:f>900</xm:f>
          </x14:formula1>
          <xm:sqref>H21:H22 H29:H30 H24 H26:H27 H15:H18 J26:J27 J15:J18 J21:J22 J29:J30 J24</xm:sqref>
        </x14:dataValidation>
        <x14:dataValidation xr:uid="{00150025-00CC-4C09-8CAC-00F5004400C0}" type="whole" allowBlank="1" error="Допускается ввод только неотрицательных целых чисел!" errorStyle="stop" errorTitle="Ошибка" imeMode="noControl" operator="between" showDropDown="0" showErrorMessage="1" showInputMessage="0">
          <x14:formula1>
            <xm:f>0</xm:f>
          </x14:formula1>
          <x14:formula2>
            <xm:f>9.99999999999999E+23</xm:f>
          </x14:formula2>
          <xm:sqref>G16:G17 I16:I17</xm:sqref>
        </x14:dataValidation>
        <x14:dataValidation xr:uid="{00BB006A-000C-4444-819A-005B006A00AF}" type="decimal" allowBlank="1" error="Допускается ввод только неотрицательных чисел!" errorStyle="stop" errorTitle="Ошибка" imeMode="noControl" operator="between" showDropDown="0" showErrorMessage="1" showInputMessage="0">
          <x14:formula1>
            <xm:f>0</xm:f>
          </x14:formula1>
          <x14:formula2>
            <xm:f>9.99999999999999E+23</xm:f>
          </x14:formula2>
          <xm:sqref>G32 G67:G68 G39:G40 G37 G44:G59 G61 G77:G94 G73 G71 G96 G65 G18 G13:G14 G29:G30 G26:G27 I32 I67:I68 I39:I40 I37 I44:I59 I61 I77:I94 I73 I71 I96 I65 I18 I13:I14 I29:I30 I26:I27 I21:I22 G24 G21:G22 I24</xm:sqref>
        </x14:dataValidation>
        <x14:dataValidation xr:uid="{006900EA-003E-4C4C-BE59-000300C20058}"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H31:H32 J31:J32 G62:G63 G74:G75 G97:G100 I62:I63 I74:I75 I97:I100 H13:H14 H19 J19 J13:J14</xm:sqref>
        </x14:dataValidation>
        <x14:dataValidation xr:uid="{00900011-00E8-4BD0-B4BE-00E3009F00D6}" type="decimal" allowBlank="1" error="Введите значение от 0 до 100%" errorStyle="stop" errorTitle="Ошибка" imeMode="noControl" operator="between" showDropDown="0" showErrorMessage="1" showInputMessage="0">
          <x14:formula1>
            <xm:f>0</xm:f>
          </x14:formula1>
          <x14:formula2>
            <xm:f>100</xm:f>
          </x14:formula2>
          <xm:sqref>G31 G95 G60 G72 G42:G43 G69:G70 I31 I95 I60 I72 I42:I43 I69:I70</xm:sqref>
        </x14:dataValidation>
        <x14:dataValidation xr:uid="{0082004B-0020-47D3-8023-00FB0006002C}" type="list" allowBlank="1" error="Укажите значение вручную или выберите из списка!" errorStyle="stop" errorTitle="Ошибка" imeMode="noControl" operator="between" prompt="Укажите значение вручную или выберите из списка" showDropDown="0" showErrorMessage="0" showInputMessage="1">
          <x14:formula1>
            <xm:f>"Не утверждены"</xm:f>
          </x14:formula1>
          <xm:sqref>G19 I19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outlinePr applyStyles="0" summaryBelow="1" summaryRight="1" showOutlineSymbols="1"/>
    <pageSetUpPr autoPageBreaks="1" fitToPage="0"/>
  </sheetPr>
  <sheetViews>
    <sheetView showGridLines="0" zoomScale="90" workbookViewId="0">
      <pane xSplit="4" ySplit="12" topLeftCell="E13" activePane="bottomRight" state="frozen"/>
      <selection activeCell="A1" activeCellId="0" sqref="A1"/>
    </sheetView>
  </sheetViews>
  <sheetFormatPr defaultColWidth="9.140625" defaultRowHeight="11.25" customHeight="1"/>
  <cols>
    <col customWidth="1" hidden="1" min="1" max="1" style="184" width="6.421875"/>
    <col customWidth="1" hidden="1" min="2" max="2" style="184" width="2.00390625"/>
    <col customWidth="1" min="3" max="3" style="184" width="3.00390625"/>
    <col customWidth="1" min="4" max="4" style="184" width="4.00390625"/>
    <col customWidth="1" min="5" max="5" style="184" width="44.00390625"/>
    <col customWidth="1" min="6" max="6" style="184" width="6.421875"/>
    <col customWidth="1" min="7" max="7" style="184" width="4.00390625"/>
    <col customWidth="1" min="8" max="8" style="184" width="5.00390625"/>
    <col customWidth="1" min="9" max="9" style="184" width="52.00390625"/>
    <col customWidth="1" min="10" max="10" style="184" width="7.00390625"/>
    <col customWidth="1" min="11" max="11" style="184" width="3.00390625"/>
    <col customWidth="1" min="12" max="12" style="184" width="6.00390625"/>
    <col customWidth="1" min="13" max="13" style="184" width="56.00390625"/>
    <col customWidth="1" min="14" max="14" style="151" width="8.00390625"/>
    <col hidden="1" min="15" max="20" style="129" width="9.140625"/>
    <col hidden="1" min="21" max="24" style="106" width="9.140625"/>
    <col hidden="1" min="25" max="37" style="151" width="9.140625"/>
    <col customWidth="1" min="38" max="38" style="151" width="8.00390625"/>
    <col hidden="1" min="39" max="39" style="184" width="9.140625"/>
  </cols>
  <sheetData>
    <row r="1" ht="11.25" hidden="1" customHeight="1">
      <c r="AM1" s="184" t="s">
        <v>14</v>
      </c>
    </row>
    <row r="2" ht="11.25" hidden="1" customHeight="1">
      <c r="AM2" s="184">
        <v>0</v>
      </c>
    </row>
    <row r="3" ht="11.5" customHeight="1">
      <c r="AM3" s="184">
        <v>11</v>
      </c>
    </row>
    <row r="4" ht="35.649999999999999" customHeight="1">
      <c r="A4" s="106"/>
      <c r="B4" s="106"/>
      <c r="D4" s="185" t="str">
        <f>Титульный!E5</f>
        <v xml:space="preserve">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186"/>
      <c r="F4" s="186"/>
      <c r="G4" s="186"/>
      <c r="H4" s="186"/>
      <c r="I4" s="187"/>
      <c r="J4" s="151"/>
      <c r="K4" s="151"/>
      <c r="L4" s="151"/>
      <c r="M4" s="151"/>
      <c r="AM4" s="184">
        <v>34</v>
      </c>
    </row>
    <row r="5" s="188" customFormat="1" ht="14.65" customHeight="1">
      <c r="A5" s="106"/>
      <c r="B5" s="106"/>
      <c r="C5" s="106"/>
      <c r="D5" s="189" t="str">
        <f>IF(org=0,"Не определено",org)</f>
        <v xml:space="preserve">АО "ДГК"</v>
      </c>
      <c r="E5" s="190"/>
      <c r="F5" s="190"/>
      <c r="G5" s="190"/>
      <c r="H5" s="190"/>
      <c r="I5" s="191"/>
      <c r="J5" s="192"/>
      <c r="K5" s="192"/>
      <c r="L5" s="192"/>
      <c r="M5" s="192"/>
      <c r="N5" s="192"/>
      <c r="O5" s="193"/>
      <c r="P5" s="193"/>
      <c r="Q5" s="193"/>
      <c r="R5" s="193"/>
      <c r="S5" s="193"/>
      <c r="T5" s="193"/>
      <c r="U5" s="194"/>
      <c r="V5" s="194"/>
      <c r="W5" s="194"/>
      <c r="X5" s="194"/>
      <c r="Y5" s="192"/>
      <c r="Z5" s="192"/>
      <c r="AA5" s="192"/>
      <c r="AB5" s="192"/>
      <c r="AC5" s="192"/>
      <c r="AD5" s="192"/>
      <c r="AE5" s="192"/>
      <c r="AF5" s="192"/>
      <c r="AG5" s="192"/>
      <c r="AH5" s="192"/>
      <c r="AI5" s="192"/>
      <c r="AJ5" s="192"/>
      <c r="AK5" s="192"/>
      <c r="AL5" s="192"/>
      <c r="AM5" s="188">
        <v>14</v>
      </c>
    </row>
    <row r="6" s="188" customFormat="1" ht="6.2999999999999998" customHeight="1">
      <c r="A6" s="51"/>
      <c r="B6" s="51"/>
      <c r="C6" s="51"/>
      <c r="D6" s="51"/>
      <c r="E6" s="51"/>
      <c r="F6" s="51"/>
      <c r="G6" s="50"/>
      <c r="H6" s="50"/>
      <c r="I6" s="50"/>
      <c r="J6" s="50"/>
      <c r="K6" s="50"/>
      <c r="N6" s="192"/>
      <c r="O6" s="193"/>
      <c r="P6" s="193"/>
      <c r="Q6" s="193"/>
      <c r="R6" s="193"/>
      <c r="S6" s="193"/>
      <c r="T6" s="193"/>
      <c r="U6" s="194"/>
      <c r="V6" s="194"/>
      <c r="W6" s="194"/>
      <c r="X6" s="194"/>
      <c r="Y6" s="192"/>
      <c r="Z6" s="192"/>
      <c r="AA6" s="192"/>
      <c r="AB6" s="192"/>
      <c r="AC6" s="192"/>
      <c r="AD6" s="192"/>
      <c r="AE6" s="192"/>
      <c r="AF6" s="192"/>
      <c r="AG6" s="192"/>
      <c r="AH6" s="192"/>
      <c r="AI6" s="192"/>
      <c r="AJ6" s="192"/>
      <c r="AK6" s="192"/>
      <c r="AL6" s="192"/>
      <c r="AM6" s="188">
        <v>6</v>
      </c>
    </row>
    <row r="7" ht="45.75" hidden="1" customHeight="1">
      <c r="E7" s="195"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 xml:space="preserve">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196"/>
      <c r="G7" s="196"/>
      <c r="H7" s="196"/>
      <c r="I7" s="196"/>
      <c r="J7" s="196"/>
      <c r="K7" s="196"/>
      <c r="L7" s="196"/>
      <c r="M7" s="196"/>
      <c r="AM7" s="184">
        <v>0</v>
      </c>
    </row>
    <row r="8" s="188" customFormat="1" ht="6.2999999999999998" customHeight="1">
      <c r="A8" s="197"/>
      <c r="B8" s="197"/>
      <c r="C8" s="197"/>
      <c r="D8" s="197"/>
      <c r="E8" s="197"/>
      <c r="F8" s="197"/>
      <c r="G8" s="197"/>
      <c r="H8" s="197"/>
      <c r="I8" s="197"/>
      <c r="J8" s="197"/>
      <c r="K8" s="197"/>
      <c r="L8" s="197"/>
      <c r="M8" s="188"/>
      <c r="N8" s="192"/>
      <c r="O8" s="193"/>
      <c r="P8" s="193"/>
      <c r="Q8" s="193"/>
      <c r="R8" s="193"/>
      <c r="S8" s="193"/>
      <c r="T8" s="193"/>
      <c r="U8" s="194"/>
      <c r="V8" s="194"/>
      <c r="W8" s="194"/>
      <c r="X8" s="194"/>
      <c r="Y8" s="192"/>
      <c r="Z8" s="192"/>
      <c r="AA8" s="192"/>
      <c r="AB8" s="192"/>
      <c r="AC8" s="192"/>
      <c r="AD8" s="192"/>
      <c r="AE8" s="192"/>
      <c r="AF8" s="192"/>
      <c r="AG8" s="192"/>
      <c r="AH8" s="192"/>
      <c r="AI8" s="192"/>
      <c r="AJ8" s="192"/>
      <c r="AK8" s="192"/>
      <c r="AL8" s="192"/>
      <c r="AM8" s="188">
        <v>6</v>
      </c>
    </row>
    <row r="9" ht="18.75" customHeight="1">
      <c r="A9" s="198"/>
      <c r="B9" s="50"/>
      <c r="C9" s="50"/>
      <c r="D9" s="157" t="s">
        <v>105</v>
      </c>
      <c r="E9" s="157"/>
      <c r="F9" s="199" t="s">
        <v>106</v>
      </c>
      <c r="G9" s="200"/>
      <c r="H9" s="200"/>
      <c r="I9" s="200"/>
      <c r="J9" s="201" t="s">
        <v>107</v>
      </c>
      <c r="K9" s="201"/>
      <c r="L9" s="201"/>
      <c r="M9" s="201"/>
      <c r="AM9" s="184">
        <v>18</v>
      </c>
    </row>
    <row r="10" ht="24" customHeight="1">
      <c r="A10" s="198"/>
      <c r="B10" s="51"/>
      <c r="C10" s="202"/>
      <c r="D10" s="157" t="s">
        <v>89</v>
      </c>
      <c r="E10" s="157" t="s">
        <v>90</v>
      </c>
      <c r="F10" s="157" t="s">
        <v>108</v>
      </c>
      <c r="G10" s="203" t="s">
        <v>89</v>
      </c>
      <c r="H10" s="204"/>
      <c r="I10" s="157" t="s">
        <v>90</v>
      </c>
      <c r="J10" s="157" t="s">
        <v>108</v>
      </c>
      <c r="K10" s="203" t="s">
        <v>89</v>
      </c>
      <c r="L10" s="204"/>
      <c r="M10" s="157" t="s">
        <v>90</v>
      </c>
      <c r="N10" s="205"/>
      <c r="AM10" s="184">
        <v>23</v>
      </c>
    </row>
    <row r="11" s="184" customFormat="1" ht="11.25" hidden="1" customHeight="1">
      <c r="A11" s="206"/>
      <c r="B11" s="206"/>
      <c r="C11" s="206"/>
      <c r="D11" s="207" t="s">
        <v>109</v>
      </c>
      <c r="E11" s="207" t="s">
        <v>110</v>
      </c>
      <c r="F11" s="207" t="s">
        <v>91</v>
      </c>
      <c r="G11" s="208" t="s">
        <v>92</v>
      </c>
      <c r="H11" s="209"/>
      <c r="I11" s="207" t="s">
        <v>111</v>
      </c>
      <c r="J11" s="207" t="s">
        <v>93</v>
      </c>
      <c r="K11" s="210" t="s">
        <v>94</v>
      </c>
      <c r="L11" s="211"/>
      <c r="M11" s="207" t="s">
        <v>112</v>
      </c>
      <c r="N11" s="205"/>
      <c r="O11" s="129"/>
      <c r="P11" s="129"/>
      <c r="Q11" s="129"/>
      <c r="R11" s="129"/>
      <c r="S11" s="129"/>
      <c r="T11" s="129"/>
      <c r="U11" s="106"/>
      <c r="V11" s="106"/>
      <c r="W11" s="106"/>
      <c r="X11" s="106"/>
      <c r="Y11" s="151"/>
      <c r="Z11" s="151"/>
      <c r="AA11" s="151"/>
      <c r="AB11" s="151"/>
      <c r="AC11" s="151"/>
      <c r="AD11" s="151"/>
      <c r="AE11" s="151"/>
      <c r="AF11" s="151"/>
      <c r="AG11" s="151"/>
      <c r="AH11" s="151"/>
      <c r="AI11" s="151"/>
      <c r="AJ11" s="151"/>
      <c r="AK11" s="151"/>
      <c r="AL11" s="151"/>
      <c r="AM11" s="184">
        <v>0</v>
      </c>
    </row>
    <row r="12" ht="1.05" customHeight="1">
      <c r="A12" s="212"/>
      <c r="B12" s="51"/>
      <c r="C12" s="51"/>
      <c r="D12" s="213"/>
      <c r="E12" s="214"/>
      <c r="F12" s="214"/>
      <c r="G12" s="215"/>
      <c r="H12" s="215"/>
      <c r="I12" s="214"/>
      <c r="J12" s="214"/>
      <c r="K12" s="216"/>
      <c r="L12" s="214"/>
      <c r="M12" s="217"/>
      <c r="N12" s="205"/>
      <c r="O12" s="129" t="s">
        <v>113</v>
      </c>
      <c r="P12" s="129" t="s">
        <v>114</v>
      </c>
      <c r="Q12" s="129" t="s">
        <v>115</v>
      </c>
      <c r="R12" s="129" t="s">
        <v>116</v>
      </c>
      <c r="AM12" s="184">
        <v>1</v>
      </c>
    </row>
    <row r="13" s="184" customFormat="1" ht="15.75" customHeight="1">
      <c r="A13" s="63"/>
      <c r="B13" s="63"/>
      <c r="C13" s="128"/>
      <c r="D13" s="218" t="s">
        <v>109</v>
      </c>
      <c r="E13" s="219"/>
      <c r="F13" s="220" t="s">
        <v>67</v>
      </c>
      <c r="G13" s="221"/>
      <c r="H13" s="222">
        <v>1</v>
      </c>
      <c r="I13" s="223" t="str">
        <f>IF(U13="","",INDEX(TERRITORY_MR_LIST,MATCH(U13,TERRITORY_LIST_ID,0)))</f>
        <v/>
      </c>
      <c r="J13" s="224" t="s">
        <v>19</v>
      </c>
      <c r="K13" s="225"/>
      <c r="L13" s="218" t="s">
        <v>109</v>
      </c>
      <c r="M13" s="226" t="s">
        <v>28</v>
      </c>
      <c r="N13" s="205"/>
      <c r="O13" s="129" t="s">
        <v>117</v>
      </c>
      <c r="P13" s="129">
        <f>$E$13</f>
        <v>0</v>
      </c>
      <c r="Q13" s="129" t="str">
        <f>IF($F$13="нет","без дифференциации",$I$13)</f>
        <v/>
      </c>
      <c r="R13" s="129" t="str">
        <f>IF($J$13="нет","без дифференциации",M13)</f>
        <v xml:space="preserve">без дифференциации</v>
      </c>
      <c r="S13" s="129"/>
      <c r="T13" s="129"/>
      <c r="U13" s="106"/>
      <c r="V13" s="106"/>
      <c r="W13" s="106"/>
      <c r="X13" s="106"/>
      <c r="Y13" s="151" t="s">
        <v>118</v>
      </c>
      <c r="Z13" s="151">
        <v>1705000</v>
      </c>
      <c r="AA13" s="151"/>
      <c r="AB13" s="151"/>
      <c r="AC13" s="151"/>
      <c r="AD13" s="151"/>
      <c r="AE13" s="151"/>
      <c r="AF13" s="151"/>
      <c r="AG13" s="151"/>
      <c r="AH13" s="151"/>
      <c r="AI13" s="151"/>
      <c r="AJ13" s="151"/>
      <c r="AK13" s="151"/>
      <c r="AL13" s="151"/>
      <c r="AM13" s="184">
        <v>15</v>
      </c>
    </row>
    <row r="14" s="184" customFormat="1" ht="15.75" customHeight="1">
      <c r="A14" s="63"/>
      <c r="B14" s="63"/>
      <c r="C14" s="149"/>
      <c r="D14" s="218"/>
      <c r="E14" s="227"/>
      <c r="F14" s="224"/>
      <c r="G14" s="221"/>
      <c r="H14" s="222"/>
      <c r="I14" s="228"/>
      <c r="J14" s="224"/>
      <c r="K14" s="170"/>
      <c r="L14" s="171"/>
      <c r="M14" s="229" t="s">
        <v>119</v>
      </c>
      <c r="N14" s="205"/>
      <c r="O14" s="129"/>
      <c r="P14" s="129"/>
      <c r="Q14" s="129"/>
      <c r="R14" s="129"/>
      <c r="S14" s="129"/>
      <c r="T14" s="129"/>
      <c r="U14" s="106"/>
      <c r="V14" s="106"/>
      <c r="W14" s="106"/>
      <c r="X14" s="106"/>
      <c r="Y14" s="151"/>
      <c r="Z14" s="151"/>
      <c r="AA14" s="151"/>
      <c r="AB14" s="151"/>
      <c r="AC14" s="151"/>
      <c r="AD14" s="151"/>
      <c r="AE14" s="151"/>
      <c r="AF14" s="151"/>
      <c r="AG14" s="151"/>
      <c r="AH14" s="151"/>
      <c r="AI14" s="151"/>
      <c r="AJ14" s="151"/>
      <c r="AK14" s="151"/>
      <c r="AL14" s="151"/>
      <c r="AM14" s="184">
        <v>15</v>
      </c>
    </row>
    <row r="15" s="184" customFormat="1" ht="15.75" customHeight="1">
      <c r="A15" s="63"/>
      <c r="B15" s="63"/>
      <c r="C15" s="149"/>
      <c r="D15" s="218"/>
      <c r="E15" s="230"/>
      <c r="F15" s="224"/>
      <c r="G15" s="231"/>
      <c r="H15" s="232"/>
      <c r="I15" s="172" t="s">
        <v>120</v>
      </c>
      <c r="J15" s="171"/>
      <c r="K15" s="171"/>
      <c r="L15" s="171"/>
      <c r="M15" s="233"/>
      <c r="N15" s="205"/>
      <c r="O15" s="129"/>
      <c r="P15" s="129"/>
      <c r="Q15" s="129"/>
      <c r="R15" s="129"/>
      <c r="S15" s="129"/>
      <c r="T15" s="129"/>
      <c r="U15" s="106"/>
      <c r="V15" s="106"/>
      <c r="W15" s="106"/>
      <c r="X15" s="106"/>
      <c r="Y15" s="151"/>
      <c r="Z15" s="151"/>
      <c r="AA15" s="151"/>
      <c r="AB15" s="151"/>
      <c r="AC15" s="151"/>
      <c r="AD15" s="151"/>
      <c r="AE15" s="151"/>
      <c r="AF15" s="151"/>
      <c r="AG15" s="151"/>
      <c r="AH15" s="151"/>
      <c r="AI15" s="151"/>
      <c r="AJ15" s="151"/>
      <c r="AK15" s="151"/>
      <c r="AL15" s="151"/>
      <c r="AM15" s="184">
        <v>15</v>
      </c>
    </row>
    <row r="16" ht="15.75" customHeight="1">
      <c r="A16" s="234"/>
      <c r="B16" s="60"/>
      <c r="C16" s="125"/>
      <c r="D16" s="170"/>
      <c r="E16" s="235" t="s">
        <v>121</v>
      </c>
      <c r="F16" s="171"/>
      <c r="G16" s="171"/>
      <c r="H16" s="171"/>
      <c r="I16" s="171"/>
      <c r="J16" s="171"/>
      <c r="K16" s="171" t="s">
        <v>28</v>
      </c>
      <c r="L16" s="171"/>
      <c r="M16" s="233"/>
      <c r="N16" s="205"/>
      <c r="AM16" s="184">
        <v>15</v>
      </c>
    </row>
    <row r="17" ht="11.25" hidden="1" customHeight="1">
      <c r="A17" s="184" t="s">
        <v>83</v>
      </c>
      <c r="B17" s="184">
        <v>0</v>
      </c>
      <c r="C17" s="184">
        <v>3</v>
      </c>
      <c r="D17" s="184">
        <v>4</v>
      </c>
      <c r="E17" s="184">
        <v>44</v>
      </c>
      <c r="F17" s="184">
        <v>6</v>
      </c>
      <c r="G17" s="184">
        <v>4</v>
      </c>
      <c r="H17" s="184">
        <v>5</v>
      </c>
      <c r="I17" s="184">
        <v>52</v>
      </c>
      <c r="J17" s="184">
        <v>6</v>
      </c>
      <c r="K17" s="184">
        <v>3</v>
      </c>
      <c r="L17" s="184">
        <v>6</v>
      </c>
      <c r="M17" s="184">
        <v>56</v>
      </c>
      <c r="N17" s="151">
        <v>8</v>
      </c>
      <c r="O17" s="129">
        <v>0</v>
      </c>
      <c r="P17" s="129">
        <v>0</v>
      </c>
      <c r="Q17" s="129">
        <v>0</v>
      </c>
      <c r="R17" s="129">
        <v>0</v>
      </c>
      <c r="S17" s="129">
        <v>0</v>
      </c>
      <c r="T17" s="129">
        <v>0</v>
      </c>
      <c r="U17" s="106">
        <v>0</v>
      </c>
      <c r="V17" s="106">
        <v>0</v>
      </c>
      <c r="W17" s="106">
        <v>0</v>
      </c>
      <c r="X17" s="106">
        <v>0</v>
      </c>
      <c r="Y17" s="151">
        <v>0</v>
      </c>
      <c r="Z17" s="151">
        <v>0</v>
      </c>
      <c r="AA17" s="151">
        <v>0</v>
      </c>
      <c r="AB17" s="151">
        <v>0</v>
      </c>
      <c r="AC17" s="151">
        <v>0</v>
      </c>
      <c r="AD17" s="151">
        <v>0</v>
      </c>
      <c r="AE17" s="151">
        <v>0</v>
      </c>
      <c r="AF17" s="151">
        <v>0</v>
      </c>
      <c r="AG17" s="151">
        <v>0</v>
      </c>
      <c r="AH17" s="151">
        <v>0</v>
      </c>
      <c r="AI17" s="151">
        <v>0</v>
      </c>
      <c r="AJ17" s="151">
        <v>0</v>
      </c>
      <c r="AK17" s="151">
        <v>0</v>
      </c>
      <c r="AL17" s="151">
        <v>8</v>
      </c>
      <c r="AM17" s="184">
        <v>11</v>
      </c>
    </row>
  </sheetData>
  <sheetProtection autoFilter="0" deleteColumns="1" deleteRows="1" formatCells="1" formatColumns="0" formatRows="0" insertColumns="1" insertHyperlinks="1" insertRows="1" objects="0" pivotTables="1" scenarios="0" selectLockedCells="0" selectUnlockedCells="0" sheet="1" sort="1"/>
  <mergeCells count="19">
    <mergeCell ref="D4:I4"/>
    <mergeCell ref="D5:I5"/>
    <mergeCell ref="A6:F6"/>
    <mergeCell ref="E7:M7"/>
    <mergeCell ref="A9:A10"/>
    <mergeCell ref="D9:E9"/>
    <mergeCell ref="F9:I9"/>
    <mergeCell ref="J9:M9"/>
    <mergeCell ref="G10:H10"/>
    <mergeCell ref="K10:L10"/>
    <mergeCell ref="G11:H11"/>
    <mergeCell ref="K11:L11"/>
    <mergeCell ref="D13:D15"/>
    <mergeCell ref="E13:E15"/>
    <mergeCell ref="F13:F15"/>
    <mergeCell ref="G13:G14"/>
    <mergeCell ref="H13:H14"/>
    <mergeCell ref="I13:I14"/>
    <mergeCell ref="J13:J14"/>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1" disablePrompts="0">
        <x14:dataValidation xr:uid="{0034008D-0007-4A23-83B9-008D008D007E}" type="textLength" allowBlank="1" error="Допускается ввод не более 900 символов!" errorStyle="stop" imeMode="noControl" operator="lessThan" showDropDown="0" showErrorMessage="1" showInputMessage="1">
          <x14:formula1>
            <xm:f>900</xm:f>
          </x14:formula1>
          <xm:sqref>M13</xm:sqref>
        </x14:dataValidation>
      </x14:dataValidations>
    </ext>
  </extLst>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E26B0A"/>
    <outlinePr applyStyles="0" summaryBelow="1" summaryRight="1" showOutlineSymbols="1"/>
    <pageSetUpPr autoPageBreaks="1" fitToPage="0"/>
  </sheetPr>
  <sheetViews>
    <sheetView showGridLines="0" zoomScale="90" workbookViewId="0">
      <pane xSplit="8" ySplit="31" topLeftCell="I32" activePane="bottomRight" state="frozen"/>
      <selection activeCell="A1" activeCellId="0" sqref="A1"/>
    </sheetView>
  </sheetViews>
  <sheetFormatPr defaultColWidth="10.57421875" defaultRowHeight="15" customHeight="1"/>
  <cols>
    <col customWidth="1" hidden="1" min="1" max="1" style="56" width="9.140625"/>
    <col customWidth="1" hidden="1" min="2" max="2" style="50" width="9.140625"/>
    <col customWidth="1" min="3" max="3" style="149" width="4.00390625"/>
    <col customWidth="1" min="4" max="4" style="50" width="6.00390625"/>
    <col customWidth="1" min="5" max="5" style="50" width="36.00390625"/>
    <col customWidth="1" min="6" max="6" style="50" width="9.00390625"/>
    <col customWidth="1" hidden="1" min="7" max="7" style="50" width="25.7109375"/>
    <col customWidth="1" hidden="1" min="8" max="8" style="50" width="33.7109375"/>
    <col customWidth="1" min="9" max="9" style="50" width="25.7109375"/>
    <col customWidth="1" min="10" max="10" style="50" width="33.00390625"/>
    <col customWidth="1" min="11" max="11" style="53" width="93.00390625"/>
    <col customWidth="1" min="12" max="20" style="50" width="10.00390625"/>
    <col customWidth="1" min="21" max="21" style="114" width="10.00390625"/>
    <col hidden="1" min="22" max="22" style="50" width="10.57421875"/>
  </cols>
  <sheetData>
    <row r="1" s="53" customFormat="1" ht="22.5" hidden="1" customHeight="1">
      <c r="C1" s="113"/>
      <c r="G1" s="53">
        <v>4</v>
      </c>
      <c r="I1" s="53">
        <v>4</v>
      </c>
      <c r="U1" s="166"/>
      <c r="V1" s="53" t="s">
        <v>14</v>
      </c>
    </row>
    <row r="2" s="53" customFormat="1" ht="15" hidden="1" customHeight="1">
      <c r="C2" s="113"/>
      <c r="U2" s="166"/>
      <c r="V2" s="53">
        <v>0</v>
      </c>
    </row>
    <row r="3" ht="22.5" hidden="1" customHeight="1">
      <c r="A3" s="50"/>
      <c r="B3" s="60"/>
      <c r="C3" s="885" t="s">
        <v>693</v>
      </c>
      <c r="D3" s="886" t="str">
        <f>B3&amp;".1"</f>
        <v>.1</v>
      </c>
      <c r="E3" s="389" t="s">
        <v>940</v>
      </c>
      <c r="F3" s="72" t="s">
        <v>311</v>
      </c>
      <c r="G3" s="688"/>
      <c r="H3" s="768"/>
      <c r="I3" s="688"/>
      <c r="J3" s="768"/>
      <c r="K3" s="494" t="s">
        <v>941</v>
      </c>
      <c r="V3" s="50">
        <v>0</v>
      </c>
    </row>
    <row r="4" ht="15" hidden="1" customHeight="1">
      <c r="A4" s="50"/>
      <c r="B4" s="60"/>
      <c r="C4" s="885"/>
      <c r="D4" s="886" t="str">
        <f>B3&amp;".2"</f>
        <v>.2</v>
      </c>
      <c r="E4" s="389" t="s">
        <v>942</v>
      </c>
      <c r="F4" s="72" t="s">
        <v>311</v>
      </c>
      <c r="G4" s="887" t="s">
        <v>28</v>
      </c>
      <c r="H4" s="768"/>
      <c r="I4" s="887" t="s">
        <v>28</v>
      </c>
      <c r="J4" s="768"/>
      <c r="K4" s="494" t="s">
        <v>943</v>
      </c>
      <c r="V4" s="50">
        <v>0</v>
      </c>
    </row>
    <row r="5" s="53" customFormat="1" ht="15" hidden="1" customHeight="1">
      <c r="C5" s="113"/>
      <c r="U5" s="166"/>
      <c r="V5" s="53">
        <v>0</v>
      </c>
    </row>
    <row r="6" ht="22.5" hidden="1" customHeight="1">
      <c r="A6" s="50"/>
      <c r="B6" s="60"/>
      <c r="C6" s="885" t="s">
        <v>693</v>
      </c>
      <c r="D6" s="886" t="str">
        <f>B6&amp;".1"</f>
        <v>.1</v>
      </c>
      <c r="E6" s="389" t="s">
        <v>944</v>
      </c>
      <c r="F6" s="72" t="s">
        <v>311</v>
      </c>
      <c r="G6" s="688"/>
      <c r="H6" s="768"/>
      <c r="I6" s="688"/>
      <c r="J6" s="768"/>
      <c r="K6" s="494" t="s">
        <v>945</v>
      </c>
      <c r="V6" s="50">
        <v>0</v>
      </c>
    </row>
    <row r="7" ht="15" hidden="1" customHeight="1">
      <c r="A7" s="50"/>
      <c r="B7" s="60"/>
      <c r="C7" s="885"/>
      <c r="D7" s="886" t="str">
        <f>B6&amp;".2"</f>
        <v>.2</v>
      </c>
      <c r="E7" s="389" t="s">
        <v>942</v>
      </c>
      <c r="F7" s="72" t="s">
        <v>311</v>
      </c>
      <c r="G7" s="887" t="s">
        <v>28</v>
      </c>
      <c r="H7" s="768"/>
      <c r="I7" s="887" t="s">
        <v>28</v>
      </c>
      <c r="J7" s="768"/>
      <c r="K7" s="494" t="s">
        <v>943</v>
      </c>
      <c r="V7" s="50">
        <v>0</v>
      </c>
    </row>
    <row r="8" s="53" customFormat="1" ht="15" hidden="1" customHeight="1">
      <c r="C8" s="113"/>
      <c r="U8" s="166"/>
      <c r="V8" s="53">
        <v>0</v>
      </c>
    </row>
    <row r="9" ht="22.5" hidden="1" customHeight="1">
      <c r="A9" s="50"/>
      <c r="B9" s="60"/>
      <c r="C9" s="885" t="s">
        <v>693</v>
      </c>
      <c r="D9" s="886" t="str">
        <f>B9&amp;".1"</f>
        <v>.1</v>
      </c>
      <c r="E9" s="389" t="s">
        <v>946</v>
      </c>
      <c r="F9" s="72" t="s">
        <v>311</v>
      </c>
      <c r="G9" s="393" t="s">
        <v>28</v>
      </c>
      <c r="H9" s="768" t="s">
        <v>28</v>
      </c>
      <c r="I9" s="393" t="s">
        <v>28</v>
      </c>
      <c r="J9" s="768" t="s">
        <v>28</v>
      </c>
      <c r="K9" s="494"/>
      <c r="V9" s="50">
        <v>0</v>
      </c>
    </row>
    <row r="10" ht="15" hidden="1" customHeight="1">
      <c r="A10" s="50"/>
      <c r="B10" s="60"/>
      <c r="C10" s="885"/>
      <c r="D10" s="886" t="str">
        <f>B9&amp;".2"</f>
        <v>.2</v>
      </c>
      <c r="E10" s="389" t="s">
        <v>947</v>
      </c>
      <c r="F10" s="72" t="s">
        <v>311</v>
      </c>
      <c r="G10" s="89" t="s">
        <v>28</v>
      </c>
      <c r="H10" s="768" t="s">
        <v>28</v>
      </c>
      <c r="I10" s="89" t="s">
        <v>28</v>
      </c>
      <c r="J10" s="768" t="s">
        <v>28</v>
      </c>
      <c r="K10" s="494" t="s">
        <v>948</v>
      </c>
      <c r="V10" s="50">
        <v>0</v>
      </c>
    </row>
    <row r="11" ht="15" hidden="1" customHeight="1">
      <c r="A11" s="50"/>
      <c r="B11" s="60"/>
      <c r="C11" s="885"/>
      <c r="D11" s="886" t="str">
        <f>B9&amp;".3"</f>
        <v>.3</v>
      </c>
      <c r="E11" s="389" t="s">
        <v>949</v>
      </c>
      <c r="F11" s="72" t="s">
        <v>311</v>
      </c>
      <c r="G11" s="89" t="s">
        <v>28</v>
      </c>
      <c r="H11" s="768" t="s">
        <v>28</v>
      </c>
      <c r="I11" s="89" t="s">
        <v>28</v>
      </c>
      <c r="J11" s="768" t="s">
        <v>28</v>
      </c>
      <c r="K11" s="494" t="s">
        <v>950</v>
      </c>
      <c r="V11" s="50">
        <v>0</v>
      </c>
    </row>
    <row r="12" s="53" customFormat="1" ht="15" hidden="1" customHeight="1">
      <c r="C12" s="113"/>
      <c r="U12" s="166"/>
      <c r="V12" s="53">
        <v>0</v>
      </c>
    </row>
    <row r="13" ht="33.75" hidden="1" customHeight="1">
      <c r="A13" s="50"/>
      <c r="B13" s="60"/>
      <c r="C13" s="885" t="s">
        <v>693</v>
      </c>
      <c r="D13" s="886" t="str">
        <f>B13&amp;".1"</f>
        <v>.1</v>
      </c>
      <c r="E13" s="389" t="s">
        <v>951</v>
      </c>
      <c r="F13" s="72" t="s">
        <v>311</v>
      </c>
      <c r="G13" s="393" t="s">
        <v>28</v>
      </c>
      <c r="H13" s="768" t="s">
        <v>28</v>
      </c>
      <c r="I13" s="393" t="s">
        <v>28</v>
      </c>
      <c r="J13" s="768" t="s">
        <v>28</v>
      </c>
      <c r="K13" s="494" t="s">
        <v>952</v>
      </c>
      <c r="V13" s="50">
        <v>0</v>
      </c>
    </row>
    <row r="14" ht="15" hidden="1" customHeight="1">
      <c r="B14" s="60"/>
      <c r="C14" s="885"/>
      <c r="D14" s="886" t="str">
        <f>B13&amp;".2"</f>
        <v>.2</v>
      </c>
      <c r="E14" s="389" t="s">
        <v>953</v>
      </c>
      <c r="F14" s="72" t="s">
        <v>311</v>
      </c>
      <c r="G14" s="89" t="s">
        <v>28</v>
      </c>
      <c r="H14" s="768" t="s">
        <v>28</v>
      </c>
      <c r="I14" s="89" t="s">
        <v>28</v>
      </c>
      <c r="J14" s="768" t="s">
        <v>28</v>
      </c>
      <c r="K14" s="494" t="s">
        <v>954</v>
      </c>
      <c r="V14" s="50">
        <v>0</v>
      </c>
    </row>
    <row r="15" s="53" customFormat="1" ht="15" hidden="1" customHeight="1">
      <c r="C15" s="113"/>
      <c r="U15" s="166"/>
      <c r="V15" s="53">
        <v>0</v>
      </c>
    </row>
    <row r="16" s="53" customFormat="1" ht="15" hidden="1" customHeight="1">
      <c r="C16" s="113"/>
      <c r="U16" s="166"/>
      <c r="V16" s="53">
        <v>0</v>
      </c>
    </row>
    <row r="17" s="53" customFormat="1" ht="15" hidden="1" customHeight="1">
      <c r="C17" s="113"/>
      <c r="U17" s="166"/>
      <c r="V17" s="53">
        <v>0</v>
      </c>
    </row>
    <row r="18" s="53" customFormat="1" ht="15" hidden="1" customHeight="1">
      <c r="C18" s="113"/>
      <c r="U18" s="166"/>
      <c r="V18" s="53">
        <v>0</v>
      </c>
    </row>
    <row r="19" s="53" customFormat="1" ht="15" hidden="1" customHeight="1">
      <c r="C19" s="113"/>
      <c r="U19" s="166"/>
      <c r="V19" s="53">
        <v>0</v>
      </c>
    </row>
    <row r="20" s="53" customFormat="1" ht="15" hidden="1" customHeight="1">
      <c r="C20" s="113"/>
      <c r="U20" s="166"/>
      <c r="V20" s="53">
        <v>0</v>
      </c>
    </row>
    <row r="21" ht="15.75" customHeight="1">
      <c r="C21" s="149"/>
      <c r="D21" s="50"/>
      <c r="E21" s="50"/>
      <c r="F21" s="50"/>
      <c r="G21" s="50"/>
      <c r="H21" s="50"/>
      <c r="I21" s="50"/>
      <c r="J21" s="50"/>
      <c r="V21" s="50">
        <v>15</v>
      </c>
    </row>
    <row r="22" ht="23.25" customHeight="1">
      <c r="C22" s="149"/>
      <c r="D22" s="461" t="str">
        <f>KNE_NAME_FORM</f>
        <v xml:space="preserve">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461"/>
      <c r="F22" s="461"/>
      <c r="G22" s="461"/>
      <c r="H22" s="461"/>
      <c r="I22" s="461"/>
      <c r="J22" s="86"/>
      <c r="K22" s="53"/>
      <c r="V22" s="50">
        <v>22</v>
      </c>
    </row>
    <row r="23" ht="15.75" customHeight="1">
      <c r="C23" s="149"/>
      <c r="D23" s="316" t="str">
        <f>IF(org=0,"Не определено",org)</f>
        <v xml:space="preserve">АО "ДГК"</v>
      </c>
      <c r="E23" s="316"/>
      <c r="F23" s="316"/>
      <c r="G23" s="316"/>
      <c r="H23" s="316"/>
      <c r="I23" s="316"/>
      <c r="J23" s="86"/>
      <c r="K23" s="53"/>
      <c r="V23" s="50">
        <v>15</v>
      </c>
    </row>
    <row r="24" ht="15.75" customHeight="1">
      <c r="C24" s="149"/>
      <c r="D24" s="50"/>
      <c r="E24" s="50"/>
      <c r="F24" s="50"/>
      <c r="G24" s="53">
        <v>22</v>
      </c>
      <c r="H24" s="352"/>
      <c r="I24" s="53">
        <v>22</v>
      </c>
      <c r="J24" s="352"/>
      <c r="V24" s="50">
        <v>15</v>
      </c>
    </row>
    <row r="25" s="50" customFormat="1" ht="1.05" customHeight="1">
      <c r="A25" s="56"/>
      <c r="C25" s="149"/>
      <c r="D25" s="50"/>
      <c r="E25" s="50"/>
      <c r="F25" s="50"/>
      <c r="G25" s="53"/>
      <c r="H25" s="352"/>
      <c r="I25" s="53" t="s">
        <v>117</v>
      </c>
      <c r="J25" s="352"/>
      <c r="K25" s="53"/>
      <c r="U25" s="114"/>
      <c r="V25" s="50">
        <v>1</v>
      </c>
    </row>
    <row r="26" ht="15.75" customHeight="1">
      <c r="C26" s="149"/>
      <c r="D26" s="731"/>
      <c r="E26" s="732" t="s">
        <v>105</v>
      </c>
      <c r="F26" s="733"/>
      <c r="G26" s="888" t="str">
        <f>IF(G25="","",INDEX(DIFFERENTIATION_UNMERGE_VD,MATCH(G25,DIFFERENTIATION_ID_DIFF,0)))</f>
        <v/>
      </c>
      <c r="H26" s="889"/>
      <c r="I26" s="888">
        <f>IF(I25="","",INDEX(DIFFERENTIATION_UNMERGE_VD,MATCH(I25,DIFFERENTIATION_ID_DIFF,0)))</f>
        <v>0</v>
      </c>
      <c r="J26" s="889"/>
      <c r="K26" s="320" t="s">
        <v>306</v>
      </c>
      <c r="V26" s="50">
        <v>15</v>
      </c>
    </row>
    <row r="27" s="50" customFormat="1" ht="15.75" customHeight="1">
      <c r="A27" s="56"/>
      <c r="C27" s="149"/>
      <c r="D27" s="731"/>
      <c r="E27" s="732" t="s">
        <v>568</v>
      </c>
      <c r="F27" s="733"/>
      <c r="G27" s="888" t="str">
        <f>IF(G25="","",INDEX(DIFFERENTIATION_UNMERGE_AREA,MATCH(G25,DIFFERENTIATION_ID_DIFF,0)))</f>
        <v/>
      </c>
      <c r="H27" s="889"/>
      <c r="I27" s="888" t="str">
        <f>IF(I25="","",INDEX(DIFFERENTIATION_UNMERGE_AREA,MATCH(I25,DIFFERENTIATION_ID_DIFF,0)))</f>
        <v/>
      </c>
      <c r="J27" s="889"/>
      <c r="K27" s="322"/>
      <c r="U27" s="114"/>
      <c r="V27" s="50">
        <v>15</v>
      </c>
    </row>
    <row r="28" s="50" customFormat="1" ht="15.75" customHeight="1">
      <c r="A28" s="56"/>
      <c r="C28" s="149"/>
      <c r="D28" s="731"/>
      <c r="E28" s="732" t="s">
        <v>569</v>
      </c>
      <c r="F28" s="733"/>
      <c r="G28" s="888" t="str">
        <f>IF(G25="","",INDEX(DIFFERENTIATION_UNMERGE_SYSTEM,MATCH(G25,DIFFERENTIATION_ID_DIFF,0)))</f>
        <v/>
      </c>
      <c r="H28" s="889"/>
      <c r="I28" s="888" t="str">
        <f>IF(I25="","",INDEX(DIFFERENTIATION_UNMERGE_SYSTEM,MATCH(I25,DIFFERENTIATION_ID_DIFF,0)))</f>
        <v xml:space="preserve">без дифференциации</v>
      </c>
      <c r="J28" s="889"/>
      <c r="K28" s="322"/>
      <c r="U28" s="114"/>
      <c r="V28" s="50">
        <v>15</v>
      </c>
    </row>
    <row r="29" s="50" customFormat="1" ht="15.75" customHeight="1">
      <c r="A29" s="56"/>
      <c r="C29" s="149"/>
      <c r="D29" s="735" t="s">
        <v>305</v>
      </c>
      <c r="E29" s="736"/>
      <c r="F29" s="736"/>
      <c r="G29" s="732"/>
      <c r="H29" s="732"/>
      <c r="I29" s="732"/>
      <c r="J29" s="733"/>
      <c r="K29" s="322"/>
      <c r="U29" s="114"/>
      <c r="V29" s="50">
        <v>15</v>
      </c>
    </row>
    <row r="30" ht="35.649999999999999" customHeight="1">
      <c r="C30" s="149"/>
      <c r="D30" s="157" t="s">
        <v>89</v>
      </c>
      <c r="E30" s="157" t="s">
        <v>307</v>
      </c>
      <c r="F30" s="157" t="s">
        <v>570</v>
      </c>
      <c r="G30" s="73" t="s">
        <v>308</v>
      </c>
      <c r="H30" s="157" t="s">
        <v>395</v>
      </c>
      <c r="I30" s="73" t="s">
        <v>308</v>
      </c>
      <c r="J30" s="157" t="s">
        <v>395</v>
      </c>
      <c r="K30" s="324"/>
      <c r="V30" s="50">
        <v>34</v>
      </c>
    </row>
    <row r="31" ht="15" hidden="1" customHeight="1">
      <c r="C31" s="149"/>
      <c r="D31" s="206"/>
      <c r="E31" s="206"/>
      <c r="F31" s="206"/>
      <c r="G31" s="149"/>
      <c r="H31" s="149"/>
      <c r="I31" s="149"/>
      <c r="J31" s="149"/>
      <c r="K31" s="494"/>
      <c r="V31" s="50">
        <v>0</v>
      </c>
    </row>
    <row r="32" ht="24" customHeight="1">
      <c r="A32" s="50"/>
      <c r="B32" s="50" t="s">
        <v>955</v>
      </c>
      <c r="C32" s="128"/>
      <c r="D32" s="890">
        <v>1</v>
      </c>
      <c r="E32" s="851" t="s">
        <v>956</v>
      </c>
      <c r="F32" s="72" t="s">
        <v>311</v>
      </c>
      <c r="G32" s="72" t="s">
        <v>311</v>
      </c>
      <c r="H32" s="72" t="s">
        <v>311</v>
      </c>
      <c r="I32" s="72" t="s">
        <v>311</v>
      </c>
      <c r="J32" s="72" t="s">
        <v>311</v>
      </c>
      <c r="K32" s="494"/>
      <c r="V32" s="50">
        <v>23</v>
      </c>
    </row>
    <row r="33" ht="11.5" customHeight="1">
      <c r="A33" s="50"/>
      <c r="C33" s="50"/>
      <c r="D33" s="841"/>
      <c r="E33" s="172" t="s">
        <v>590</v>
      </c>
      <c r="F33" s="751"/>
      <c r="G33" s="751"/>
      <c r="H33" s="751"/>
      <c r="I33" s="751"/>
      <c r="J33" s="751"/>
      <c r="K33" s="752"/>
      <c r="U33" s="50"/>
      <c r="V33" s="50">
        <v>11</v>
      </c>
    </row>
    <row r="34" ht="24" customHeight="1">
      <c r="A34" s="50"/>
      <c r="B34" s="86" t="s">
        <v>640</v>
      </c>
      <c r="C34" s="128"/>
      <c r="D34" s="890">
        <v>2</v>
      </c>
      <c r="E34" s="851" t="s">
        <v>957</v>
      </c>
      <c r="F34" s="72" t="s">
        <v>311</v>
      </c>
      <c r="G34" s="72" t="s">
        <v>311</v>
      </c>
      <c r="H34" s="72" t="s">
        <v>311</v>
      </c>
      <c r="I34" s="72"/>
      <c r="J34" s="72"/>
      <c r="K34" s="494"/>
      <c r="V34" s="50">
        <v>23</v>
      </c>
    </row>
    <row r="35" ht="11.5" customHeight="1">
      <c r="A35" s="50"/>
      <c r="C35" s="50"/>
      <c r="D35" s="841"/>
      <c r="E35" s="172" t="s">
        <v>958</v>
      </c>
      <c r="F35" s="751"/>
      <c r="G35" s="891"/>
      <c r="H35" s="751"/>
      <c r="I35" s="891"/>
      <c r="J35" s="751"/>
      <c r="K35" s="752"/>
      <c r="U35" s="50"/>
      <c r="V35" s="50">
        <v>11</v>
      </c>
    </row>
    <row r="36" ht="71.25" customHeight="1">
      <c r="A36" s="50"/>
      <c r="B36" s="50" t="s">
        <v>959</v>
      </c>
      <c r="C36" s="128"/>
      <c r="D36" s="890">
        <v>3</v>
      </c>
      <c r="E36" s="851" t="s">
        <v>960</v>
      </c>
      <c r="F36" s="145" t="s">
        <v>311</v>
      </c>
      <c r="G36" s="224" t="s">
        <v>961</v>
      </c>
      <c r="H36" s="72" t="s">
        <v>311</v>
      </c>
      <c r="I36" s="224" t="s">
        <v>961</v>
      </c>
      <c r="J36" s="72" t="s">
        <v>311</v>
      </c>
      <c r="K36" s="494" t="s">
        <v>962</v>
      </c>
      <c r="V36" s="50">
        <v>68</v>
      </c>
    </row>
    <row r="37" ht="11.5" customHeight="1">
      <c r="A37" s="50"/>
      <c r="C37" s="50"/>
      <c r="D37" s="841"/>
      <c r="E37" s="172" t="s">
        <v>963</v>
      </c>
      <c r="F37" s="751"/>
      <c r="G37" s="891"/>
      <c r="H37" s="891"/>
      <c r="I37" s="891"/>
      <c r="J37" s="891"/>
      <c r="K37" s="752"/>
      <c r="U37" s="50"/>
      <c r="V37" s="50">
        <v>11</v>
      </c>
    </row>
    <row r="38" ht="71.25" customHeight="1">
      <c r="A38" s="50"/>
      <c r="B38" s="50" t="s">
        <v>964</v>
      </c>
      <c r="C38" s="128"/>
      <c r="D38" s="890">
        <v>4</v>
      </c>
      <c r="E38" s="851" t="s">
        <v>965</v>
      </c>
      <c r="F38" s="145" t="s">
        <v>311</v>
      </c>
      <c r="G38" s="224" t="s">
        <v>961</v>
      </c>
      <c r="H38" s="157" t="s">
        <v>311</v>
      </c>
      <c r="I38" s="224" t="s">
        <v>961</v>
      </c>
      <c r="J38" s="157" t="s">
        <v>311</v>
      </c>
      <c r="K38" s="892" t="s">
        <v>966</v>
      </c>
      <c r="V38" s="50">
        <v>68</v>
      </c>
    </row>
    <row r="39" ht="11.5" customHeight="1">
      <c r="A39" s="50"/>
      <c r="C39" s="50"/>
      <c r="D39" s="841"/>
      <c r="E39" s="172" t="s">
        <v>967</v>
      </c>
      <c r="F39" s="751"/>
      <c r="G39" s="751"/>
      <c r="H39" s="893"/>
      <c r="I39" s="751"/>
      <c r="J39" s="893"/>
      <c r="K39" s="752"/>
      <c r="U39" s="50"/>
      <c r="V39" s="50">
        <v>11</v>
      </c>
    </row>
    <row r="40" ht="22.5" hidden="1" customHeight="1">
      <c r="A40" s="56" t="s">
        <v>83</v>
      </c>
      <c r="B40" s="50">
        <v>0</v>
      </c>
      <c r="C40" s="149">
        <v>4</v>
      </c>
      <c r="D40" s="50">
        <v>6</v>
      </c>
      <c r="E40" s="50">
        <v>36</v>
      </c>
      <c r="F40" s="50">
        <v>9</v>
      </c>
      <c r="G40" s="50">
        <v>0</v>
      </c>
      <c r="H40" s="50">
        <v>0</v>
      </c>
      <c r="I40" s="50">
        <v>25</v>
      </c>
      <c r="J40" s="50">
        <v>33</v>
      </c>
      <c r="K40" s="53">
        <v>93</v>
      </c>
      <c r="L40" s="50">
        <v>10</v>
      </c>
      <c r="M40" s="50">
        <v>10</v>
      </c>
      <c r="N40" s="50">
        <v>10</v>
      </c>
      <c r="O40" s="50">
        <v>10</v>
      </c>
      <c r="P40" s="50">
        <v>10</v>
      </c>
      <c r="Q40" s="50">
        <v>10</v>
      </c>
      <c r="R40" s="50">
        <v>10</v>
      </c>
      <c r="S40" s="50">
        <v>10</v>
      </c>
      <c r="T40" s="50">
        <v>10</v>
      </c>
      <c r="U40" s="114">
        <v>10</v>
      </c>
      <c r="V40" s="50">
        <v>23</v>
      </c>
    </row>
  </sheetData>
  <sheetProtection autoFilter="0" deleteColumns="1" deleteRows="1" formatCells="1" formatColumns="0" formatRows="0" insertColumns="1" insertHyperlinks="1" insertRows="1" objects="0" pivotTables="1" scenarios="0" selectLockedCells="0" selectUnlockedCells="0" sheet="1" sort="1"/>
  <mergeCells count="21">
    <mergeCell ref="B3:B4"/>
    <mergeCell ref="C3:C4"/>
    <mergeCell ref="B6:B7"/>
    <mergeCell ref="C6:C7"/>
    <mergeCell ref="B9:B11"/>
    <mergeCell ref="C9:C11"/>
    <mergeCell ref="B13:B14"/>
    <mergeCell ref="C13:C14"/>
    <mergeCell ref="D22:I22"/>
    <mergeCell ref="D23:I23"/>
    <mergeCell ref="E26:F26"/>
    <mergeCell ref="G26:H26"/>
    <mergeCell ref="I26:J26"/>
    <mergeCell ref="K26:K30"/>
    <mergeCell ref="E27:F27"/>
    <mergeCell ref="G27:H27"/>
    <mergeCell ref="I27:J27"/>
    <mergeCell ref="E28:F28"/>
    <mergeCell ref="G28:H28"/>
    <mergeCell ref="I28:J28"/>
    <mergeCell ref="D29:F29"/>
  </mergeCells>
  <dataValidations count="3" disablePrompts="0">
    <dataValidation sqref="E30" type="none" allowBlank="1" errorStyle="stop" imeMode="noControl" operator="between" prompt="Количество поданных заявок на подключение (технологическое присоединение) к системе теплоснабжения в течение квартала, шт." showDropDown="0" showErrorMessage="1" showInputMessage="1"/>
    <dataValidation sqref="I14 I4 I10:I11 G7 G14 I7 G10:G11 G4"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I36 G38 I38 G36" type="none" allowBlank="1" errorStyle="stop" imeMode="noControl" operator="between" prompt="Для выбора выполните двойной щелчок левой клавиши мыши по ячейке."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disablePrompts="0">
        <x14:dataValidation xr:uid="{000B008A-002F-42B3-BEC3-00C500A6008A}" type="textLength" allowBlank="1" error="Допускается ввод не более 900 символов!" errorStyle="stop" errorTitle="Ошибка" imeMode="noControl" operator="lessThanOrEqual" showDropDown="0" showErrorMessage="1" showInputMessage="1">
          <x14:formula1>
            <xm:f>900</xm:f>
          </x14:formula1>
          <xm:sqref>I3 I6 I9 I13 G6 G13 G9 G3</xm:sqref>
        </x14:dataValidation>
        <x14:dataValidation xr:uid="{00A200A7-0054-44CC-8548-0069008E00F1}"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H3:H4 J3:J4 H6:H7 J6:J7 J9:J11 H9:H11 J13:J14 H13:H14</xm:sqref>
        </x14:dataValidation>
      </x14:dataValidations>
    </ext>
  </extLst>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outlinePr applyStyles="0" summaryBelow="1" summaryRight="1" showOutlineSymbols="1"/>
    <pageSetUpPr autoPageBreaks="1" fitToPage="0"/>
  </sheetPr>
  <sheetViews>
    <sheetView showGridLines="0" zoomScale="85" workbookViewId="0">
      <pane xSplit="7" ySplit="10" topLeftCell="H11" activePane="bottomRight" state="frozen"/>
      <selection activeCell="A1" activeCellId="0" sqref="A1"/>
    </sheetView>
  </sheetViews>
  <sheetFormatPr defaultColWidth="9.140625" defaultRowHeight="10.5" customHeight="1"/>
  <cols>
    <col customWidth="1" hidden="1" min="1" max="3" style="124" width="6.7109375"/>
    <col customWidth="1" hidden="1" min="4" max="4" style="53" width="6.7109375"/>
    <col customWidth="1" min="5" max="5" style="50" width="3.00390625"/>
    <col customWidth="1" min="6" max="6" style="50" width="6.00390625"/>
    <col customWidth="1" min="7" max="7" style="50" width="37.00390625"/>
    <col customWidth="1" min="8" max="8" style="50" width="16.00390625"/>
    <col customWidth="1" min="9" max="10" style="50" width="19.00390625"/>
    <col customWidth="1" min="11" max="11" style="50" width="24.00390625"/>
    <col customWidth="1" min="12" max="13" style="50" width="25.00390625"/>
    <col customWidth="1" min="14" max="16" style="50" width="17.00390625"/>
    <col customWidth="1" min="17" max="24" style="50" width="19.00390625"/>
    <col customWidth="1" min="25" max="25" style="50" width="7.00390625"/>
    <col customWidth="1" min="26" max="26" style="50" width="3.00390625"/>
    <col customWidth="1" min="27" max="27" style="50" width="6.00390625"/>
    <col customWidth="1" min="28" max="28" style="50" width="34.00390625"/>
    <col customWidth="1" min="29" max="30" style="50" width="8.00390625"/>
    <col hidden="1" min="31" max="31" style="50" width="9.140625"/>
  </cols>
  <sheetData>
    <row r="1" s="53" customFormat="1" ht="10.5" hidden="1" customHeight="1">
      <c r="A1" s="124"/>
      <c r="B1" s="124"/>
      <c r="C1" s="124"/>
      <c r="E1" s="53"/>
      <c r="H1" s="53"/>
      <c r="AE1" s="53" t="s">
        <v>14</v>
      </c>
    </row>
    <row r="2" ht="10.5" hidden="1" customHeight="1">
      <c r="AE2" s="50">
        <v>0</v>
      </c>
    </row>
    <row r="3" s="56" customFormat="1" ht="10.5" hidden="1" customHeight="1">
      <c r="A3" s="124"/>
      <c r="B3" s="124"/>
      <c r="C3" s="124"/>
      <c r="D3" s="53"/>
      <c r="E3" s="56"/>
      <c r="G3" s="56" t="s">
        <v>968</v>
      </c>
      <c r="H3" s="56"/>
      <c r="AE3" s="56">
        <v>0</v>
      </c>
    </row>
    <row r="4" ht="3" customHeight="1">
      <c r="AE4" s="50">
        <v>3</v>
      </c>
    </row>
    <row r="5" ht="27.300000000000001" customHeight="1">
      <c r="F5" s="461" t="str">
        <f>IP_NAME_FORM</f>
        <v xml:space="preserve">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461"/>
      <c r="H5" s="461"/>
      <c r="I5" s="461"/>
      <c r="J5" s="461"/>
      <c r="K5" s="461"/>
      <c r="M5" s="106"/>
      <c r="AB5" s="50"/>
      <c r="AE5" s="50">
        <v>26</v>
      </c>
    </row>
    <row r="6" s="50" customFormat="1" ht="16.800000000000001" customHeight="1">
      <c r="A6" s="124"/>
      <c r="B6" s="124"/>
      <c r="C6" s="124"/>
      <c r="D6" s="53"/>
      <c r="E6" s="50"/>
      <c r="F6" s="316" t="str">
        <f>IF(org=0,"Не определено",org)</f>
        <v xml:space="preserve">АО "ДГК"</v>
      </c>
      <c r="G6" s="316"/>
      <c r="H6" s="316"/>
      <c r="I6" s="316"/>
      <c r="J6" s="316"/>
      <c r="K6" s="316"/>
      <c r="M6" s="106"/>
      <c r="AB6" s="50"/>
      <c r="AE6" s="50">
        <v>16</v>
      </c>
    </row>
    <row r="7" ht="10.5" customHeight="1">
      <c r="AE7" s="50">
        <v>10</v>
      </c>
    </row>
    <row r="8" ht="10.5" customHeight="1">
      <c r="A8" s="124"/>
      <c r="B8" s="124"/>
      <c r="C8" s="124"/>
      <c r="F8" s="73" t="s">
        <v>305</v>
      </c>
      <c r="G8" s="145"/>
      <c r="H8" s="145"/>
      <c r="I8" s="145"/>
      <c r="J8" s="145"/>
      <c r="K8" s="145"/>
      <c r="L8" s="145"/>
      <c r="M8" s="145"/>
      <c r="N8" s="145"/>
      <c r="O8" s="145"/>
      <c r="P8" s="145"/>
      <c r="Q8" s="145"/>
      <c r="R8" s="145"/>
      <c r="S8" s="145"/>
      <c r="T8" s="145"/>
      <c r="U8" s="145"/>
      <c r="V8" s="145"/>
      <c r="W8" s="145"/>
      <c r="X8" s="145"/>
      <c r="Y8" s="145"/>
      <c r="Z8" s="145"/>
      <c r="AA8" s="145"/>
      <c r="AB8" s="72"/>
      <c r="AE8" s="50">
        <v>10</v>
      </c>
    </row>
    <row r="9" ht="43.049999999999997" customHeight="1">
      <c r="A9" s="894"/>
      <c r="B9" s="894"/>
      <c r="C9" s="894"/>
      <c r="F9" s="157" t="s">
        <v>89</v>
      </c>
      <c r="G9" s="157" t="s">
        <v>968</v>
      </c>
      <c r="H9" s="320" t="s">
        <v>969</v>
      </c>
      <c r="I9" s="157" t="s">
        <v>970</v>
      </c>
      <c r="J9" s="157" t="s">
        <v>971</v>
      </c>
      <c r="K9" s="157" t="s">
        <v>972</v>
      </c>
      <c r="L9" s="157" t="s">
        <v>973</v>
      </c>
      <c r="M9" s="157" t="s">
        <v>974</v>
      </c>
      <c r="N9" s="358" t="s">
        <v>975</v>
      </c>
      <c r="O9" s="358"/>
      <c r="P9" s="358"/>
      <c r="Q9" s="559" t="s">
        <v>976</v>
      </c>
      <c r="R9" s="560"/>
      <c r="S9" s="560"/>
      <c r="T9" s="561"/>
      <c r="U9" s="559" t="s">
        <v>977</v>
      </c>
      <c r="V9" s="560"/>
      <c r="W9" s="560"/>
      <c r="X9" s="561"/>
      <c r="Y9" s="73" t="s">
        <v>978</v>
      </c>
      <c r="Z9" s="145"/>
      <c r="AA9" s="145"/>
      <c r="AB9" s="72"/>
      <c r="AE9" s="50">
        <v>41</v>
      </c>
    </row>
    <row r="10" ht="43.049999999999997" customHeight="1">
      <c r="A10" s="894"/>
      <c r="B10" s="894"/>
      <c r="C10" s="894"/>
      <c r="F10" s="320"/>
      <c r="G10" s="320"/>
      <c r="H10" s="162"/>
      <c r="I10" s="320"/>
      <c r="J10" s="320"/>
      <c r="K10" s="320"/>
      <c r="L10" s="320"/>
      <c r="M10" s="320"/>
      <c r="N10" s="895" t="s">
        <v>979</v>
      </c>
      <c r="O10" s="895" t="s">
        <v>980</v>
      </c>
      <c r="P10" s="562" t="s">
        <v>981</v>
      </c>
      <c r="Q10" s="895" t="s">
        <v>90</v>
      </c>
      <c r="R10" s="895" t="s">
        <v>982</v>
      </c>
      <c r="S10" s="895" t="s">
        <v>983</v>
      </c>
      <c r="T10" s="670" t="s">
        <v>984</v>
      </c>
      <c r="U10" s="895" t="s">
        <v>90</v>
      </c>
      <c r="V10" s="895" t="s">
        <v>985</v>
      </c>
      <c r="W10" s="895" t="s">
        <v>983</v>
      </c>
      <c r="X10" s="670" t="s">
        <v>984</v>
      </c>
      <c r="Y10" s="558" t="s">
        <v>986</v>
      </c>
      <c r="Z10" s="73" t="s">
        <v>89</v>
      </c>
      <c r="AA10" s="72"/>
      <c r="AB10" s="157" t="s">
        <v>987</v>
      </c>
      <c r="AE10" s="50">
        <v>41</v>
      </c>
    </row>
    <row r="11" s="57" customFormat="1" ht="5.25" hidden="1" customHeight="1">
      <c r="A11" s="540"/>
      <c r="B11" s="540"/>
      <c r="C11" s="540"/>
      <c r="E11" s="132"/>
      <c r="F11" s="663" t="s">
        <v>381</v>
      </c>
      <c r="G11" s="896"/>
      <c r="H11" s="439"/>
      <c r="I11" s="439"/>
      <c r="J11" s="439"/>
      <c r="K11" s="467"/>
      <c r="L11" s="467"/>
      <c r="M11" s="467"/>
      <c r="N11" s="439"/>
      <c r="O11" s="439"/>
      <c r="P11" s="157"/>
      <c r="Q11" s="326"/>
      <c r="R11" s="326"/>
      <c r="S11" s="326"/>
      <c r="T11" s="439"/>
      <c r="U11" s="326"/>
      <c r="V11" s="326"/>
      <c r="W11" s="326"/>
      <c r="X11" s="439"/>
      <c r="Y11" s="218"/>
      <c r="Z11" s="218"/>
      <c r="AA11" s="218"/>
      <c r="AB11" s="218"/>
      <c r="AD11" s="57" t="s">
        <v>988</v>
      </c>
      <c r="AE11" s="57">
        <v>0</v>
      </c>
    </row>
    <row r="12" s="57" customFormat="1" ht="5.25" hidden="1" customHeight="1">
      <c r="A12" s="540"/>
      <c r="B12" s="540"/>
      <c r="C12" s="540"/>
      <c r="E12" s="57"/>
      <c r="F12" s="663"/>
      <c r="G12" s="896"/>
      <c r="H12" s="439"/>
      <c r="I12" s="439"/>
      <c r="J12" s="439"/>
      <c r="K12" s="467"/>
      <c r="L12" s="467"/>
      <c r="M12" s="467"/>
      <c r="N12" s="439"/>
      <c r="O12" s="439"/>
      <c r="P12" s="157"/>
      <c r="Q12" s="326"/>
      <c r="R12" s="326"/>
      <c r="S12" s="326"/>
      <c r="T12" s="439"/>
      <c r="U12" s="326"/>
      <c r="V12" s="326"/>
      <c r="W12" s="326"/>
      <c r="X12" s="439"/>
      <c r="Y12" s="897"/>
      <c r="Z12" s="897"/>
      <c r="AA12" s="897"/>
      <c r="AB12" s="897"/>
      <c r="AE12" s="57">
        <v>0</v>
      </c>
    </row>
    <row r="13" ht="10.5" customHeight="1">
      <c r="F13" s="650"/>
      <c r="G13" s="172" t="s">
        <v>989</v>
      </c>
      <c r="H13" s="172"/>
      <c r="I13" s="751"/>
      <c r="J13" s="751"/>
      <c r="K13" s="751"/>
      <c r="L13" s="751"/>
      <c r="M13" s="751"/>
      <c r="N13" s="751"/>
      <c r="O13" s="751"/>
      <c r="P13" s="751"/>
      <c r="Q13" s="751"/>
      <c r="R13" s="751"/>
      <c r="S13" s="751"/>
      <c r="T13" s="751"/>
      <c r="U13" s="751"/>
      <c r="V13" s="751"/>
      <c r="W13" s="751"/>
      <c r="X13" s="751"/>
      <c r="Y13" s="751"/>
      <c r="Z13" s="893"/>
      <c r="AA13" s="893"/>
      <c r="AB13" s="898"/>
      <c r="AE13" s="50">
        <v>10</v>
      </c>
    </row>
    <row r="14" ht="10.5" customHeight="1">
      <c r="AE14" s="50">
        <v>10</v>
      </c>
    </row>
    <row r="15" s="57" customFormat="1" ht="10.5" customHeight="1">
      <c r="A15" s="540"/>
      <c r="B15" s="540"/>
      <c r="C15" s="540"/>
      <c r="E15" s="57"/>
      <c r="H15" s="57">
        <f>_xlfn.IFERROR(MATCH("нет",IP_MAIN_DIFFERENTIATION_EVENTS_FLAG,0),0)</f>
        <v>0</v>
      </c>
      <c r="AE15" s="57">
        <v>10</v>
      </c>
    </row>
    <row r="16" ht="10.5" hidden="1" customHeight="1">
      <c r="A16" s="124" t="s">
        <v>83</v>
      </c>
      <c r="B16" s="124">
        <v>0</v>
      </c>
      <c r="C16" s="124">
        <v>0</v>
      </c>
      <c r="D16" s="53">
        <v>0</v>
      </c>
      <c r="E16" s="50">
        <v>3</v>
      </c>
      <c r="F16" s="50">
        <v>6</v>
      </c>
      <c r="G16" s="50">
        <v>37</v>
      </c>
      <c r="H16" s="50">
        <v>16</v>
      </c>
      <c r="I16" s="50">
        <v>19</v>
      </c>
      <c r="J16" s="50">
        <v>19</v>
      </c>
      <c r="K16" s="50">
        <v>24</v>
      </c>
      <c r="L16" s="50">
        <v>25</v>
      </c>
      <c r="M16" s="50">
        <v>25</v>
      </c>
      <c r="N16" s="50">
        <v>17</v>
      </c>
      <c r="O16" s="50">
        <v>17</v>
      </c>
      <c r="P16" s="50">
        <v>17</v>
      </c>
      <c r="Q16" s="50">
        <v>19</v>
      </c>
      <c r="R16" s="50">
        <v>19</v>
      </c>
      <c r="S16" s="50">
        <v>19</v>
      </c>
      <c r="T16" s="50">
        <v>19</v>
      </c>
      <c r="U16" s="50">
        <v>19</v>
      </c>
      <c r="V16" s="50">
        <v>19</v>
      </c>
      <c r="W16" s="50">
        <v>19</v>
      </c>
      <c r="X16" s="50">
        <v>19</v>
      </c>
      <c r="Y16" s="50">
        <v>7</v>
      </c>
      <c r="Z16" s="50">
        <v>3</v>
      </c>
      <c r="AA16" s="50">
        <v>6</v>
      </c>
      <c r="AB16" s="50">
        <v>34</v>
      </c>
      <c r="AC16" s="50">
        <v>8</v>
      </c>
      <c r="AD16" s="50">
        <v>8</v>
      </c>
      <c r="AE16" s="50">
        <v>10</v>
      </c>
    </row>
  </sheetData>
  <sheetProtection autoFilter="0" deleteColumns="1" deleteRows="1" formatCells="1" formatColumns="0" formatRows="0" insertColumns="1" insertHyperlinks="1" insertRows="1" objects="0" pivotTables="1" scenarios="0" selectLockedCells="0" selectUnlockedCells="0" sheet="1" sort="1"/>
  <mergeCells count="39">
    <mergeCell ref="F5:K5"/>
    <mergeCell ref="F6:K6"/>
    <mergeCell ref="F8:AB8"/>
    <mergeCell ref="F9:F10"/>
    <mergeCell ref="G9:G10"/>
    <mergeCell ref="H9:H10"/>
    <mergeCell ref="I9:I10"/>
    <mergeCell ref="J9:J10"/>
    <mergeCell ref="K9:K10"/>
    <mergeCell ref="L9:L10"/>
    <mergeCell ref="M9:M10"/>
    <mergeCell ref="N9:P9"/>
    <mergeCell ref="Q9:T9"/>
    <mergeCell ref="U9:X9"/>
    <mergeCell ref="Y9:AB9"/>
    <mergeCell ref="Z10:AA10"/>
    <mergeCell ref="F11:F12"/>
    <mergeCell ref="G11:G12"/>
    <mergeCell ref="H11:H12"/>
    <mergeCell ref="I11:I12"/>
    <mergeCell ref="J11:J12"/>
    <mergeCell ref="K11:K12"/>
    <mergeCell ref="L11:L12"/>
    <mergeCell ref="M11:M12"/>
    <mergeCell ref="N11:N12"/>
    <mergeCell ref="O11:O12"/>
    <mergeCell ref="P11:P12"/>
    <mergeCell ref="Q11:Q12"/>
    <mergeCell ref="R11:R12"/>
    <mergeCell ref="S11:S12"/>
    <mergeCell ref="T11:T12"/>
    <mergeCell ref="U11:U12"/>
    <mergeCell ref="V11:V12"/>
    <mergeCell ref="W11:W12"/>
    <mergeCell ref="X11:X12"/>
    <mergeCell ref="Y11:Y12"/>
    <mergeCell ref="Z11:Z12"/>
    <mergeCell ref="AA11:AA12"/>
    <mergeCell ref="AB11:AB12"/>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outlinePr applyStyles="0" summaryBelow="1" summaryRight="1" showOutlineSymbols="1"/>
    <pageSetUpPr autoPageBreaks="1" fitToPage="0"/>
  </sheetPr>
  <sheetViews>
    <sheetView showGridLines="0" zoomScale="90" workbookViewId="0">
      <pane xSplit="8" ySplit="12" topLeftCell="I13" activePane="bottomRight" state="frozen"/>
      <selection activeCell="A1" activeCellId="0" sqref="A1"/>
    </sheetView>
  </sheetViews>
  <sheetFormatPr defaultColWidth="9.140625" defaultRowHeight="10.5" customHeight="1"/>
  <cols>
    <col customWidth="1" hidden="1" min="1" max="3" style="124" width="4.140625"/>
    <col customWidth="1" hidden="1" min="4" max="4" style="53" width="4.140625"/>
    <col customWidth="1" min="5" max="5" style="50" width="3.00390625"/>
    <col customWidth="1" min="6" max="6" style="50" width="14.00390625"/>
    <col customWidth="1" min="7" max="7" style="50" width="3.00390625"/>
    <col customWidth="1" min="8" max="8" style="50" width="7.00390625"/>
    <col customWidth="1" min="9" max="10" style="50" width="16.00390625"/>
    <col customWidth="1" min="11" max="11" style="50" width="25.00390625"/>
    <col customWidth="1" min="12" max="12" style="50" width="7.00390625"/>
    <col customWidth="1" min="13" max="13" style="50" width="15.00390625"/>
    <col customWidth="1" min="14" max="14" style="50" width="3.00390625"/>
    <col customWidth="1" min="15" max="15" style="50" width="4.00390625"/>
    <col customWidth="1" min="16" max="16" style="50" width="8.00390625"/>
    <col customWidth="1" min="17" max="17" style="50" width="21.00390625"/>
    <col customWidth="1" min="18" max="18" style="50" width="14.00390625"/>
    <col customWidth="1" min="19" max="20" style="50" width="17.00390625"/>
    <col customWidth="1" min="21" max="21" style="50" width="9.00390625"/>
    <col customWidth="1" min="22" max="22" style="50" width="12.00390625"/>
    <col customWidth="1" min="23" max="23" style="50" width="9.00390625"/>
    <col customWidth="1" min="24" max="24" style="50" width="21.00390625"/>
    <col customWidth="1" min="25" max="25" style="50" width="12.00390625"/>
    <col customWidth="1" min="26" max="26" style="50" width="3.00390625"/>
    <col customWidth="1" min="27" max="27" style="50" width="6.00390625"/>
    <col customWidth="1" min="28" max="28" style="50" width="38.00390625"/>
    <col customWidth="1" min="29" max="29" style="50" width="15.00390625"/>
    <col customWidth="1" hidden="1" min="30" max="30" style="50" width="37.57421875"/>
    <col customWidth="1" hidden="1" min="31" max="31" style="50" width="15.7109375"/>
    <col customWidth="1" min="32" max="34" style="50" width="16.00390625"/>
    <col customWidth="1" hidden="1" min="35" max="37" style="50" width="16.7109375"/>
    <col customWidth="1" min="38" max="58" style="50" width="8.00390625"/>
    <col hidden="1" min="59" max="59" style="50" width="9.140625"/>
  </cols>
  <sheetData>
    <row r="1" s="53" customFormat="1" ht="10.5" hidden="1" customHeight="1">
      <c r="A1" s="124"/>
      <c r="B1" s="124"/>
      <c r="C1" s="124"/>
      <c r="E1" s="53"/>
      <c r="H1" s="53"/>
      <c r="L1" s="53"/>
      <c r="M1" s="53"/>
      <c r="AD1" s="53"/>
      <c r="AH1" s="53"/>
      <c r="AI1" s="53"/>
      <c r="BG1" s="53" t="s">
        <v>14</v>
      </c>
    </row>
    <row r="2" ht="10.5" hidden="1" customHeight="1">
      <c r="BG2" s="50">
        <v>0</v>
      </c>
    </row>
    <row r="3" s="56" customFormat="1" ht="10.5" hidden="1" customHeight="1">
      <c r="A3" s="124"/>
      <c r="B3" s="124"/>
      <c r="C3" s="124"/>
      <c r="D3" s="53"/>
      <c r="E3" s="56"/>
      <c r="H3" s="56"/>
      <c r="L3" s="56"/>
      <c r="M3" s="56"/>
      <c r="AD3" s="56"/>
      <c r="AH3" s="56"/>
      <c r="AI3" s="56"/>
      <c r="BG3" s="56">
        <v>0</v>
      </c>
    </row>
    <row r="4" ht="3" customHeight="1">
      <c r="BG4" s="50">
        <v>3</v>
      </c>
    </row>
    <row r="5" ht="27.300000000000001" customHeight="1">
      <c r="F5" s="461" t="str">
        <f>IP_NAME_FORM</f>
        <v xml:space="preserve">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461"/>
      <c r="H5" s="461"/>
      <c r="I5" s="461"/>
      <c r="J5" s="461"/>
      <c r="K5" s="461"/>
      <c r="L5" s="729"/>
      <c r="M5" s="729"/>
      <c r="AG5" s="50"/>
      <c r="AH5" s="50"/>
      <c r="BG5" s="50">
        <v>26</v>
      </c>
    </row>
    <row r="6" ht="10.5" customHeight="1">
      <c r="F6" s="316" t="str">
        <f>IF(org=0,"Не определено",org)</f>
        <v xml:space="preserve">АО "ДГК"</v>
      </c>
      <c r="G6" s="316"/>
      <c r="H6" s="316"/>
      <c r="I6" s="316"/>
      <c r="J6" s="316"/>
      <c r="K6" s="316"/>
      <c r="L6" s="729"/>
      <c r="M6" s="729"/>
      <c r="BG6" s="50">
        <v>10</v>
      </c>
    </row>
    <row r="7" ht="11.5" customHeight="1">
      <c r="E7" s="91"/>
      <c r="F7" s="899"/>
      <c r="G7" s="899"/>
      <c r="H7" s="899"/>
      <c r="I7" s="899"/>
      <c r="J7" s="899"/>
      <c r="K7" s="900"/>
      <c r="L7" s="900"/>
      <c r="M7" s="900"/>
      <c r="N7" s="899"/>
      <c r="O7" s="899"/>
      <c r="P7" s="899"/>
      <c r="Q7" s="900"/>
      <c r="R7" s="899"/>
      <c r="S7" s="899"/>
      <c r="T7" s="899"/>
      <c r="U7" s="899"/>
      <c r="V7" s="899"/>
      <c r="W7" s="899"/>
      <c r="X7" s="899"/>
      <c r="Y7" s="899"/>
      <c r="Z7" s="899"/>
      <c r="AA7" s="899"/>
      <c r="AB7" s="899"/>
      <c r="AC7" s="901"/>
      <c r="AD7" s="901"/>
      <c r="AE7" s="901"/>
      <c r="AF7" s="899"/>
      <c r="AG7" s="899"/>
      <c r="AH7" s="899"/>
      <c r="AI7" s="899"/>
      <c r="AJ7" s="899"/>
      <c r="AK7" s="899"/>
      <c r="AL7" s="53"/>
      <c r="AM7" s="53"/>
      <c r="AN7" s="53"/>
      <c r="AO7" s="143"/>
      <c r="AP7" s="143"/>
      <c r="AQ7" s="143"/>
      <c r="AR7" s="143"/>
      <c r="AS7" s="143"/>
      <c r="AT7" s="143"/>
      <c r="AU7" s="143"/>
      <c r="AV7" s="143"/>
      <c r="AW7" s="143"/>
      <c r="AX7" s="143"/>
      <c r="AY7" s="143"/>
      <c r="AZ7" s="143"/>
      <c r="BA7" s="143"/>
      <c r="BB7" s="143"/>
      <c r="BC7" s="143"/>
      <c r="BD7" s="143"/>
      <c r="BE7" s="143"/>
      <c r="BF7" s="143"/>
      <c r="BG7" s="50">
        <v>11</v>
      </c>
    </row>
    <row r="8" ht="10.5" customHeight="1">
      <c r="E8" s="91"/>
      <c r="F8" s="902" t="s">
        <v>305</v>
      </c>
      <c r="G8" s="903"/>
      <c r="H8" s="903"/>
      <c r="I8" s="903"/>
      <c r="J8" s="903"/>
      <c r="K8" s="903"/>
      <c r="L8" s="903"/>
      <c r="M8" s="903"/>
      <c r="N8" s="903"/>
      <c r="O8" s="903"/>
      <c r="P8" s="903"/>
      <c r="Q8" s="903"/>
      <c r="R8" s="903"/>
      <c r="S8" s="903"/>
      <c r="T8" s="903"/>
      <c r="U8" s="903"/>
      <c r="V8" s="903"/>
      <c r="W8" s="903"/>
      <c r="X8" s="903"/>
      <c r="Y8" s="903"/>
      <c r="Z8" s="903"/>
      <c r="AA8" s="903"/>
      <c r="AB8" s="903"/>
      <c r="AC8" s="903"/>
      <c r="AD8" s="903"/>
      <c r="AE8" s="903"/>
      <c r="AF8" s="903"/>
      <c r="AG8" s="903"/>
      <c r="AH8" s="903"/>
      <c r="AI8" s="903"/>
      <c r="AJ8" s="903"/>
      <c r="AK8" s="904"/>
      <c r="AL8" s="905"/>
      <c r="AM8" s="143"/>
      <c r="AN8" s="143"/>
      <c r="AO8" s="143"/>
      <c r="AP8" s="143"/>
      <c r="AQ8" s="143"/>
      <c r="AR8" s="143"/>
      <c r="AS8" s="143"/>
      <c r="AT8" s="143"/>
      <c r="AU8" s="143"/>
      <c r="AV8" s="143"/>
      <c r="AW8" s="143"/>
      <c r="AX8" s="143"/>
      <c r="AY8" s="143"/>
      <c r="AZ8" s="143"/>
      <c r="BA8" s="143"/>
      <c r="BB8" s="143"/>
      <c r="BC8" s="143"/>
      <c r="BD8" s="143"/>
      <c r="BE8" s="143"/>
      <c r="BF8" s="143"/>
      <c r="BG8" s="50">
        <v>10</v>
      </c>
    </row>
    <row r="9" ht="24" customHeight="1">
      <c r="A9" s="894"/>
      <c r="B9" s="894"/>
      <c r="C9" s="894"/>
      <c r="E9" s="91"/>
      <c r="F9" s="358" t="s">
        <v>990</v>
      </c>
      <c r="G9" s="669" t="s">
        <v>991</v>
      </c>
      <c r="H9" s="837"/>
      <c r="I9" s="157" t="s">
        <v>992</v>
      </c>
      <c r="J9" s="157"/>
      <c r="K9" s="157" t="s">
        <v>993</v>
      </c>
      <c r="L9" s="157"/>
      <c r="M9" s="157"/>
      <c r="N9" s="157"/>
      <c r="O9" s="157"/>
      <c r="P9" s="157"/>
      <c r="Q9" s="157"/>
      <c r="R9" s="157"/>
      <c r="S9" s="157"/>
      <c r="T9" s="157"/>
      <c r="U9" s="157"/>
      <c r="V9" s="157"/>
      <c r="W9" s="157"/>
      <c r="X9" s="157"/>
      <c r="Y9" s="157"/>
      <c r="Z9" s="317" t="s">
        <v>994</v>
      </c>
      <c r="AA9" s="318"/>
      <c r="AB9" s="157" t="s">
        <v>995</v>
      </c>
      <c r="AC9" s="157"/>
      <c r="AD9" s="157"/>
      <c r="AE9" s="157"/>
      <c r="AF9" s="320" t="s">
        <v>996</v>
      </c>
      <c r="AG9" s="157" t="s">
        <v>997</v>
      </c>
      <c r="AH9" s="157"/>
      <c r="AI9" s="320" t="s">
        <v>998</v>
      </c>
      <c r="AJ9" s="157" t="s">
        <v>999</v>
      </c>
      <c r="AK9" s="157"/>
      <c r="AL9" s="50"/>
      <c r="AM9" s="143"/>
      <c r="AN9" s="143"/>
      <c r="AO9" s="143"/>
      <c r="AP9" s="143"/>
      <c r="AQ9" s="143"/>
      <c r="AR9" s="143"/>
      <c r="AS9" s="143"/>
      <c r="AT9" s="143"/>
      <c r="AU9" s="143"/>
      <c r="AV9" s="143"/>
      <c r="AW9" s="143"/>
      <c r="AX9" s="143"/>
      <c r="AY9" s="143"/>
      <c r="AZ9" s="143"/>
      <c r="BA9" s="143"/>
      <c r="BB9" s="143"/>
      <c r="BC9" s="143"/>
      <c r="BD9" s="143"/>
      <c r="BE9" s="143"/>
      <c r="BF9" s="143"/>
      <c r="BG9" s="50">
        <v>23</v>
      </c>
    </row>
    <row r="10" ht="25.199999999999999" customHeight="1">
      <c r="A10" s="894"/>
      <c r="B10" s="894"/>
      <c r="C10" s="894"/>
      <c r="E10" s="91"/>
      <c r="F10" s="358"/>
      <c r="G10" s="672"/>
      <c r="H10" s="370"/>
      <c r="I10" s="157"/>
      <c r="J10" s="157"/>
      <c r="K10" s="157" t="s">
        <v>1000</v>
      </c>
      <c r="L10" s="73" t="s">
        <v>1001</v>
      </c>
      <c r="M10" s="72"/>
      <c r="N10" s="157" t="s">
        <v>1002</v>
      </c>
      <c r="O10" s="157"/>
      <c r="P10" s="157"/>
      <c r="Q10" s="157"/>
      <c r="R10" s="157"/>
      <c r="S10" s="157"/>
      <c r="T10" s="157"/>
      <c r="U10" s="157"/>
      <c r="V10" s="157"/>
      <c r="W10" s="157"/>
      <c r="X10" s="157"/>
      <c r="Y10" s="157"/>
      <c r="Z10" s="321"/>
      <c r="AA10" s="322"/>
      <c r="AB10" s="157"/>
      <c r="AC10" s="157"/>
      <c r="AD10" s="157"/>
      <c r="AE10" s="157"/>
      <c r="AF10" s="319"/>
      <c r="AG10" s="157"/>
      <c r="AH10" s="157"/>
      <c r="AI10" s="319"/>
      <c r="AJ10" s="157"/>
      <c r="AK10" s="157"/>
      <c r="AL10" s="50"/>
      <c r="AM10" s="143"/>
      <c r="AN10" s="143"/>
      <c r="AO10" s="143"/>
      <c r="AP10" s="143"/>
      <c r="AQ10" s="143"/>
      <c r="AR10" s="143"/>
      <c r="AS10" s="143"/>
      <c r="AT10" s="143"/>
      <c r="AU10" s="143"/>
      <c r="AV10" s="143"/>
      <c r="AW10" s="143"/>
      <c r="AX10" s="143"/>
      <c r="AY10" s="143"/>
      <c r="AZ10" s="143"/>
      <c r="BA10" s="143"/>
      <c r="BB10" s="143"/>
      <c r="BC10" s="143"/>
      <c r="BD10" s="143"/>
      <c r="BE10" s="143"/>
      <c r="BF10" s="143"/>
      <c r="BG10" s="50">
        <v>24</v>
      </c>
    </row>
    <row r="11" s="50" customFormat="1" ht="25.199999999999999" customHeight="1">
      <c r="A11" s="894"/>
      <c r="B11" s="894"/>
      <c r="C11" s="894"/>
      <c r="D11" s="53"/>
      <c r="E11" s="91"/>
      <c r="F11" s="358"/>
      <c r="G11" s="672"/>
      <c r="H11" s="370"/>
      <c r="I11" s="157"/>
      <c r="J11" s="157"/>
      <c r="K11" s="157"/>
      <c r="L11" s="320" t="s">
        <v>1003</v>
      </c>
      <c r="M11" s="320" t="s">
        <v>1004</v>
      </c>
      <c r="N11" s="157" t="s">
        <v>1005</v>
      </c>
      <c r="O11" s="157"/>
      <c r="P11" s="246" t="s">
        <v>986</v>
      </c>
      <c r="Q11" s="246" t="s">
        <v>1006</v>
      </c>
      <c r="R11" s="246" t="s">
        <v>1007</v>
      </c>
      <c r="S11" s="246" t="s">
        <v>1008</v>
      </c>
      <c r="T11" s="246"/>
      <c r="U11" s="246"/>
      <c r="V11" s="246"/>
      <c r="W11" s="246"/>
      <c r="X11" s="246"/>
      <c r="Y11" s="246"/>
      <c r="Z11" s="321"/>
      <c r="AA11" s="322"/>
      <c r="AB11" s="157" t="s">
        <v>1009</v>
      </c>
      <c r="AC11" s="157"/>
      <c r="AD11" s="73" t="s">
        <v>1010</v>
      </c>
      <c r="AE11" s="72"/>
      <c r="AF11" s="319"/>
      <c r="AG11" s="157"/>
      <c r="AH11" s="157"/>
      <c r="AI11" s="319"/>
      <c r="AJ11" s="157"/>
      <c r="AK11" s="157"/>
      <c r="AL11" s="50"/>
      <c r="AM11" s="143"/>
      <c r="AN11" s="143"/>
      <c r="AO11" s="143"/>
      <c r="AP11" s="143"/>
      <c r="AQ11" s="143"/>
      <c r="AR11" s="143"/>
      <c r="AS11" s="143"/>
      <c r="AT11" s="143"/>
      <c r="AU11" s="143"/>
      <c r="AV11" s="143"/>
      <c r="AW11" s="143"/>
      <c r="AX11" s="143"/>
      <c r="AY11" s="143"/>
      <c r="AZ11" s="143"/>
      <c r="BA11" s="143"/>
      <c r="BB11" s="143"/>
      <c r="BC11" s="143"/>
      <c r="BD11" s="143"/>
      <c r="BE11" s="143"/>
      <c r="BF11" s="143"/>
      <c r="BG11" s="50">
        <v>24</v>
      </c>
    </row>
    <row r="12" ht="35.649999999999999" customHeight="1">
      <c r="A12" s="894"/>
      <c r="B12" s="894"/>
      <c r="C12" s="894"/>
      <c r="E12" s="91"/>
      <c r="F12" s="358"/>
      <c r="G12" s="678"/>
      <c r="H12" s="702"/>
      <c r="I12" s="157" t="s">
        <v>90</v>
      </c>
      <c r="J12" s="157" t="s">
        <v>1011</v>
      </c>
      <c r="K12" s="157"/>
      <c r="L12" s="162"/>
      <c r="M12" s="162"/>
      <c r="N12" s="157"/>
      <c r="O12" s="157"/>
      <c r="P12" s="246"/>
      <c r="Q12" s="246"/>
      <c r="R12" s="246"/>
      <c r="S12" s="246" t="s">
        <v>87</v>
      </c>
      <c r="T12" s="246" t="s">
        <v>88</v>
      </c>
      <c r="U12" s="246" t="s">
        <v>86</v>
      </c>
      <c r="V12" s="246" t="s">
        <v>1012</v>
      </c>
      <c r="W12" s="246" t="s">
        <v>86</v>
      </c>
      <c r="X12" s="246" t="s">
        <v>1013</v>
      </c>
      <c r="Y12" s="246" t="s">
        <v>1014</v>
      </c>
      <c r="Z12" s="323"/>
      <c r="AA12" s="324"/>
      <c r="AB12" s="157" t="s">
        <v>1015</v>
      </c>
      <c r="AC12" s="157" t="s">
        <v>1016</v>
      </c>
      <c r="AD12" s="157" t="s">
        <v>1015</v>
      </c>
      <c r="AE12" s="157" t="s">
        <v>1016</v>
      </c>
      <c r="AF12" s="162"/>
      <c r="AG12" s="157" t="s">
        <v>1017</v>
      </c>
      <c r="AH12" s="157" t="s">
        <v>1018</v>
      </c>
      <c r="AI12" s="162"/>
      <c r="AJ12" s="157" t="s">
        <v>1017</v>
      </c>
      <c r="AK12" s="157" t="s">
        <v>1018</v>
      </c>
      <c r="AL12" s="50"/>
      <c r="AM12" s="143"/>
      <c r="AN12" s="143"/>
      <c r="AO12" s="143"/>
      <c r="AP12" s="143"/>
      <c r="AQ12" s="143"/>
      <c r="AR12" s="143"/>
      <c r="AS12" s="143"/>
      <c r="AT12" s="143"/>
      <c r="AU12" s="143"/>
      <c r="AV12" s="143"/>
      <c r="AW12" s="143"/>
      <c r="AX12" s="143"/>
      <c r="AY12" s="143"/>
      <c r="AZ12" s="143"/>
      <c r="BA12" s="143"/>
      <c r="BB12" s="143"/>
      <c r="BC12" s="143"/>
      <c r="BD12" s="143"/>
      <c r="BE12" s="143"/>
      <c r="BF12" s="143"/>
      <c r="BG12" s="50">
        <v>34</v>
      </c>
    </row>
    <row r="13" ht="1.05" customHeight="1">
      <c r="E13" s="91"/>
      <c r="F13" s="91">
        <v>0</v>
      </c>
      <c r="G13" s="91"/>
      <c r="H13" s="91"/>
      <c r="I13" s="91"/>
      <c r="J13" s="91"/>
      <c r="K13" s="50"/>
      <c r="L13" s="50"/>
      <c r="M13" s="50"/>
      <c r="N13" s="50"/>
      <c r="O13" s="50"/>
      <c r="P13" s="50"/>
      <c r="Q13" s="50"/>
      <c r="R13" s="50"/>
      <c r="S13" s="50"/>
      <c r="T13" s="50"/>
      <c r="U13" s="50"/>
      <c r="V13" s="50"/>
      <c r="W13" s="50"/>
      <c r="X13" s="50"/>
      <c r="Y13" s="50"/>
      <c r="Z13" s="50"/>
      <c r="AA13" s="50"/>
      <c r="AB13" s="50"/>
      <c r="AC13" s="50"/>
      <c r="AD13" s="50"/>
      <c r="AE13" s="50"/>
      <c r="AF13" s="50"/>
      <c r="AG13" s="50"/>
      <c r="AH13" s="50"/>
      <c r="AI13" s="50"/>
      <c r="AJ13" s="50"/>
      <c r="AK13" s="50"/>
      <c r="AL13" s="905"/>
      <c r="AM13" s="143"/>
      <c r="AN13" s="143"/>
      <c r="AO13" s="143"/>
      <c r="AP13" s="143"/>
      <c r="AQ13" s="143"/>
      <c r="AR13" s="143"/>
      <c r="AS13" s="143"/>
      <c r="AT13" s="143"/>
      <c r="AU13" s="143"/>
      <c r="AV13" s="143"/>
      <c r="AW13" s="143"/>
      <c r="AX13" s="143"/>
      <c r="AY13" s="143"/>
      <c r="AZ13" s="143"/>
      <c r="BA13" s="143"/>
      <c r="BB13" s="143"/>
      <c r="BC13" s="143"/>
      <c r="BD13" s="143"/>
      <c r="BE13" s="143"/>
      <c r="BF13" s="143"/>
      <c r="BG13" s="50">
        <v>1</v>
      </c>
    </row>
    <row r="14" ht="10.5" customHeight="1">
      <c r="E14" s="143"/>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143"/>
      <c r="AM14" s="143"/>
      <c r="AN14" s="143"/>
      <c r="AO14" s="143"/>
      <c r="AP14" s="143"/>
      <c r="AQ14" s="143"/>
      <c r="AR14" s="143"/>
      <c r="AS14" s="143"/>
      <c r="AT14" s="143"/>
      <c r="AU14" s="143"/>
      <c r="AV14" s="143"/>
      <c r="AW14" s="143"/>
      <c r="AX14" s="143"/>
      <c r="AY14" s="143"/>
      <c r="AZ14" s="143"/>
      <c r="BA14" s="143"/>
      <c r="BB14" s="143"/>
      <c r="BC14" s="143"/>
      <c r="BD14" s="143"/>
      <c r="BE14" s="143"/>
      <c r="BF14" s="143"/>
      <c r="BG14" s="50">
        <v>10</v>
      </c>
    </row>
    <row r="15" ht="13.5" customHeight="1">
      <c r="E15" s="143"/>
      <c r="F15" s="106" t="s">
        <v>1019</v>
      </c>
      <c r="G15" s="106"/>
      <c r="H15" s="106"/>
      <c r="I15" s="106"/>
      <c r="J15" s="106"/>
      <c r="K15" s="143"/>
      <c r="L15" s="143"/>
      <c r="M15" s="143"/>
      <c r="N15" s="143"/>
      <c r="O15" s="143"/>
      <c r="P15" s="143"/>
      <c r="Q15" s="143"/>
      <c r="R15" s="143"/>
      <c r="S15" s="143"/>
      <c r="T15" s="143"/>
      <c r="U15" s="143"/>
      <c r="V15" s="143"/>
      <c r="W15" s="143"/>
      <c r="X15" s="143"/>
      <c r="Y15" s="143"/>
      <c r="Z15" s="143"/>
      <c r="AA15" s="143"/>
      <c r="AB15" s="143"/>
      <c r="AC15" s="143"/>
      <c r="AD15" s="143"/>
      <c r="AE15" s="143"/>
      <c r="AF15" s="143"/>
      <c r="AG15" s="143"/>
      <c r="AH15" s="143"/>
      <c r="AI15" s="143"/>
      <c r="AJ15" s="143"/>
      <c r="AK15" s="143"/>
      <c r="AL15" s="143"/>
      <c r="AM15" s="143"/>
      <c r="AN15" s="143"/>
      <c r="AO15" s="143"/>
      <c r="AP15" s="143"/>
      <c r="AQ15" s="143"/>
      <c r="AR15" s="143"/>
      <c r="AS15" s="143"/>
      <c r="AT15" s="143"/>
      <c r="AU15" s="143"/>
      <c r="AV15" s="143"/>
      <c r="AW15" s="143"/>
      <c r="AX15" s="143"/>
      <c r="AY15" s="143"/>
      <c r="AZ15" s="143"/>
      <c r="BA15" s="143"/>
      <c r="BB15" s="143"/>
      <c r="BC15" s="143"/>
      <c r="BD15" s="143"/>
      <c r="BE15" s="143"/>
      <c r="BF15" s="143"/>
      <c r="BG15" s="50">
        <v>13</v>
      </c>
    </row>
    <row r="16" ht="10.5" customHeight="1">
      <c r="BG16" s="50">
        <v>10</v>
      </c>
    </row>
    <row r="17" ht="10.5" customHeight="1">
      <c r="E17" s="143"/>
      <c r="F17" s="86"/>
      <c r="G17" s="86"/>
      <c r="H17" s="86"/>
      <c r="I17" s="86"/>
      <c r="J17" s="86"/>
      <c r="K17" s="143"/>
      <c r="L17" s="143"/>
      <c r="M17" s="143"/>
      <c r="N17" s="143"/>
      <c r="O17" s="143"/>
      <c r="P17" s="143"/>
      <c r="Q17" s="143"/>
      <c r="R17" s="143"/>
      <c r="S17" s="143"/>
      <c r="T17" s="143"/>
      <c r="U17" s="143"/>
      <c r="V17" s="143"/>
      <c r="W17" s="143"/>
      <c r="X17" s="143"/>
      <c r="Y17" s="143"/>
      <c r="Z17" s="143"/>
      <c r="AA17" s="143"/>
      <c r="AB17" s="143"/>
      <c r="AC17" s="143"/>
      <c r="AD17" s="143"/>
      <c r="AE17" s="143"/>
      <c r="AF17" s="143"/>
      <c r="AG17" s="143"/>
      <c r="AH17" s="143"/>
      <c r="AI17" s="143"/>
      <c r="AJ17" s="143"/>
      <c r="AK17" s="143"/>
      <c r="AL17" s="143"/>
      <c r="AM17" s="143"/>
      <c r="AN17" s="143"/>
      <c r="AO17" s="143"/>
      <c r="AP17" s="143"/>
      <c r="AQ17" s="143"/>
      <c r="AR17" s="143"/>
      <c r="AS17" s="143"/>
      <c r="AT17" s="143"/>
      <c r="AU17" s="143"/>
      <c r="AV17" s="143"/>
      <c r="AW17" s="143"/>
      <c r="AX17" s="143"/>
      <c r="AY17" s="143"/>
      <c r="AZ17" s="143"/>
      <c r="BA17" s="143"/>
      <c r="BB17" s="143"/>
      <c r="BC17" s="143"/>
      <c r="BD17" s="143"/>
      <c r="BE17" s="143"/>
      <c r="BF17" s="143"/>
      <c r="BG17" s="50">
        <v>10</v>
      </c>
    </row>
    <row r="18" ht="10.5" customHeight="1">
      <c r="E18" s="143"/>
      <c r="F18" s="86"/>
      <c r="G18" s="86"/>
      <c r="H18" s="86"/>
      <c r="I18" s="86"/>
      <c r="J18" s="86"/>
      <c r="K18" s="143"/>
      <c r="L18" s="143"/>
      <c r="M18" s="143"/>
      <c r="N18" s="143"/>
      <c r="O18" s="143"/>
      <c r="P18" s="143"/>
      <c r="Q18" s="143"/>
      <c r="R18" s="143"/>
      <c r="S18" s="143"/>
      <c r="T18" s="143"/>
      <c r="U18" s="143"/>
      <c r="V18" s="143"/>
      <c r="W18" s="143"/>
      <c r="X18" s="143"/>
      <c r="Y18" s="143"/>
      <c r="Z18" s="143"/>
      <c r="AA18" s="143"/>
      <c r="AB18" s="143"/>
      <c r="AC18" s="143"/>
      <c r="AD18" s="143"/>
      <c r="AE18" s="143"/>
      <c r="AF18" s="143"/>
      <c r="AG18" s="143"/>
      <c r="AH18" s="143"/>
      <c r="AI18" s="143"/>
      <c r="AJ18" s="143"/>
      <c r="AK18" s="143"/>
      <c r="AL18" s="143"/>
      <c r="AM18" s="143"/>
      <c r="AN18" s="143"/>
      <c r="AO18" s="143"/>
      <c r="AP18" s="143"/>
      <c r="AQ18" s="143"/>
      <c r="AR18" s="143"/>
      <c r="AS18" s="143"/>
      <c r="AT18" s="143"/>
      <c r="AU18" s="143"/>
      <c r="AV18" s="143"/>
      <c r="AW18" s="143"/>
      <c r="AX18" s="143"/>
      <c r="AY18" s="143"/>
      <c r="AZ18" s="143"/>
      <c r="BA18" s="143"/>
      <c r="BB18" s="143"/>
      <c r="BC18" s="143"/>
      <c r="BD18" s="143"/>
      <c r="BE18" s="143"/>
      <c r="BF18" s="143"/>
      <c r="BG18" s="50">
        <v>10</v>
      </c>
    </row>
    <row r="19" ht="10.5" customHeight="1">
      <c r="E19" s="143"/>
      <c r="F19" s="86"/>
      <c r="G19" s="86"/>
      <c r="H19" s="86"/>
      <c r="I19" s="86"/>
      <c r="J19" s="86"/>
      <c r="K19" s="143"/>
      <c r="L19" s="143"/>
      <c r="M19" s="143"/>
      <c r="N19" s="143"/>
      <c r="O19" s="143"/>
      <c r="P19" s="143"/>
      <c r="Q19" s="143"/>
      <c r="R19" s="143"/>
      <c r="S19" s="143"/>
      <c r="T19" s="143"/>
      <c r="U19" s="143"/>
      <c r="V19" s="143"/>
      <c r="W19" s="143"/>
      <c r="X19" s="143"/>
      <c r="Y19" s="143"/>
      <c r="Z19" s="143"/>
      <c r="AA19" s="143"/>
      <c r="AB19" s="143"/>
      <c r="AC19" s="143"/>
      <c r="AD19" s="143"/>
      <c r="AE19" s="143"/>
      <c r="AF19" s="143"/>
      <c r="AG19" s="143"/>
      <c r="AH19" s="143"/>
      <c r="AI19" s="143"/>
      <c r="AJ19" s="143"/>
      <c r="AK19" s="143"/>
      <c r="AL19" s="143"/>
      <c r="AM19" s="143"/>
      <c r="AN19" s="143"/>
      <c r="AO19" s="143"/>
      <c r="AP19" s="143"/>
      <c r="AQ19" s="143"/>
      <c r="AR19" s="143"/>
      <c r="AS19" s="143"/>
      <c r="AT19" s="143"/>
      <c r="AU19" s="143"/>
      <c r="AV19" s="143"/>
      <c r="AW19" s="143"/>
      <c r="AX19" s="143"/>
      <c r="AY19" s="143"/>
      <c r="AZ19" s="143"/>
      <c r="BA19" s="143"/>
      <c r="BB19" s="143"/>
      <c r="BC19" s="143"/>
      <c r="BD19" s="143"/>
      <c r="BE19" s="143"/>
      <c r="BF19" s="143"/>
      <c r="BG19" s="50">
        <v>10</v>
      </c>
    </row>
    <row r="20" ht="10.5" hidden="1" customHeight="1">
      <c r="A20" s="124" t="s">
        <v>83</v>
      </c>
      <c r="B20" s="124">
        <v>0</v>
      </c>
      <c r="C20" s="124">
        <v>0</v>
      </c>
      <c r="D20" s="53">
        <v>0</v>
      </c>
      <c r="E20" s="50">
        <v>3</v>
      </c>
      <c r="F20" s="50">
        <v>14</v>
      </c>
      <c r="G20" s="50">
        <v>3</v>
      </c>
      <c r="H20" s="50">
        <v>7</v>
      </c>
      <c r="I20" s="50">
        <v>16</v>
      </c>
      <c r="J20" s="50">
        <v>16</v>
      </c>
      <c r="K20" s="50">
        <v>25</v>
      </c>
      <c r="L20" s="50">
        <v>7</v>
      </c>
      <c r="M20" s="50">
        <v>15</v>
      </c>
      <c r="N20" s="50">
        <v>3</v>
      </c>
      <c r="O20" s="50">
        <v>4</v>
      </c>
      <c r="P20" s="50">
        <v>8</v>
      </c>
      <c r="Q20" s="50">
        <v>21</v>
      </c>
      <c r="R20" s="50">
        <v>14</v>
      </c>
      <c r="S20" s="50">
        <v>17</v>
      </c>
      <c r="T20" s="50">
        <v>17</v>
      </c>
      <c r="U20" s="50">
        <v>9</v>
      </c>
      <c r="V20" s="50">
        <v>12</v>
      </c>
      <c r="W20" s="50">
        <v>9</v>
      </c>
      <c r="X20" s="50">
        <v>21</v>
      </c>
      <c r="Y20" s="50">
        <v>12</v>
      </c>
      <c r="Z20" s="50">
        <v>3</v>
      </c>
      <c r="AA20" s="50">
        <v>6</v>
      </c>
      <c r="AB20" s="50">
        <v>38</v>
      </c>
      <c r="AC20" s="50">
        <v>15</v>
      </c>
      <c r="AD20" s="50">
        <v>0</v>
      </c>
      <c r="AE20" s="50">
        <v>0</v>
      </c>
      <c r="AF20" s="50">
        <v>16</v>
      </c>
      <c r="AG20" s="50">
        <v>16</v>
      </c>
      <c r="AH20" s="50">
        <v>16</v>
      </c>
      <c r="AI20" s="50">
        <v>0</v>
      </c>
      <c r="AJ20" s="50">
        <v>0</v>
      </c>
      <c r="AK20" s="50">
        <v>0</v>
      </c>
      <c r="AL20" s="50">
        <v>8</v>
      </c>
      <c r="AM20" s="50">
        <v>8</v>
      </c>
      <c r="AN20" s="50">
        <v>8</v>
      </c>
      <c r="AO20" s="50">
        <v>8</v>
      </c>
      <c r="AP20" s="50">
        <v>8</v>
      </c>
      <c r="AQ20" s="50">
        <v>8</v>
      </c>
      <c r="AR20" s="50">
        <v>8</v>
      </c>
      <c r="AS20" s="50">
        <v>8</v>
      </c>
      <c r="AT20" s="50">
        <v>8</v>
      </c>
      <c r="AU20" s="50">
        <v>8</v>
      </c>
      <c r="AV20" s="50">
        <v>8</v>
      </c>
      <c r="AW20" s="50">
        <v>8</v>
      </c>
      <c r="AX20" s="50">
        <v>8</v>
      </c>
      <c r="AY20" s="50">
        <v>8</v>
      </c>
      <c r="AZ20" s="50">
        <v>8</v>
      </c>
      <c r="BA20" s="50">
        <v>8</v>
      </c>
      <c r="BB20" s="50">
        <v>8</v>
      </c>
      <c r="BC20" s="50">
        <v>8</v>
      </c>
      <c r="BD20" s="50">
        <v>8</v>
      </c>
      <c r="BE20" s="50">
        <v>8</v>
      </c>
      <c r="BF20" s="50">
        <v>8</v>
      </c>
      <c r="BG20" s="50">
        <v>10</v>
      </c>
    </row>
  </sheetData>
  <sheetProtection autoFilter="0" deleteColumns="1" deleteRows="1" formatCells="1" formatColumns="0" formatRows="0" insertColumns="1" insertHyperlinks="1" insertRows="1" objects="0" pivotTables="1" scenarios="0" selectLockedCells="0" selectUnlockedCells="0" sheet="1" sort="1"/>
  <mergeCells count="28">
    <mergeCell ref="F5:K5"/>
    <mergeCell ref="F6:K6"/>
    <mergeCell ref="F8:AK8"/>
    <mergeCell ref="F9:F12"/>
    <mergeCell ref="G9:H12"/>
    <mergeCell ref="I9:J11"/>
    <mergeCell ref="K9:Y9"/>
    <mergeCell ref="Z9:AA12"/>
    <mergeCell ref="AB9:AE10"/>
    <mergeCell ref="AF9:AF12"/>
    <mergeCell ref="AG9:AH11"/>
    <mergeCell ref="AI9:AI12"/>
    <mergeCell ref="AJ9:AK11"/>
    <mergeCell ref="K10:K12"/>
    <mergeCell ref="L10:M10"/>
    <mergeCell ref="N10:Y10"/>
    <mergeCell ref="L11:L12"/>
    <mergeCell ref="M11:M12"/>
    <mergeCell ref="N11:O12"/>
    <mergeCell ref="P11:P12"/>
    <mergeCell ref="Q11:Q12"/>
    <mergeCell ref="R11:R12"/>
    <mergeCell ref="S11:Y11"/>
    <mergeCell ref="AB11:AC11"/>
    <mergeCell ref="AD11:AE11"/>
    <mergeCell ref="F17:J17"/>
    <mergeCell ref="F18:J18"/>
    <mergeCell ref="F19:J19"/>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outlinePr applyStyles="0" summaryBelow="1" summaryRight="1" showOutlineSymbols="1"/>
    <pageSetUpPr autoPageBreaks="1" fitToPage="0"/>
  </sheetPr>
  <sheetViews>
    <sheetView showGridLines="0" zoomScale="85" workbookViewId="0">
      <pane xSplit="9" ySplit="13" topLeftCell="J14" activePane="bottomRight" state="frozen"/>
      <selection activeCell="A1" activeCellId="0" sqref="A1"/>
    </sheetView>
  </sheetViews>
  <sheetFormatPr defaultColWidth="9.140625" defaultRowHeight="10.5" customHeight="1"/>
  <cols>
    <col customWidth="1" hidden="1" min="1" max="3" style="124" width="4.140625"/>
    <col customWidth="1" hidden="1" min="4" max="4" style="53" width="4.140625"/>
    <col customWidth="1" min="5" max="5" style="50" width="3.00390625"/>
    <col customWidth="1" min="6" max="6" style="50" width="6.00390625"/>
    <col customWidth="1" min="7" max="7" style="50" width="60.00390625"/>
    <col customWidth="1" hidden="1" min="8" max="9" style="50" width="21.7109375"/>
    <col customWidth="1" min="10" max="10" style="50" width="0.140625"/>
    <col customWidth="1" min="11" max="11" style="50" width="1.00390625"/>
    <col customWidth="1" min="12" max="22" style="50" width="8.00390625"/>
    <col hidden="1" min="23" max="23" style="50" width="9.140625"/>
  </cols>
  <sheetData>
    <row r="1" s="53" customFormat="1" ht="10.5" hidden="1" customHeight="1">
      <c r="A1" s="124"/>
      <c r="B1" s="124"/>
      <c r="C1" s="124"/>
      <c r="E1" s="53"/>
      <c r="W1" s="53" t="s">
        <v>14</v>
      </c>
    </row>
    <row r="2" ht="10.5" hidden="1" customHeight="1">
      <c r="W2" s="50">
        <v>0</v>
      </c>
    </row>
    <row r="3" s="56" customFormat="1" ht="10.5" hidden="1" customHeight="1">
      <c r="A3" s="124"/>
      <c r="B3" s="124"/>
      <c r="C3" s="124"/>
      <c r="D3" s="53"/>
      <c r="E3" s="56"/>
      <c r="W3" s="56">
        <v>0</v>
      </c>
    </row>
    <row r="4" ht="3" customHeight="1">
      <c r="W4" s="50">
        <v>3</v>
      </c>
    </row>
    <row r="5" ht="27.300000000000001" customHeight="1">
      <c r="F5" s="461" t="str">
        <f>IP_NAME_FORM&amp;"
Финансовый план"</f>
        <v xml:space="preserve">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461"/>
      <c r="H5" s="461"/>
      <c r="I5" s="461"/>
      <c r="J5" s="461"/>
      <c r="W5" s="50">
        <v>26</v>
      </c>
    </row>
    <row r="6" ht="10.5" customHeight="1">
      <c r="F6" s="316" t="str">
        <f>IF(org=0,"Не определено",org)</f>
        <v xml:space="preserve">АО "ДГК"</v>
      </c>
      <c r="G6" s="316"/>
      <c r="H6" s="316"/>
      <c r="I6" s="316"/>
      <c r="J6" s="316"/>
      <c r="W6" s="50">
        <v>10</v>
      </c>
    </row>
    <row r="7" ht="11.5" customHeight="1">
      <c r="E7" s="91"/>
      <c r="F7" s="906"/>
      <c r="G7" s="906"/>
      <c r="H7" s="906"/>
      <c r="I7" s="906"/>
      <c r="J7" s="906"/>
      <c r="K7" s="143"/>
      <c r="L7" s="143"/>
      <c r="M7" s="143"/>
      <c r="N7" s="143"/>
      <c r="O7" s="143"/>
      <c r="P7" s="143"/>
      <c r="Q7" s="143"/>
      <c r="R7" s="143"/>
      <c r="S7" s="143"/>
      <c r="T7" s="143"/>
      <c r="U7" s="143"/>
      <c r="V7" s="143"/>
      <c r="W7" s="50">
        <v>11</v>
      </c>
    </row>
    <row r="8" s="57" customFormat="1" ht="4.2000000000000002" customHeight="1">
      <c r="A8" s="540"/>
      <c r="B8" s="540"/>
      <c r="C8" s="540"/>
      <c r="E8" s="167"/>
      <c r="F8" s="907"/>
      <c r="G8" s="907"/>
      <c r="H8" s="907"/>
      <c r="I8" s="907"/>
      <c r="J8" s="907"/>
      <c r="K8" s="167"/>
      <c r="L8" s="167"/>
      <c r="M8" s="167"/>
      <c r="N8" s="167"/>
      <c r="O8" s="167"/>
      <c r="P8" s="167"/>
      <c r="Q8" s="167"/>
      <c r="R8" s="167"/>
      <c r="S8" s="167"/>
      <c r="T8" s="167"/>
      <c r="U8" s="167"/>
      <c r="V8" s="167"/>
      <c r="W8" s="57">
        <v>4</v>
      </c>
    </row>
    <row r="9" ht="10.5" customHeight="1">
      <c r="E9" s="91"/>
      <c r="F9" s="908" t="s">
        <v>305</v>
      </c>
      <c r="G9" s="909"/>
      <c r="H9" s="909"/>
      <c r="I9" s="909"/>
      <c r="J9" s="909"/>
      <c r="K9" s="910"/>
      <c r="L9" s="143"/>
      <c r="M9" s="143"/>
      <c r="N9" s="143"/>
      <c r="O9" s="143"/>
      <c r="P9" s="143"/>
      <c r="Q9" s="143"/>
      <c r="R9" s="143"/>
      <c r="S9" s="143"/>
      <c r="T9" s="143"/>
      <c r="U9" s="143"/>
      <c r="V9" s="143"/>
      <c r="W9" s="50">
        <v>10</v>
      </c>
    </row>
    <row r="10" ht="25.199999999999999" customHeight="1">
      <c r="E10" s="143"/>
      <c r="F10" s="911" t="s">
        <v>89</v>
      </c>
      <c r="G10" s="251" t="s">
        <v>1020</v>
      </c>
      <c r="H10" s="439" t="s">
        <v>1021</v>
      </c>
      <c r="I10" s="439"/>
      <c r="J10" s="439"/>
      <c r="K10" s="912"/>
      <c r="L10" s="143"/>
      <c r="M10" s="143"/>
      <c r="N10" s="143"/>
      <c r="O10" s="143"/>
      <c r="P10" s="143"/>
      <c r="Q10" s="143"/>
      <c r="R10" s="143"/>
      <c r="S10" s="143"/>
      <c r="T10" s="143"/>
      <c r="U10" s="143"/>
      <c r="V10" s="143"/>
      <c r="W10" s="50">
        <v>24</v>
      </c>
    </row>
    <row r="11" ht="25.5" customHeight="1">
      <c r="E11" s="143"/>
      <c r="F11" s="913"/>
      <c r="G11" s="251"/>
      <c r="H11" s="914" t="e">
        <f>INDEX(IP_MAIN_LIST_NAME_IP,MATCH(H8,IP_MAIN_LIST_IP_ID,0))&amp;" ("&amp;INDEX(IP_MAIN_START_DATE,MATCH(H8,IP_MAIN_LIST_IP_ID,0))&amp;"-"&amp;INDEX(IP_MAIN_END_DATE,MATCH(H8,IP_MAIN_LIST_IP_ID,0))&amp;")"</f>
        <v>#VALUE!</v>
      </c>
      <c r="I11" s="914"/>
      <c r="J11" s="914"/>
      <c r="K11" s="912"/>
      <c r="L11" s="143"/>
      <c r="M11" s="143"/>
      <c r="N11" s="143"/>
      <c r="O11" s="143"/>
      <c r="P11" s="143"/>
      <c r="Q11" s="143"/>
      <c r="R11" s="143"/>
      <c r="S11" s="143"/>
      <c r="T11" s="143"/>
      <c r="U11" s="143"/>
      <c r="V11" s="143"/>
      <c r="W11" s="50">
        <v>24</v>
      </c>
    </row>
    <row r="12" ht="10.5" customHeight="1">
      <c r="F12" s="915"/>
      <c r="G12" s="251"/>
      <c r="H12" s="251" t="s">
        <v>1022</v>
      </c>
      <c r="I12" s="916"/>
      <c r="J12" s="251"/>
      <c r="K12" s="917"/>
      <c r="W12" s="50">
        <v>10</v>
      </c>
    </row>
    <row r="13" ht="10.5" hidden="1" customHeight="1">
      <c r="F13" s="251">
        <v>1</v>
      </c>
      <c r="G13" s="251">
        <v>2</v>
      </c>
      <c r="H13" s="251">
        <v>3</v>
      </c>
      <c r="I13" s="251">
        <v>4</v>
      </c>
      <c r="J13" s="251">
        <v>5</v>
      </c>
      <c r="K13" s="917"/>
      <c r="W13" s="50">
        <v>0</v>
      </c>
    </row>
    <row r="14" ht="11.5" customHeight="1">
      <c r="F14" s="439" t="s">
        <v>1023</v>
      </c>
      <c r="G14" s="851" t="s">
        <v>1024</v>
      </c>
      <c r="H14" s="851"/>
      <c r="I14" s="851"/>
      <c r="J14" s="851"/>
      <c r="K14" s="917"/>
      <c r="W14" s="50">
        <v>11</v>
      </c>
    </row>
    <row r="15" ht="11.5" customHeight="1">
      <c r="F15" s="251">
        <v>1</v>
      </c>
      <c r="G15" s="389" t="s">
        <v>1025</v>
      </c>
      <c r="H15" s="918">
        <f t="shared" ref="H15:H58" si="48">SUM(I15:J15)</f>
        <v>0</v>
      </c>
      <c r="I15" s="918">
        <f>SUM(I16:I27)</f>
        <v>0</v>
      </c>
      <c r="J15" s="439"/>
      <c r="K15" s="917"/>
      <c r="W15" s="50">
        <v>11</v>
      </c>
    </row>
    <row r="16" ht="24" customHeight="1">
      <c r="F16" s="251" t="s">
        <v>1026</v>
      </c>
      <c r="G16" s="850" t="s">
        <v>1027</v>
      </c>
      <c r="H16" s="918">
        <f t="shared" si="48"/>
        <v>0</v>
      </c>
      <c r="I16" s="919"/>
      <c r="J16" s="439"/>
      <c r="K16" s="917"/>
      <c r="W16" s="50">
        <v>23</v>
      </c>
    </row>
    <row r="17" ht="24" customHeight="1">
      <c r="F17" s="251" t="s">
        <v>1028</v>
      </c>
      <c r="G17" s="850" t="s">
        <v>1029</v>
      </c>
      <c r="H17" s="918">
        <f t="shared" si="48"/>
        <v>0</v>
      </c>
      <c r="I17" s="919"/>
      <c r="J17" s="439"/>
      <c r="K17" s="917"/>
      <c r="W17" s="50">
        <v>23</v>
      </c>
    </row>
    <row r="18" ht="35.649999999999999" customHeight="1">
      <c r="F18" s="251" t="s">
        <v>1030</v>
      </c>
      <c r="G18" s="850" t="s">
        <v>1031</v>
      </c>
      <c r="H18" s="918">
        <f t="shared" si="48"/>
        <v>0</v>
      </c>
      <c r="I18" s="919"/>
      <c r="J18" s="439"/>
      <c r="K18" s="917"/>
      <c r="W18" s="50">
        <v>34</v>
      </c>
    </row>
    <row r="19" ht="35.649999999999999" customHeight="1">
      <c r="F19" s="251" t="s">
        <v>1032</v>
      </c>
      <c r="G19" s="850" t="s">
        <v>1033</v>
      </c>
      <c r="H19" s="918">
        <f t="shared" si="48"/>
        <v>0</v>
      </c>
      <c r="I19" s="919"/>
      <c r="J19" s="439"/>
      <c r="K19" s="917"/>
      <c r="W19" s="50">
        <v>34</v>
      </c>
    </row>
    <row r="20" ht="48.25" customHeight="1">
      <c r="F20" s="251" t="s">
        <v>1034</v>
      </c>
      <c r="G20" s="850" t="s">
        <v>1035</v>
      </c>
      <c r="H20" s="918">
        <f t="shared" si="48"/>
        <v>0</v>
      </c>
      <c r="I20" s="919"/>
      <c r="J20" s="439"/>
      <c r="K20" s="917"/>
      <c r="W20" s="50">
        <v>46</v>
      </c>
    </row>
    <row r="21" ht="35.649999999999999" customHeight="1">
      <c r="F21" s="251" t="s">
        <v>1036</v>
      </c>
      <c r="G21" s="850" t="s">
        <v>1037</v>
      </c>
      <c r="H21" s="918">
        <f t="shared" si="48"/>
        <v>0</v>
      </c>
      <c r="I21" s="919"/>
      <c r="J21" s="439"/>
      <c r="K21" s="917"/>
      <c r="W21" s="50">
        <v>34</v>
      </c>
    </row>
    <row r="22" ht="35.649999999999999" customHeight="1">
      <c r="F22" s="251" t="s">
        <v>1038</v>
      </c>
      <c r="G22" s="850" t="s">
        <v>1039</v>
      </c>
      <c r="H22" s="918">
        <f t="shared" si="48"/>
        <v>0</v>
      </c>
      <c r="I22" s="919"/>
      <c r="J22" s="439"/>
      <c r="K22" s="917"/>
      <c r="W22" s="50">
        <v>34</v>
      </c>
    </row>
    <row r="23" ht="24" customHeight="1">
      <c r="F23" s="251" t="s">
        <v>1040</v>
      </c>
      <c r="G23" s="850" t="s">
        <v>1041</v>
      </c>
      <c r="H23" s="918">
        <f t="shared" si="48"/>
        <v>0</v>
      </c>
      <c r="I23" s="919"/>
      <c r="J23" s="439"/>
      <c r="K23" s="917"/>
      <c r="W23" s="50">
        <v>23</v>
      </c>
    </row>
    <row r="24" ht="24" customHeight="1">
      <c r="F24" s="251" t="s">
        <v>1042</v>
      </c>
      <c r="G24" s="850" t="s">
        <v>1043</v>
      </c>
      <c r="H24" s="918">
        <f t="shared" si="48"/>
        <v>0</v>
      </c>
      <c r="I24" s="919"/>
      <c r="J24" s="439"/>
      <c r="K24" s="917"/>
      <c r="W24" s="50">
        <v>23</v>
      </c>
    </row>
    <row r="25" ht="35.649999999999999" customHeight="1">
      <c r="F25" s="251" t="s">
        <v>1044</v>
      </c>
      <c r="G25" s="850" t="s">
        <v>1045</v>
      </c>
      <c r="H25" s="918">
        <f t="shared" si="48"/>
        <v>0</v>
      </c>
      <c r="I25" s="919"/>
      <c r="J25" s="439"/>
      <c r="K25" s="917"/>
      <c r="W25" s="50">
        <v>34</v>
      </c>
    </row>
    <row r="26" ht="35.649999999999999" customHeight="1">
      <c r="F26" s="251" t="s">
        <v>1046</v>
      </c>
      <c r="G26" s="850" t="s">
        <v>1047</v>
      </c>
      <c r="H26" s="918">
        <f t="shared" si="48"/>
        <v>0</v>
      </c>
      <c r="I26" s="919"/>
      <c r="J26" s="439"/>
      <c r="K26" s="917"/>
      <c r="W26" s="50">
        <v>34</v>
      </c>
    </row>
    <row r="27" ht="11.5" customHeight="1">
      <c r="F27" s="251" t="s">
        <v>1048</v>
      </c>
      <c r="G27" s="850" t="s">
        <v>1049</v>
      </c>
      <c r="H27" s="918">
        <f t="shared" si="48"/>
        <v>0</v>
      </c>
      <c r="I27" s="919"/>
      <c r="J27" s="439"/>
      <c r="K27" s="917"/>
      <c r="W27" s="50">
        <v>11</v>
      </c>
    </row>
    <row r="28" ht="11.5" customHeight="1">
      <c r="F28" s="251">
        <v>2</v>
      </c>
      <c r="G28" s="389" t="s">
        <v>1050</v>
      </c>
      <c r="H28" s="918">
        <f t="shared" si="48"/>
        <v>0</v>
      </c>
      <c r="I28" s="918">
        <f>SUM(I29:I31)</f>
        <v>0</v>
      </c>
      <c r="J28" s="439"/>
      <c r="K28" s="917"/>
      <c r="W28" s="50">
        <v>11</v>
      </c>
    </row>
    <row r="29" ht="11.5" customHeight="1">
      <c r="F29" s="251" t="s">
        <v>713</v>
      </c>
      <c r="G29" s="850" t="s">
        <v>1051</v>
      </c>
      <c r="H29" s="918">
        <f t="shared" si="48"/>
        <v>0</v>
      </c>
      <c r="I29" s="919"/>
      <c r="J29" s="439"/>
      <c r="K29" s="917"/>
      <c r="W29" s="50">
        <v>11</v>
      </c>
    </row>
    <row r="30" ht="11.5" customHeight="1">
      <c r="F30" s="251" t="s">
        <v>312</v>
      </c>
      <c r="G30" s="850" t="s">
        <v>1052</v>
      </c>
      <c r="H30" s="918">
        <f t="shared" si="48"/>
        <v>0</v>
      </c>
      <c r="I30" s="919"/>
      <c r="J30" s="439"/>
      <c r="K30" s="917"/>
      <c r="W30" s="50">
        <v>11</v>
      </c>
    </row>
    <row r="31" ht="11.5" customHeight="1">
      <c r="F31" s="251" t="s">
        <v>315</v>
      </c>
      <c r="G31" s="850" t="s">
        <v>1053</v>
      </c>
      <c r="H31" s="918">
        <f t="shared" si="48"/>
        <v>0</v>
      </c>
      <c r="I31" s="919"/>
      <c r="J31" s="439"/>
      <c r="K31" s="917"/>
      <c r="W31" s="50">
        <v>11</v>
      </c>
    </row>
    <row r="32" ht="11.5" customHeight="1">
      <c r="F32" s="251">
        <v>3</v>
      </c>
      <c r="G32" s="389" t="s">
        <v>1054</v>
      </c>
      <c r="H32" s="918">
        <f t="shared" si="48"/>
        <v>0</v>
      </c>
      <c r="I32" s="918">
        <f>SUM(I33:I34)</f>
        <v>0</v>
      </c>
      <c r="J32" s="439"/>
      <c r="K32" s="917"/>
      <c r="W32" s="50">
        <v>11</v>
      </c>
    </row>
    <row r="33" ht="48.25" customHeight="1">
      <c r="F33" s="251" t="s">
        <v>329</v>
      </c>
      <c r="G33" s="850" t="s">
        <v>1055</v>
      </c>
      <c r="H33" s="918">
        <f t="shared" si="48"/>
        <v>0</v>
      </c>
      <c r="I33" s="919"/>
      <c r="J33" s="439"/>
      <c r="K33" s="917"/>
      <c r="W33" s="50">
        <v>46</v>
      </c>
    </row>
    <row r="34" ht="11.5" customHeight="1">
      <c r="F34" s="251" t="s">
        <v>337</v>
      </c>
      <c r="G34" s="850" t="s">
        <v>1056</v>
      </c>
      <c r="H34" s="918">
        <f t="shared" si="48"/>
        <v>0</v>
      </c>
      <c r="I34" s="919"/>
      <c r="J34" s="439"/>
      <c r="K34" s="917"/>
      <c r="W34" s="50">
        <v>11</v>
      </c>
    </row>
    <row r="35" ht="11.5" customHeight="1">
      <c r="F35" s="251">
        <v>4</v>
      </c>
      <c r="G35" s="389" t="s">
        <v>1057</v>
      </c>
      <c r="H35" s="918">
        <f t="shared" si="48"/>
        <v>0</v>
      </c>
      <c r="I35" s="919"/>
      <c r="J35" s="439"/>
      <c r="K35" s="917"/>
      <c r="W35" s="50">
        <v>11</v>
      </c>
    </row>
    <row r="36" ht="11.5" customHeight="1">
      <c r="F36" s="251"/>
      <c r="G36" s="851" t="s">
        <v>1058</v>
      </c>
      <c r="H36" s="918">
        <f t="shared" si="48"/>
        <v>0</v>
      </c>
      <c r="I36" s="918">
        <f>SUM(I15,I28,I32,I35)</f>
        <v>0</v>
      </c>
      <c r="J36" s="439"/>
      <c r="K36" s="917"/>
      <c r="W36" s="50">
        <v>11</v>
      </c>
    </row>
    <row r="37" ht="29.25" customHeight="1">
      <c r="F37" s="439" t="s">
        <v>1059</v>
      </c>
      <c r="G37" s="374" t="s">
        <v>1060</v>
      </c>
      <c r="H37" s="374"/>
      <c r="I37" s="374"/>
      <c r="J37" s="374"/>
      <c r="K37" s="917"/>
      <c r="W37" s="50">
        <v>28</v>
      </c>
    </row>
    <row r="38" ht="24" customHeight="1">
      <c r="F38" s="251" t="s">
        <v>109</v>
      </c>
      <c r="G38" s="389" t="s">
        <v>1061</v>
      </c>
      <c r="H38" s="918">
        <f t="shared" si="48"/>
        <v>0</v>
      </c>
      <c r="I38" s="918">
        <f>SUM(I39,I44,I47)</f>
        <v>0</v>
      </c>
      <c r="J38" s="439"/>
      <c r="K38" s="917"/>
      <c r="W38" s="50">
        <v>23</v>
      </c>
    </row>
    <row r="39" ht="11.5" customHeight="1">
      <c r="F39" s="251" t="s">
        <v>1026</v>
      </c>
      <c r="G39" s="850" t="s">
        <v>1025</v>
      </c>
      <c r="H39" s="918">
        <f t="shared" si="48"/>
        <v>0</v>
      </c>
      <c r="I39" s="918">
        <f>SUM(I40:I43)</f>
        <v>0</v>
      </c>
      <c r="J39" s="439"/>
      <c r="K39" s="917"/>
      <c r="W39" s="50">
        <v>11</v>
      </c>
    </row>
    <row r="40" ht="24" customHeight="1">
      <c r="F40" s="251" t="s">
        <v>1062</v>
      </c>
      <c r="G40" s="920" t="s">
        <v>1063</v>
      </c>
      <c r="H40" s="918">
        <f t="shared" si="48"/>
        <v>0</v>
      </c>
      <c r="I40" s="919"/>
      <c r="J40" s="439"/>
      <c r="K40" s="917"/>
      <c r="W40" s="50">
        <v>23</v>
      </c>
    </row>
    <row r="41" ht="11.5" customHeight="1">
      <c r="F41" s="251" t="s">
        <v>1064</v>
      </c>
      <c r="G41" s="920" t="s">
        <v>1065</v>
      </c>
      <c r="H41" s="918">
        <f t="shared" si="48"/>
        <v>0</v>
      </c>
      <c r="I41" s="919"/>
      <c r="J41" s="439"/>
      <c r="K41" s="917"/>
      <c r="W41" s="50">
        <v>11</v>
      </c>
    </row>
    <row r="42" ht="11.5" customHeight="1">
      <c r="F42" s="251" t="s">
        <v>1066</v>
      </c>
      <c r="G42" s="920" t="s">
        <v>1067</v>
      </c>
      <c r="H42" s="918">
        <f t="shared" si="48"/>
        <v>0</v>
      </c>
      <c r="I42" s="919"/>
      <c r="J42" s="439"/>
      <c r="K42" s="917"/>
      <c r="W42" s="50">
        <v>11</v>
      </c>
    </row>
    <row r="43" ht="35.649999999999999" customHeight="1">
      <c r="F43" s="251" t="s">
        <v>1068</v>
      </c>
      <c r="G43" s="920" t="s">
        <v>1069</v>
      </c>
      <c r="H43" s="918">
        <f t="shared" si="48"/>
        <v>0</v>
      </c>
      <c r="I43" s="919"/>
      <c r="J43" s="439"/>
      <c r="K43" s="917"/>
      <c r="W43" s="50">
        <v>34</v>
      </c>
    </row>
    <row r="44" ht="11.5" customHeight="1">
      <c r="F44" s="251" t="s">
        <v>1028</v>
      </c>
      <c r="G44" s="850" t="s">
        <v>1054</v>
      </c>
      <c r="H44" s="918">
        <f t="shared" si="48"/>
        <v>0</v>
      </c>
      <c r="I44" s="918">
        <f>SUM(I45:I46)</f>
        <v>0</v>
      </c>
      <c r="J44" s="439"/>
      <c r="K44" s="917"/>
      <c r="W44" s="50">
        <v>11</v>
      </c>
    </row>
    <row r="45" ht="48.25" customHeight="1">
      <c r="F45" s="251" t="s">
        <v>1070</v>
      </c>
      <c r="G45" s="920" t="s">
        <v>1055</v>
      </c>
      <c r="H45" s="918">
        <f t="shared" si="48"/>
        <v>0</v>
      </c>
      <c r="I45" s="919"/>
      <c r="J45" s="439"/>
      <c r="K45" s="917"/>
      <c r="W45" s="50">
        <v>46</v>
      </c>
    </row>
    <row r="46" ht="11.5" customHeight="1">
      <c r="F46" s="251" t="s">
        <v>1071</v>
      </c>
      <c r="G46" s="920" t="s">
        <v>1056</v>
      </c>
      <c r="H46" s="918">
        <f t="shared" si="48"/>
        <v>0</v>
      </c>
      <c r="I46" s="919"/>
      <c r="J46" s="439"/>
      <c r="K46" s="917"/>
      <c r="W46" s="50">
        <v>11</v>
      </c>
    </row>
    <row r="47" ht="11.5" customHeight="1">
      <c r="F47" s="251" t="s">
        <v>1030</v>
      </c>
      <c r="G47" s="850" t="s">
        <v>1072</v>
      </c>
      <c r="H47" s="918">
        <f t="shared" si="48"/>
        <v>0</v>
      </c>
      <c r="I47" s="919"/>
      <c r="J47" s="439"/>
      <c r="K47" s="917"/>
      <c r="W47" s="50">
        <v>11</v>
      </c>
    </row>
    <row r="48" ht="24" customHeight="1">
      <c r="F48" s="251" t="s">
        <v>110</v>
      </c>
      <c r="G48" s="389" t="s">
        <v>1073</v>
      </c>
      <c r="H48" s="918">
        <f t="shared" si="48"/>
        <v>0</v>
      </c>
      <c r="I48" s="918">
        <f>SUM(I49,I54,I57)</f>
        <v>0</v>
      </c>
      <c r="J48" s="439"/>
      <c r="K48" s="917"/>
      <c r="W48" s="50">
        <v>23</v>
      </c>
    </row>
    <row r="49" ht="11.5" customHeight="1">
      <c r="F49" s="251" t="s">
        <v>713</v>
      </c>
      <c r="G49" s="850" t="s">
        <v>1025</v>
      </c>
      <c r="H49" s="918">
        <f t="shared" si="48"/>
        <v>0</v>
      </c>
      <c r="I49" s="918">
        <f>SUM(I50:I53)</f>
        <v>0</v>
      </c>
      <c r="J49" s="439"/>
      <c r="K49" s="917"/>
      <c r="W49" s="50">
        <v>11</v>
      </c>
    </row>
    <row r="50" ht="24" customHeight="1">
      <c r="F50" s="251" t="s">
        <v>716</v>
      </c>
      <c r="G50" s="920" t="s">
        <v>1063</v>
      </c>
      <c r="H50" s="918">
        <f t="shared" si="48"/>
        <v>0</v>
      </c>
      <c r="I50" s="919"/>
      <c r="J50" s="439"/>
      <c r="K50" s="917"/>
      <c r="W50" s="50">
        <v>23</v>
      </c>
    </row>
    <row r="51" ht="11.5" customHeight="1">
      <c r="F51" s="251" t="s">
        <v>719</v>
      </c>
      <c r="G51" s="920" t="s">
        <v>1065</v>
      </c>
      <c r="H51" s="918">
        <f t="shared" si="48"/>
        <v>0</v>
      </c>
      <c r="I51" s="919"/>
      <c r="J51" s="439"/>
      <c r="K51" s="917"/>
      <c r="W51" s="50">
        <v>11</v>
      </c>
    </row>
    <row r="52" ht="11.5" customHeight="1">
      <c r="F52" s="251" t="s">
        <v>1074</v>
      </c>
      <c r="G52" s="920" t="s">
        <v>1067</v>
      </c>
      <c r="H52" s="918">
        <f t="shared" si="48"/>
        <v>0</v>
      </c>
      <c r="I52" s="919"/>
      <c r="J52" s="439"/>
      <c r="K52" s="917"/>
      <c r="W52" s="50">
        <v>11</v>
      </c>
    </row>
    <row r="53" ht="35.649999999999999" customHeight="1">
      <c r="F53" s="251" t="s">
        <v>1075</v>
      </c>
      <c r="G53" s="920" t="s">
        <v>1069</v>
      </c>
      <c r="H53" s="918">
        <f t="shared" si="48"/>
        <v>0</v>
      </c>
      <c r="I53" s="919"/>
      <c r="J53" s="439"/>
      <c r="K53" s="917"/>
      <c r="W53" s="50">
        <v>34</v>
      </c>
    </row>
    <row r="54" ht="11.5" customHeight="1">
      <c r="F54" s="251" t="s">
        <v>312</v>
      </c>
      <c r="G54" s="850" t="s">
        <v>1054</v>
      </c>
      <c r="H54" s="918">
        <f t="shared" si="48"/>
        <v>0</v>
      </c>
      <c r="I54" s="918">
        <f>SUM(I55:I56)</f>
        <v>0</v>
      </c>
      <c r="J54" s="439"/>
      <c r="K54" s="917"/>
      <c r="W54" s="50">
        <v>11</v>
      </c>
    </row>
    <row r="55" ht="48.25" customHeight="1">
      <c r="F55" s="251" t="s">
        <v>723</v>
      </c>
      <c r="G55" s="920" t="s">
        <v>1055</v>
      </c>
      <c r="H55" s="918">
        <f t="shared" si="48"/>
        <v>0</v>
      </c>
      <c r="I55" s="919"/>
      <c r="J55" s="439"/>
      <c r="K55" s="917"/>
      <c r="W55" s="50">
        <v>46</v>
      </c>
    </row>
    <row r="56" ht="11.5" customHeight="1">
      <c r="F56" s="251" t="s">
        <v>725</v>
      </c>
      <c r="G56" s="920" t="s">
        <v>1056</v>
      </c>
      <c r="H56" s="918">
        <f t="shared" si="48"/>
        <v>0</v>
      </c>
      <c r="I56" s="919"/>
      <c r="J56" s="439"/>
      <c r="K56" s="917"/>
      <c r="W56" s="50">
        <v>11</v>
      </c>
    </row>
    <row r="57" ht="11.5" customHeight="1">
      <c r="F57" s="251" t="s">
        <v>315</v>
      </c>
      <c r="G57" s="850" t="s">
        <v>1072</v>
      </c>
      <c r="H57" s="918">
        <f t="shared" si="48"/>
        <v>0</v>
      </c>
      <c r="I57" s="919"/>
      <c r="J57" s="439"/>
      <c r="K57" s="917"/>
      <c r="W57" s="50">
        <v>11</v>
      </c>
    </row>
    <row r="58" ht="11.5" customHeight="1">
      <c r="F58" s="251"/>
      <c r="G58" s="374" t="s">
        <v>1058</v>
      </c>
      <c r="H58" s="918">
        <f t="shared" si="48"/>
        <v>0</v>
      </c>
      <c r="I58" s="918">
        <f>SUM(I38,I48)</f>
        <v>0</v>
      </c>
      <c r="J58" s="439"/>
      <c r="K58" s="917"/>
      <c r="W58" s="50">
        <v>11</v>
      </c>
    </row>
    <row r="59" ht="10.5" hidden="1" customHeight="1">
      <c r="A59" s="124" t="s">
        <v>83</v>
      </c>
      <c r="B59" s="124">
        <v>0</v>
      </c>
      <c r="C59" s="124">
        <v>0</v>
      </c>
      <c r="D59" s="53">
        <v>0</v>
      </c>
      <c r="E59" s="50">
        <v>3</v>
      </c>
      <c r="F59" s="50">
        <v>6</v>
      </c>
      <c r="G59" s="50">
        <v>60</v>
      </c>
      <c r="H59" s="50">
        <v>0</v>
      </c>
      <c r="I59" s="50">
        <v>0</v>
      </c>
      <c r="J59" s="50">
        <v>0</v>
      </c>
      <c r="K59" s="50">
        <v>1</v>
      </c>
      <c r="L59" s="50">
        <v>8</v>
      </c>
      <c r="M59" s="50">
        <v>8</v>
      </c>
      <c r="N59" s="50">
        <v>8</v>
      </c>
      <c r="O59" s="50">
        <v>8</v>
      </c>
      <c r="P59" s="50">
        <v>8</v>
      </c>
      <c r="Q59" s="50">
        <v>8</v>
      </c>
      <c r="R59" s="50">
        <v>8</v>
      </c>
      <c r="S59" s="50">
        <v>8</v>
      </c>
      <c r="T59" s="50">
        <v>8</v>
      </c>
      <c r="U59" s="50">
        <v>8</v>
      </c>
      <c r="V59" s="50">
        <v>8</v>
      </c>
      <c r="W59" s="50">
        <v>10</v>
      </c>
    </row>
  </sheetData>
  <sheetProtection autoFilter="0" deleteColumns="1" deleteRows="1" formatCells="1" formatColumns="0" formatRows="0" insertColumns="1" insertHyperlinks="1" insertRows="1" objects="0" pivotTables="1" scenarios="0" selectLockedCells="0" selectUnlockedCells="0" sheet="1" sort="1"/>
  <mergeCells count="9">
    <mergeCell ref="F5:J5"/>
    <mergeCell ref="F6:J6"/>
    <mergeCell ref="F9:J9"/>
    <mergeCell ref="F10:F12"/>
    <mergeCell ref="G10:G12"/>
    <mergeCell ref="H10:J10"/>
    <mergeCell ref="H11:J11"/>
    <mergeCell ref="G14:J14"/>
    <mergeCell ref="G37:J37"/>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1" disablePrompts="0">
        <x14:dataValidation xr:uid="{009E0053-00CF-4772-BBEC-00BE008A00F3}" type="decimal" allowBlank="1" error="Допускается ввод только неотрицательных чисел!" errorStyle="stop" errorTitle="Ошибка" imeMode="noControl" operator="between" showDropDown="0" showErrorMessage="1" showInputMessage="0">
          <x14:formula1>
            <xm:f>0</xm:f>
          </x14:formula1>
          <x14:formula2>
            <xm:f>9.99999999999999E+23</xm:f>
          </x14:formula2>
          <xm:sqref>I29:I31 I33:I35 I40:I43 I45:I47 I50:I53 I55:I57 I16:I27</xm:sqref>
        </x14:dataValidation>
      </x14:dataValidations>
    </ext>
  </extLst>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outlinePr applyStyles="0" summaryBelow="1" summaryRight="1" showOutlineSymbols="1"/>
    <pageSetUpPr autoPageBreaks="1" fitToPage="0"/>
  </sheetPr>
  <sheetViews>
    <sheetView showGridLines="0" zoomScale="90" workbookViewId="0">
      <pane xSplit="14" ySplit="17" topLeftCell="O18" activePane="bottomRight" state="frozen"/>
      <selection activeCell="A1" activeCellId="0" sqref="A1"/>
    </sheetView>
  </sheetViews>
  <sheetFormatPr defaultColWidth="9.140625" defaultRowHeight="12" customHeight="1"/>
  <cols>
    <col customWidth="1" hidden="1" min="1" max="1" style="921" width="4.7109375"/>
    <col customWidth="1" hidden="1" min="2" max="2" style="922" width="4.7109375"/>
    <col customWidth="1" hidden="1" min="3" max="4" style="921" width="4.7109375"/>
    <col customWidth="1" min="5" max="5" style="921" width="3.00390625"/>
    <col customWidth="1" min="6" max="6" style="921" width="6.00390625"/>
    <col customWidth="1" min="7" max="7" style="921" width="18.00390625"/>
    <col customWidth="1" min="8" max="8" style="921" width="27.00390625"/>
    <col customWidth="1" min="9" max="9" style="921" width="18.00390625"/>
    <col customWidth="1" hidden="1" min="10" max="14" style="921" width="0.8515625"/>
    <col customWidth="1" min="15" max="28" style="921" width="21.7109375"/>
    <col customWidth="1" min="29" max="71" style="921" width="0.8515625"/>
    <col customWidth="1" hidden="1" min="72" max="79" style="921" width="21.7109375"/>
    <col customWidth="1" hidden="1" min="80" max="81" style="921" width="29.140625"/>
    <col customWidth="1" hidden="1" min="82" max="89" style="921" width="21.7109375"/>
    <col customWidth="1" hidden="1" min="90" max="102" style="921" width="0.7109375"/>
    <col customWidth="1" hidden="1" min="103" max="114" style="921" width="21.7109375"/>
    <col customWidth="1" hidden="1" min="115" max="178" style="921" width="0.7109375"/>
    <col customWidth="1" min="179" max="179" style="921" width="0.140625"/>
    <col customWidth="1" min="180" max="184" style="921" width="8.00390625"/>
    <col hidden="1" min="185" max="185" style="921" width="9.140625"/>
  </cols>
  <sheetData>
    <row r="1" s="923" customFormat="1" ht="12" hidden="1" customHeight="1">
      <c r="B1" s="924"/>
      <c r="C1" s="923"/>
      <c r="D1" s="923"/>
      <c r="GC1" s="923" t="s">
        <v>14</v>
      </c>
    </row>
    <row r="2" s="923" customFormat="1" ht="12" hidden="1" customHeight="1">
      <c r="B2" s="924"/>
      <c r="C2" s="923"/>
      <c r="D2" s="923"/>
      <c r="E2" s="923"/>
      <c r="F2" s="923"/>
      <c r="G2" s="923"/>
      <c r="H2" s="923"/>
      <c r="I2" s="923"/>
      <c r="J2" s="923"/>
      <c r="K2" s="923"/>
      <c r="L2" s="923"/>
      <c r="M2" s="923"/>
      <c r="N2" s="923"/>
      <c r="O2" s="923"/>
      <c r="P2" s="923"/>
      <c r="Q2" s="923"/>
      <c r="R2" s="923"/>
      <c r="S2" s="923"/>
      <c r="T2" s="923"/>
      <c r="U2" s="923"/>
      <c r="V2" s="923"/>
      <c r="W2" s="923"/>
      <c r="X2" s="923"/>
      <c r="Y2" s="923"/>
      <c r="Z2" s="923"/>
      <c r="AA2" s="923"/>
      <c r="AB2" s="923"/>
      <c r="AC2" s="923"/>
      <c r="AD2" s="923"/>
      <c r="AE2" s="923"/>
      <c r="AF2" s="923"/>
      <c r="AG2" s="923"/>
      <c r="AH2" s="923"/>
      <c r="AI2" s="923"/>
      <c r="AJ2" s="923"/>
      <c r="AK2" s="923"/>
      <c r="AL2" s="923"/>
      <c r="AM2" s="923"/>
      <c r="AN2" s="923"/>
      <c r="AO2" s="923"/>
      <c r="AP2" s="923"/>
      <c r="AQ2" s="923"/>
      <c r="AR2" s="923"/>
      <c r="AS2" s="923"/>
      <c r="AT2" s="923"/>
      <c r="AU2" s="923"/>
      <c r="AV2" s="923"/>
      <c r="AW2" s="923"/>
      <c r="AX2" s="923"/>
      <c r="AY2" s="923"/>
      <c r="AZ2" s="923"/>
      <c r="BA2" s="923"/>
      <c r="BB2" s="923"/>
      <c r="BC2" s="923"/>
      <c r="BD2" s="923"/>
      <c r="BE2" s="923"/>
      <c r="BF2" s="923"/>
      <c r="BG2" s="923"/>
      <c r="BH2" s="923"/>
      <c r="BI2" s="923"/>
      <c r="BJ2" s="923"/>
      <c r="BK2" s="923"/>
      <c r="BL2" s="923"/>
      <c r="BM2" s="923"/>
      <c r="BN2" s="923"/>
      <c r="BO2" s="923"/>
      <c r="BP2" s="923"/>
      <c r="BQ2" s="923"/>
      <c r="BR2" s="923"/>
      <c r="BS2" s="923"/>
      <c r="BT2" s="923"/>
      <c r="BU2" s="923"/>
      <c r="BV2" s="923"/>
      <c r="BW2" s="923"/>
      <c r="BX2" s="923"/>
      <c r="BY2" s="923"/>
      <c r="BZ2" s="923"/>
      <c r="CA2" s="923"/>
      <c r="CB2" s="923"/>
      <c r="CC2" s="923"/>
      <c r="CD2" s="923"/>
      <c r="CE2" s="923"/>
      <c r="CF2" s="923"/>
      <c r="CG2" s="923"/>
      <c r="CH2" s="923"/>
      <c r="CI2" s="923"/>
      <c r="CJ2" s="923"/>
      <c r="CK2" s="923"/>
      <c r="CL2" s="923"/>
      <c r="CM2" s="923"/>
      <c r="CN2" s="923"/>
      <c r="CO2" s="923"/>
      <c r="CP2" s="923"/>
      <c r="CQ2" s="923"/>
      <c r="CR2" s="923"/>
      <c r="CS2" s="923"/>
      <c r="CT2" s="923"/>
      <c r="CU2" s="923"/>
      <c r="CV2" s="923"/>
      <c r="CW2" s="923"/>
      <c r="CX2" s="923"/>
      <c r="CY2" s="923"/>
      <c r="CZ2" s="923"/>
      <c r="DA2" s="923"/>
      <c r="DB2" s="923"/>
      <c r="DC2" s="923"/>
      <c r="DD2" s="923"/>
      <c r="DE2" s="923"/>
      <c r="DF2" s="923"/>
      <c r="DG2" s="923"/>
      <c r="DH2" s="923"/>
      <c r="DI2" s="923"/>
      <c r="DJ2" s="923"/>
      <c r="DK2" s="923"/>
      <c r="DL2" s="923"/>
      <c r="DM2" s="923"/>
      <c r="DN2" s="923"/>
      <c r="DO2" s="923"/>
      <c r="DP2" s="923"/>
      <c r="DQ2" s="923"/>
      <c r="DR2" s="923"/>
      <c r="DS2" s="923"/>
      <c r="DT2" s="923"/>
      <c r="DU2" s="923"/>
      <c r="DV2" s="923"/>
      <c r="DW2" s="923"/>
      <c r="DX2" s="923"/>
      <c r="DY2" s="923"/>
      <c r="DZ2" s="923"/>
      <c r="EA2" s="923"/>
      <c r="EB2" s="923"/>
      <c r="EC2" s="923"/>
      <c r="ED2" s="923"/>
      <c r="EE2" s="923"/>
      <c r="EF2" s="923"/>
      <c r="EG2" s="923"/>
      <c r="EH2" s="923"/>
      <c r="EI2" s="923"/>
      <c r="EJ2" s="923"/>
      <c r="EK2" s="923"/>
      <c r="EL2" s="923"/>
      <c r="EM2" s="923"/>
      <c r="EN2" s="923"/>
      <c r="EO2" s="923"/>
      <c r="EP2" s="923"/>
      <c r="EQ2" s="923"/>
      <c r="ER2" s="923"/>
      <c r="ES2" s="923"/>
      <c r="ET2" s="923"/>
      <c r="EU2" s="923"/>
      <c r="EV2" s="923"/>
      <c r="EW2" s="923"/>
      <c r="EX2" s="923"/>
      <c r="EY2" s="923"/>
      <c r="EZ2" s="923"/>
      <c r="FA2" s="923"/>
      <c r="FB2" s="923"/>
      <c r="FC2" s="923"/>
      <c r="FD2" s="923"/>
      <c r="FE2" s="923"/>
      <c r="FF2" s="923"/>
      <c r="FG2" s="923"/>
      <c r="FH2" s="923"/>
      <c r="FI2" s="923"/>
      <c r="FJ2" s="923"/>
      <c r="FK2" s="923"/>
      <c r="FL2" s="923"/>
      <c r="FM2" s="923"/>
      <c r="FN2" s="923"/>
      <c r="FO2" s="923"/>
      <c r="FP2" s="923"/>
      <c r="FQ2" s="923"/>
      <c r="FR2" s="923"/>
      <c r="FS2" s="923"/>
      <c r="FT2" s="923"/>
      <c r="FU2" s="923"/>
      <c r="FV2" s="923"/>
      <c r="FW2" s="923"/>
      <c r="GC2" s="923">
        <v>0</v>
      </c>
    </row>
    <row r="3" s="923" customFormat="1" ht="12" hidden="1" customHeight="1">
      <c r="B3" s="924"/>
      <c r="C3" s="923"/>
      <c r="D3" s="923"/>
      <c r="E3" s="923"/>
      <c r="F3" s="923"/>
      <c r="G3" s="923"/>
      <c r="H3" s="923"/>
      <c r="I3" s="923"/>
      <c r="J3" s="923"/>
      <c r="K3" s="923"/>
      <c r="L3" s="923"/>
      <c r="M3" s="923"/>
      <c r="N3" s="923"/>
      <c r="O3" s="923"/>
      <c r="P3" s="923"/>
      <c r="Q3" s="923"/>
      <c r="R3" s="923"/>
      <c r="S3" s="923"/>
      <c r="T3" s="923"/>
      <c r="U3" s="923"/>
      <c r="V3" s="923"/>
      <c r="W3" s="923"/>
      <c r="X3" s="923"/>
      <c r="Y3" s="923"/>
      <c r="Z3" s="923"/>
      <c r="AA3" s="923"/>
      <c r="AB3" s="923"/>
      <c r="AC3" s="923"/>
      <c r="AD3" s="923"/>
      <c r="AE3" s="923"/>
      <c r="AF3" s="923"/>
      <c r="AG3" s="923"/>
      <c r="AH3" s="923"/>
      <c r="AI3" s="923"/>
      <c r="AJ3" s="923"/>
      <c r="AK3" s="923"/>
      <c r="AL3" s="923"/>
      <c r="AM3" s="923"/>
      <c r="AN3" s="923"/>
      <c r="AO3" s="923"/>
      <c r="AP3" s="923"/>
      <c r="AQ3" s="923"/>
      <c r="AR3" s="923"/>
      <c r="AS3" s="923"/>
      <c r="AT3" s="923"/>
      <c r="AU3" s="923"/>
      <c r="AV3" s="923"/>
      <c r="AW3" s="923"/>
      <c r="AX3" s="923"/>
      <c r="AY3" s="923"/>
      <c r="AZ3" s="923"/>
      <c r="BA3" s="923"/>
      <c r="BB3" s="923"/>
      <c r="BC3" s="923"/>
      <c r="BD3" s="923"/>
      <c r="BE3" s="923"/>
      <c r="BF3" s="923"/>
      <c r="BG3" s="923"/>
      <c r="BH3" s="923"/>
      <c r="BI3" s="923"/>
      <c r="BJ3" s="923"/>
      <c r="BK3" s="923"/>
      <c r="BL3" s="923"/>
      <c r="BM3" s="923"/>
      <c r="BN3" s="923"/>
      <c r="BO3" s="923"/>
      <c r="BP3" s="923"/>
      <c r="BQ3" s="923"/>
      <c r="BR3" s="923"/>
      <c r="BS3" s="923"/>
      <c r="BT3" s="923"/>
      <c r="BU3" s="923"/>
      <c r="BV3" s="923"/>
      <c r="BW3" s="923"/>
      <c r="BX3" s="923"/>
      <c r="BY3" s="923"/>
      <c r="BZ3" s="923"/>
      <c r="CA3" s="923"/>
      <c r="CB3" s="923"/>
      <c r="CC3" s="923"/>
      <c r="CD3" s="923"/>
      <c r="CE3" s="923"/>
      <c r="CF3" s="923"/>
      <c r="CG3" s="923"/>
      <c r="CH3" s="923"/>
      <c r="CI3" s="923"/>
      <c r="CJ3" s="923"/>
      <c r="CK3" s="923"/>
      <c r="CL3" s="923"/>
      <c r="CM3" s="923"/>
      <c r="CN3" s="923"/>
      <c r="CO3" s="923"/>
      <c r="CP3" s="923"/>
      <c r="CQ3" s="923"/>
      <c r="CR3" s="923"/>
      <c r="CS3" s="923"/>
      <c r="CT3" s="923"/>
      <c r="CU3" s="923"/>
      <c r="CV3" s="923"/>
      <c r="CW3" s="923"/>
      <c r="CX3" s="923"/>
      <c r="CY3" s="923"/>
      <c r="CZ3" s="923"/>
      <c r="DA3" s="923"/>
      <c r="DB3" s="923"/>
      <c r="DC3" s="923"/>
      <c r="DD3" s="923"/>
      <c r="DE3" s="923"/>
      <c r="DF3" s="923"/>
      <c r="DG3" s="923"/>
      <c r="DH3" s="923"/>
      <c r="DI3" s="923"/>
      <c r="DJ3" s="923"/>
      <c r="DK3" s="923"/>
      <c r="DL3" s="923"/>
      <c r="DM3" s="923"/>
      <c r="DN3" s="923"/>
      <c r="DO3" s="923"/>
      <c r="DP3" s="923"/>
      <c r="DQ3" s="923"/>
      <c r="DR3" s="923"/>
      <c r="DS3" s="923"/>
      <c r="DT3" s="923"/>
      <c r="DU3" s="923"/>
      <c r="DV3" s="923"/>
      <c r="DW3" s="923"/>
      <c r="DX3" s="923"/>
      <c r="DY3" s="923"/>
      <c r="DZ3" s="923"/>
      <c r="EA3" s="923"/>
      <c r="EB3" s="923"/>
      <c r="EC3" s="923"/>
      <c r="ED3" s="923"/>
      <c r="EE3" s="923"/>
      <c r="EF3" s="923"/>
      <c r="EG3" s="923"/>
      <c r="EH3" s="923"/>
      <c r="EI3" s="923"/>
      <c r="EJ3" s="923"/>
      <c r="EK3" s="923"/>
      <c r="EL3" s="923"/>
      <c r="EM3" s="923"/>
      <c r="EN3" s="923"/>
      <c r="EO3" s="923"/>
      <c r="EP3" s="923"/>
      <c r="EQ3" s="923"/>
      <c r="ER3" s="923"/>
      <c r="ES3" s="923"/>
      <c r="ET3" s="923"/>
      <c r="EU3" s="923"/>
      <c r="EV3" s="923"/>
      <c r="EW3" s="923"/>
      <c r="EX3" s="923"/>
      <c r="EY3" s="923"/>
      <c r="EZ3" s="923"/>
      <c r="FA3" s="923"/>
      <c r="FB3" s="923"/>
      <c r="FC3" s="923"/>
      <c r="FD3" s="923"/>
      <c r="FE3" s="923"/>
      <c r="FF3" s="923"/>
      <c r="FG3" s="923"/>
      <c r="FH3" s="923"/>
      <c r="FI3" s="923"/>
      <c r="FJ3" s="923"/>
      <c r="FK3" s="923"/>
      <c r="FL3" s="923"/>
      <c r="FM3" s="923"/>
      <c r="FN3" s="923"/>
      <c r="FO3" s="923"/>
      <c r="FP3" s="923"/>
      <c r="FQ3" s="923"/>
      <c r="FR3" s="923"/>
      <c r="FS3" s="923"/>
      <c r="FT3" s="923"/>
      <c r="FU3" s="923"/>
      <c r="FV3" s="923"/>
      <c r="FW3" s="923"/>
      <c r="GC3" s="923">
        <v>0</v>
      </c>
    </row>
    <row r="4" ht="10.5" customHeight="1">
      <c r="B4" s="922"/>
      <c r="C4" s="921"/>
      <c r="D4" s="921"/>
      <c r="E4" s="921"/>
      <c r="F4" s="921"/>
      <c r="G4" s="921"/>
      <c r="H4" s="925"/>
      <c r="I4" s="925"/>
      <c r="J4" s="925"/>
      <c r="K4" s="925"/>
      <c r="L4" s="925"/>
      <c r="M4" s="921"/>
      <c r="N4" s="921"/>
      <c r="O4" s="921"/>
      <c r="P4" s="921"/>
      <c r="Q4" s="921"/>
      <c r="R4" s="921"/>
      <c r="S4" s="921"/>
      <c r="T4" s="921"/>
      <c r="U4" s="921"/>
      <c r="V4" s="921"/>
      <c r="W4" s="921"/>
      <c r="X4" s="921"/>
      <c r="Y4" s="921"/>
      <c r="Z4" s="921"/>
      <c r="AA4" s="921"/>
      <c r="AB4" s="921"/>
      <c r="AC4" s="921"/>
      <c r="AD4" s="921"/>
      <c r="AE4" s="921"/>
      <c r="AF4" s="921"/>
      <c r="AG4" s="921"/>
      <c r="AH4" s="921"/>
      <c r="AI4" s="921"/>
      <c r="AJ4" s="921"/>
      <c r="AK4" s="921"/>
      <c r="AL4" s="921"/>
      <c r="AM4" s="921"/>
      <c r="AN4" s="921"/>
      <c r="AO4" s="921"/>
      <c r="AP4" s="921"/>
      <c r="AQ4" s="921"/>
      <c r="AR4" s="921"/>
      <c r="AS4" s="921"/>
      <c r="AT4" s="921"/>
      <c r="AU4" s="921"/>
      <c r="AV4" s="921"/>
      <c r="AW4" s="921"/>
      <c r="AX4" s="921"/>
      <c r="AY4" s="921"/>
      <c r="AZ4" s="921"/>
      <c r="BA4" s="921"/>
      <c r="BB4" s="921"/>
      <c r="BC4" s="921"/>
      <c r="BD4" s="921"/>
      <c r="BE4" s="921"/>
      <c r="BF4" s="921"/>
      <c r="BG4" s="921"/>
      <c r="BH4" s="921"/>
      <c r="BI4" s="921"/>
      <c r="BJ4" s="921"/>
      <c r="BK4" s="921"/>
      <c r="BL4" s="921"/>
      <c r="BM4" s="921"/>
      <c r="BN4" s="921"/>
      <c r="BO4" s="921"/>
      <c r="BP4" s="921"/>
      <c r="BQ4" s="921"/>
      <c r="BR4" s="921"/>
      <c r="BS4" s="921"/>
      <c r="BT4" s="921"/>
      <c r="BU4" s="921"/>
      <c r="BV4" s="921"/>
      <c r="BW4" s="921"/>
      <c r="BX4" s="921"/>
      <c r="BY4" s="921"/>
      <c r="BZ4" s="921"/>
      <c r="CA4" s="921"/>
      <c r="CB4" s="921"/>
      <c r="CC4" s="921"/>
      <c r="CD4" s="921"/>
      <c r="CE4" s="921"/>
      <c r="CF4" s="921"/>
      <c r="CG4" s="921"/>
      <c r="CH4" s="921"/>
      <c r="CI4" s="921"/>
      <c r="CJ4" s="921"/>
      <c r="CK4" s="921"/>
      <c r="CL4" s="921"/>
      <c r="CM4" s="921"/>
      <c r="CN4" s="921"/>
      <c r="CO4" s="921"/>
      <c r="CP4" s="921"/>
      <c r="CQ4" s="921"/>
      <c r="CR4" s="921"/>
      <c r="CS4" s="921"/>
      <c r="CT4" s="921"/>
      <c r="CU4" s="921"/>
      <c r="CV4" s="921"/>
      <c r="CW4" s="921"/>
      <c r="CX4" s="921"/>
      <c r="CY4" s="921"/>
      <c r="CZ4" s="921"/>
      <c r="DA4" s="921"/>
      <c r="DB4" s="921"/>
      <c r="DC4" s="921"/>
      <c r="DD4" s="921"/>
      <c r="DE4" s="921"/>
      <c r="DF4" s="921"/>
      <c r="DG4" s="921"/>
      <c r="DH4" s="921"/>
      <c r="DI4" s="921"/>
      <c r="DJ4" s="921"/>
      <c r="DK4" s="921"/>
      <c r="DL4" s="921"/>
      <c r="DM4" s="921"/>
      <c r="DN4" s="921"/>
      <c r="DO4" s="921"/>
      <c r="DP4" s="921"/>
      <c r="DQ4" s="921"/>
      <c r="DR4" s="921"/>
      <c r="DS4" s="921"/>
      <c r="DT4" s="921"/>
      <c r="DU4" s="921"/>
      <c r="DV4" s="921"/>
      <c r="DW4" s="921"/>
      <c r="DX4" s="921"/>
      <c r="DY4" s="921"/>
      <c r="DZ4" s="921"/>
      <c r="EA4" s="921"/>
      <c r="EB4" s="921"/>
      <c r="EC4" s="921"/>
      <c r="ED4" s="921"/>
      <c r="EE4" s="921"/>
      <c r="EF4" s="921"/>
      <c r="EG4" s="921"/>
      <c r="EH4" s="921"/>
      <c r="EI4" s="921"/>
      <c r="EJ4" s="921"/>
      <c r="EK4" s="921"/>
      <c r="EL4" s="921"/>
      <c r="EM4" s="921"/>
      <c r="EN4" s="921"/>
      <c r="EO4" s="921"/>
      <c r="EP4" s="921"/>
      <c r="EQ4" s="921"/>
      <c r="ER4" s="921"/>
      <c r="ES4" s="921"/>
      <c r="ET4" s="921"/>
      <c r="EU4" s="921"/>
      <c r="EV4" s="921"/>
      <c r="EW4" s="921"/>
      <c r="EX4" s="921"/>
      <c r="EY4" s="921"/>
      <c r="EZ4" s="921"/>
      <c r="FA4" s="921"/>
      <c r="FB4" s="921"/>
      <c r="FC4" s="921"/>
      <c r="FD4" s="921"/>
      <c r="FE4" s="921"/>
      <c r="FF4" s="921"/>
      <c r="FG4" s="921"/>
      <c r="FH4" s="921"/>
      <c r="FI4" s="921"/>
      <c r="FJ4" s="921"/>
      <c r="FK4" s="921"/>
      <c r="FL4" s="921"/>
      <c r="FM4" s="921"/>
      <c r="FN4" s="921"/>
      <c r="FO4" s="921"/>
      <c r="FP4" s="921"/>
      <c r="FQ4" s="921"/>
      <c r="FR4" s="921"/>
      <c r="FS4" s="921"/>
      <c r="FT4" s="921"/>
      <c r="FU4" s="921"/>
      <c r="FV4" s="921"/>
      <c r="FW4" s="921"/>
      <c r="GC4" s="921">
        <v>10</v>
      </c>
    </row>
    <row r="5" s="725" customFormat="1" ht="27.300000000000001" customHeight="1">
      <c r="B5" s="926"/>
      <c r="E5" s="927"/>
      <c r="F5" s="928" t="str">
        <f>IP_NAME_FORM&amp;"
Показатели качества, надежности и энергетической эффективности в сфере "&amp;TEMPLATE_SPHERE_RUS</f>
        <v xml:space="preserve">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85"/>
      <c r="H5" s="285"/>
      <c r="I5" s="285"/>
      <c r="J5" s="285"/>
      <c r="K5" s="285"/>
      <c r="L5" s="285"/>
      <c r="M5" s="285"/>
      <c r="N5" s="285"/>
      <c r="O5" s="285"/>
      <c r="P5" s="285"/>
      <c r="Q5" s="285"/>
      <c r="R5" s="285"/>
      <c r="S5" s="285"/>
      <c r="T5" s="285"/>
      <c r="U5" s="285"/>
      <c r="V5" s="285"/>
      <c r="W5" s="285"/>
      <c r="X5" s="285"/>
      <c r="Y5" s="285"/>
      <c r="Z5" s="285"/>
      <c r="AA5" s="285"/>
      <c r="AB5" s="285"/>
      <c r="AC5" s="285"/>
      <c r="AD5" s="285"/>
      <c r="AE5" s="285"/>
      <c r="AF5" s="285"/>
      <c r="AG5" s="285"/>
      <c r="AH5" s="285"/>
      <c r="AI5" s="285"/>
      <c r="AJ5" s="285"/>
      <c r="AK5" s="285"/>
      <c r="AL5" s="285"/>
      <c r="AM5" s="285"/>
      <c r="AN5" s="285"/>
      <c r="AO5" s="285"/>
      <c r="AP5" s="285"/>
      <c r="AQ5" s="285"/>
      <c r="AR5" s="285"/>
      <c r="AS5" s="285"/>
      <c r="AT5" s="285"/>
      <c r="AU5" s="285"/>
      <c r="AV5" s="285"/>
      <c r="AW5" s="285"/>
      <c r="AX5" s="285"/>
      <c r="AY5" s="285"/>
      <c r="AZ5" s="285"/>
      <c r="BA5" s="285"/>
      <c r="BB5" s="285"/>
      <c r="BC5" s="285"/>
      <c r="BD5" s="285"/>
      <c r="BE5" s="285"/>
      <c r="BF5" s="285"/>
      <c r="BG5" s="285"/>
      <c r="BH5" s="285"/>
      <c r="BI5" s="285"/>
      <c r="BJ5" s="285"/>
      <c r="BK5" s="285"/>
      <c r="BL5" s="285"/>
      <c r="BM5" s="285"/>
      <c r="BN5" s="285"/>
      <c r="BO5" s="285"/>
      <c r="BP5" s="285"/>
      <c r="BQ5" s="285"/>
      <c r="BR5" s="285"/>
      <c r="BS5" s="285"/>
      <c r="GC5" s="725">
        <v>26</v>
      </c>
    </row>
    <row r="6" s="125" customFormat="1" ht="18.75" customHeight="1">
      <c r="B6" s="784"/>
      <c r="E6" s="369"/>
      <c r="F6" s="417" t="str">
        <f>IF(org=0,"Не определено",org)</f>
        <v xml:space="preserve">АО "ДГК"</v>
      </c>
      <c r="G6" s="418"/>
      <c r="H6" s="418"/>
      <c r="I6" s="418"/>
      <c r="J6" s="418"/>
      <c r="K6" s="418"/>
      <c r="L6" s="418"/>
      <c r="M6" s="418"/>
      <c r="N6" s="418"/>
      <c r="O6" s="418"/>
      <c r="P6" s="418"/>
      <c r="Q6" s="418"/>
      <c r="R6" s="418"/>
      <c r="S6" s="418"/>
      <c r="T6" s="418"/>
      <c r="U6" s="418"/>
      <c r="V6" s="418"/>
      <c r="W6" s="418"/>
      <c r="X6" s="418"/>
      <c r="Y6" s="418"/>
      <c r="Z6" s="418"/>
      <c r="AA6" s="418"/>
      <c r="AB6" s="418"/>
      <c r="AC6" s="418"/>
      <c r="AD6" s="418"/>
      <c r="AE6" s="418"/>
      <c r="AF6" s="418"/>
      <c r="AG6" s="418"/>
      <c r="AH6" s="418"/>
      <c r="AI6" s="418"/>
      <c r="AJ6" s="418"/>
      <c r="AK6" s="418"/>
      <c r="AL6" s="418"/>
      <c r="AM6" s="418"/>
      <c r="AN6" s="418"/>
      <c r="AO6" s="418"/>
      <c r="AP6" s="418"/>
      <c r="AQ6" s="418"/>
      <c r="AR6" s="418"/>
      <c r="AS6" s="418"/>
      <c r="AT6" s="418"/>
      <c r="AU6" s="418"/>
      <c r="AV6" s="418"/>
      <c r="AW6" s="418"/>
      <c r="AX6" s="418"/>
      <c r="AY6" s="418"/>
      <c r="AZ6" s="418"/>
      <c r="BA6" s="418"/>
      <c r="BB6" s="418"/>
      <c r="BC6" s="418"/>
      <c r="BD6" s="418"/>
      <c r="BE6" s="418"/>
      <c r="BF6" s="418"/>
      <c r="BG6" s="418"/>
      <c r="BH6" s="418"/>
      <c r="BI6" s="418"/>
      <c r="BJ6" s="418"/>
      <c r="BK6" s="418"/>
      <c r="BL6" s="418"/>
      <c r="BM6" s="418"/>
      <c r="BN6" s="418"/>
      <c r="BO6" s="418"/>
      <c r="BP6" s="418"/>
      <c r="BQ6" s="418"/>
      <c r="BR6" s="418"/>
      <c r="BS6" s="418"/>
      <c r="GC6" s="125">
        <v>18</v>
      </c>
    </row>
    <row r="7" s="929" customFormat="1" ht="10.5" customHeight="1">
      <c r="B7" s="930"/>
      <c r="E7" s="929"/>
      <c r="F7" s="929"/>
      <c r="G7" s="931"/>
      <c r="H7" s="925"/>
      <c r="I7" s="925"/>
      <c r="J7" s="925"/>
      <c r="K7" s="925"/>
      <c r="L7" s="925"/>
      <c r="M7" s="929"/>
      <c r="N7" s="929"/>
      <c r="O7" s="929"/>
      <c r="P7" s="929"/>
      <c r="Q7" s="929"/>
      <c r="R7" s="929"/>
      <c r="S7" s="929"/>
      <c r="T7" s="929"/>
      <c r="U7" s="929"/>
      <c r="V7" s="929"/>
      <c r="W7" s="929"/>
      <c r="X7" s="929"/>
      <c r="Y7" s="929"/>
      <c r="Z7" s="929"/>
      <c r="AA7" s="929"/>
      <c r="AB7" s="929"/>
      <c r="AC7" s="929"/>
      <c r="AD7" s="929"/>
      <c r="AE7" s="929"/>
      <c r="AF7" s="929"/>
      <c r="AG7" s="929"/>
      <c r="AH7" s="929"/>
      <c r="AI7" s="929"/>
      <c r="AJ7" s="929"/>
      <c r="AK7" s="929"/>
      <c r="AL7" s="929"/>
      <c r="AM7" s="929"/>
      <c r="AN7" s="929"/>
      <c r="AO7" s="929"/>
      <c r="AP7" s="929"/>
      <c r="AQ7" s="929"/>
      <c r="AR7" s="929"/>
      <c r="AS7" s="929"/>
      <c r="AT7" s="929"/>
      <c r="AU7" s="929"/>
      <c r="AV7" s="929"/>
      <c r="AW7" s="929"/>
      <c r="AX7" s="929"/>
      <c r="AY7" s="929"/>
      <c r="AZ7" s="929"/>
      <c r="BA7" s="929"/>
      <c r="BB7" s="929"/>
      <c r="BC7" s="929"/>
      <c r="BD7" s="929"/>
      <c r="BE7" s="929"/>
      <c r="BF7" s="929"/>
      <c r="BG7" s="929"/>
      <c r="BH7" s="929"/>
      <c r="BI7" s="929"/>
      <c r="BJ7" s="929"/>
      <c r="BK7" s="929"/>
      <c r="BL7" s="929"/>
      <c r="BM7" s="929"/>
      <c r="BN7" s="929"/>
      <c r="BO7" s="929"/>
      <c r="BP7" s="929"/>
      <c r="BQ7" s="929"/>
      <c r="BR7" s="929"/>
      <c r="BS7" s="929"/>
      <c r="BT7" s="929"/>
      <c r="BU7" s="929"/>
      <c r="BV7" s="929"/>
      <c r="BW7" s="929"/>
      <c r="BX7" s="929"/>
      <c r="BY7" s="929"/>
      <c r="BZ7" s="929"/>
      <c r="CA7" s="929"/>
      <c r="CB7" s="929"/>
      <c r="CC7" s="929"/>
      <c r="CD7" s="929"/>
      <c r="CE7" s="929"/>
      <c r="CF7" s="929"/>
      <c r="CG7" s="929"/>
      <c r="CH7" s="929"/>
      <c r="CI7" s="929"/>
      <c r="CJ7" s="929"/>
      <c r="CK7" s="929"/>
      <c r="CL7" s="929"/>
      <c r="CM7" s="929"/>
      <c r="CN7" s="929"/>
      <c r="CO7" s="929"/>
      <c r="CP7" s="929"/>
      <c r="CQ7" s="929"/>
      <c r="CR7" s="929"/>
      <c r="CS7" s="929"/>
      <c r="CT7" s="929"/>
      <c r="CU7" s="929"/>
      <c r="CV7" s="929"/>
      <c r="CW7" s="929"/>
      <c r="CX7" s="929"/>
      <c r="CY7" s="929"/>
      <c r="CZ7" s="929"/>
      <c r="DA7" s="929"/>
      <c r="DB7" s="929"/>
      <c r="DC7" s="929"/>
      <c r="DD7" s="929"/>
      <c r="DE7" s="929"/>
      <c r="DF7" s="929"/>
      <c r="DG7" s="929"/>
      <c r="DH7" s="929"/>
      <c r="DI7" s="929"/>
      <c r="DJ7" s="929"/>
      <c r="DK7" s="929"/>
      <c r="DL7" s="929"/>
      <c r="DM7" s="929"/>
      <c r="DN7" s="929"/>
      <c r="DO7" s="929"/>
      <c r="DP7" s="929"/>
      <c r="DQ7" s="929"/>
      <c r="DR7" s="929"/>
      <c r="DS7" s="929"/>
      <c r="DT7" s="929"/>
      <c r="DU7" s="929"/>
      <c r="DV7" s="929"/>
      <c r="DW7" s="929"/>
      <c r="DX7" s="929"/>
      <c r="DY7" s="929"/>
      <c r="DZ7" s="929"/>
      <c r="EA7" s="929"/>
      <c r="EB7" s="929"/>
      <c r="EC7" s="929"/>
      <c r="ED7" s="929"/>
      <c r="EE7" s="929"/>
      <c r="EF7" s="929"/>
      <c r="EG7" s="929"/>
      <c r="EH7" s="929"/>
      <c r="EI7" s="929"/>
      <c r="EJ7" s="929"/>
      <c r="EK7" s="929"/>
      <c r="EL7" s="929"/>
      <c r="EM7" s="929"/>
      <c r="EN7" s="929"/>
      <c r="EO7" s="929"/>
      <c r="EP7" s="929"/>
      <c r="EQ7" s="929"/>
      <c r="ER7" s="929"/>
      <c r="ES7" s="929"/>
      <c r="ET7" s="929"/>
      <c r="EU7" s="929"/>
      <c r="EV7" s="929"/>
      <c r="EW7" s="929"/>
      <c r="EX7" s="929"/>
      <c r="EY7" s="929"/>
      <c r="EZ7" s="929"/>
      <c r="FA7" s="929"/>
      <c r="FB7" s="929"/>
      <c r="FC7" s="929"/>
      <c r="FD7" s="929"/>
      <c r="FE7" s="929"/>
      <c r="FF7" s="929"/>
      <c r="FG7" s="929"/>
      <c r="FH7" s="929"/>
      <c r="FI7" s="929"/>
      <c r="FJ7" s="929"/>
      <c r="FK7" s="929"/>
      <c r="FL7" s="929"/>
      <c r="FM7" s="929"/>
      <c r="FN7" s="929"/>
      <c r="FO7" s="929"/>
      <c r="FP7" s="929"/>
      <c r="FQ7" s="929"/>
      <c r="FR7" s="929"/>
      <c r="FS7" s="929"/>
      <c r="FT7" s="929"/>
      <c r="FU7" s="929"/>
      <c r="FV7" s="929"/>
      <c r="FW7" s="929"/>
      <c r="GC7" s="929">
        <v>10</v>
      </c>
    </row>
    <row r="8" s="929" customFormat="1" ht="11.25" hidden="1" customHeight="1">
      <c r="B8" s="930"/>
      <c r="F8" s="125"/>
      <c r="G8" s="51"/>
      <c r="H8" s="143"/>
      <c r="I8" s="143"/>
      <c r="J8" s="143"/>
      <c r="K8" s="143"/>
      <c r="L8" s="143"/>
      <c r="M8" s="125"/>
      <c r="N8" s="125"/>
      <c r="O8" s="932" t="s">
        <v>1076</v>
      </c>
      <c r="P8" s="933"/>
      <c r="Q8" s="933"/>
      <c r="R8" s="933"/>
      <c r="S8" s="933"/>
      <c r="T8" s="933"/>
      <c r="U8" s="933"/>
      <c r="V8" s="933"/>
      <c r="W8" s="933"/>
      <c r="X8" s="933"/>
      <c r="Y8" s="933"/>
      <c r="Z8" s="933"/>
      <c r="AA8" s="933"/>
      <c r="AB8" s="933"/>
      <c r="AC8" s="933"/>
      <c r="AD8" s="933"/>
      <c r="AE8" s="933"/>
      <c r="AF8" s="933"/>
      <c r="AG8" s="933"/>
      <c r="AH8" s="933"/>
      <c r="AI8" s="933"/>
      <c r="AJ8" s="933"/>
      <c r="AK8" s="933"/>
      <c r="AL8" s="933"/>
      <c r="AM8" s="933"/>
      <c r="AN8" s="933"/>
      <c r="AO8" s="933"/>
      <c r="AP8" s="933"/>
      <c r="AQ8" s="933"/>
      <c r="AR8" s="933"/>
      <c r="AS8" s="933"/>
      <c r="AT8" s="933"/>
      <c r="AU8" s="933"/>
      <c r="AV8" s="933"/>
      <c r="AW8" s="933"/>
      <c r="AX8" s="933"/>
      <c r="AY8" s="933"/>
      <c r="AZ8" s="933"/>
      <c r="BA8" s="933"/>
      <c r="BB8" s="933"/>
      <c r="BC8" s="933"/>
      <c r="BD8" s="933"/>
      <c r="BE8" s="933"/>
      <c r="BF8" s="933"/>
      <c r="BG8" s="933"/>
      <c r="BH8" s="933"/>
      <c r="BI8" s="933"/>
      <c r="BJ8" s="933"/>
      <c r="BK8" s="933"/>
      <c r="BL8" s="933"/>
      <c r="BM8" s="933"/>
      <c r="BN8" s="933"/>
      <c r="BO8" s="933"/>
      <c r="BP8" s="933"/>
      <c r="BQ8" s="933"/>
      <c r="BR8" s="933"/>
      <c r="BS8" s="934"/>
      <c r="BT8" s="935"/>
      <c r="BU8" s="936"/>
      <c r="BV8" s="936"/>
      <c r="BW8" s="936"/>
      <c r="BX8" s="936"/>
      <c r="BY8" s="936"/>
      <c r="BZ8" s="936"/>
      <c r="CA8" s="936"/>
      <c r="CB8" s="936"/>
      <c r="CC8" s="936"/>
      <c r="CD8" s="936"/>
      <c r="CE8" s="936"/>
      <c r="CF8" s="936"/>
      <c r="CG8" s="936"/>
      <c r="CH8" s="936"/>
      <c r="CI8" s="936"/>
      <c r="CJ8" s="936"/>
      <c r="CK8" s="936"/>
      <c r="CL8" s="936"/>
      <c r="CM8" s="936"/>
      <c r="CN8" s="936"/>
      <c r="CO8" s="936"/>
      <c r="CP8" s="936"/>
      <c r="CQ8" s="936"/>
      <c r="CR8" s="936"/>
      <c r="CS8" s="936"/>
      <c r="CT8" s="936"/>
      <c r="CU8" s="936"/>
      <c r="CV8" s="936"/>
      <c r="CW8" s="936"/>
      <c r="CX8" s="937"/>
      <c r="CY8" s="938"/>
      <c r="CZ8" s="939"/>
      <c r="DA8" s="939"/>
      <c r="DB8" s="939"/>
      <c r="DC8" s="939"/>
      <c r="DD8" s="939"/>
      <c r="DE8" s="939"/>
      <c r="DF8" s="939"/>
      <c r="DG8" s="939"/>
      <c r="DH8" s="939"/>
      <c r="DI8" s="939"/>
      <c r="DJ8" s="939"/>
      <c r="DK8" s="939"/>
      <c r="DL8" s="939"/>
      <c r="DM8" s="939"/>
      <c r="DN8" s="939"/>
      <c r="DO8" s="939"/>
      <c r="DP8" s="939"/>
      <c r="DQ8" s="939"/>
      <c r="DR8" s="939"/>
      <c r="DS8" s="939"/>
      <c r="DT8" s="939"/>
      <c r="DU8" s="939"/>
      <c r="DV8" s="939"/>
      <c r="DW8" s="939"/>
      <c r="DX8" s="940"/>
      <c r="DY8" s="941" t="s">
        <v>1077</v>
      </c>
      <c r="DZ8" s="942"/>
      <c r="EA8" s="942"/>
      <c r="EB8" s="942"/>
      <c r="EC8" s="942"/>
      <c r="ED8" s="942"/>
      <c r="EE8" s="942"/>
      <c r="EF8" s="942"/>
      <c r="EG8" s="942"/>
      <c r="EH8" s="942"/>
      <c r="EI8" s="942"/>
      <c r="EJ8" s="942"/>
      <c r="EK8" s="942"/>
      <c r="EL8" s="942"/>
      <c r="EM8" s="942"/>
      <c r="EN8" s="942"/>
      <c r="EO8" s="942"/>
      <c r="EP8" s="942"/>
      <c r="EQ8" s="942"/>
      <c r="ER8" s="942"/>
      <c r="ES8" s="942"/>
      <c r="ET8" s="942"/>
      <c r="EU8" s="942"/>
      <c r="EV8" s="942"/>
      <c r="EW8" s="942"/>
      <c r="EX8" s="942"/>
      <c r="EY8" s="942"/>
      <c r="EZ8" s="942"/>
      <c r="FA8" s="942"/>
      <c r="FB8" s="942"/>
      <c r="FC8" s="942"/>
      <c r="FD8" s="942"/>
      <c r="FE8" s="942"/>
      <c r="FF8" s="942"/>
      <c r="FG8" s="942"/>
      <c r="FH8" s="942"/>
      <c r="FI8" s="942"/>
      <c r="FJ8" s="942"/>
      <c r="FK8" s="942"/>
      <c r="FL8" s="942"/>
      <c r="FM8" s="942"/>
      <c r="FN8" s="942"/>
      <c r="FO8" s="942"/>
      <c r="FP8" s="942"/>
      <c r="FQ8" s="942"/>
      <c r="FR8" s="942"/>
      <c r="FS8" s="942"/>
      <c r="FT8" s="942"/>
      <c r="FU8" s="942"/>
      <c r="FV8" s="942"/>
      <c r="FW8" s="943"/>
      <c r="FX8" s="125"/>
      <c r="GC8" s="929">
        <v>0</v>
      </c>
    </row>
    <row r="9" s="929" customFormat="1" ht="11.25" hidden="1" customHeight="1">
      <c r="B9" s="930"/>
      <c r="F9" s="125"/>
      <c r="G9" s="51"/>
      <c r="H9" s="143"/>
      <c r="I9" s="143"/>
      <c r="J9" s="143"/>
      <c r="K9" s="143"/>
      <c r="L9" s="143"/>
      <c r="M9" s="125"/>
      <c r="N9" s="125"/>
      <c r="O9" s="125"/>
      <c r="P9" s="125"/>
      <c r="Q9" s="125"/>
      <c r="R9" s="125"/>
      <c r="S9" s="125"/>
      <c r="T9" s="125"/>
      <c r="U9" s="125"/>
      <c r="V9" s="125"/>
      <c r="W9" s="125"/>
      <c r="X9" s="125"/>
      <c r="Y9" s="125"/>
      <c r="Z9" s="125"/>
      <c r="AA9" s="125"/>
      <c r="AB9" s="125"/>
      <c r="AC9" s="125"/>
      <c r="AD9" s="125"/>
      <c r="AE9" s="125"/>
      <c r="AF9" s="125"/>
      <c r="AG9" s="125"/>
      <c r="AH9" s="125"/>
      <c r="AI9" s="125"/>
      <c r="AJ9" s="125"/>
      <c r="AK9" s="125"/>
      <c r="AL9" s="125"/>
      <c r="AM9" s="125"/>
      <c r="AN9" s="125"/>
      <c r="AO9" s="125"/>
      <c r="AP9" s="125"/>
      <c r="AQ9" s="125"/>
      <c r="AR9" s="125"/>
      <c r="AS9" s="125"/>
      <c r="AT9" s="125"/>
      <c r="AU9" s="125"/>
      <c r="AV9" s="125"/>
      <c r="AW9" s="125"/>
      <c r="AX9" s="125"/>
      <c r="AY9" s="125"/>
      <c r="AZ9" s="125"/>
      <c r="BA9" s="125"/>
      <c r="BB9" s="125"/>
      <c r="BC9" s="125"/>
      <c r="BD9" s="125"/>
      <c r="BE9" s="125"/>
      <c r="BF9" s="125"/>
      <c r="BG9" s="125"/>
      <c r="BH9" s="125"/>
      <c r="BI9" s="125"/>
      <c r="BJ9" s="125"/>
      <c r="BK9" s="125"/>
      <c r="BL9" s="125"/>
      <c r="BM9" s="125"/>
      <c r="BN9" s="125"/>
      <c r="BO9" s="125"/>
      <c r="BP9" s="125"/>
      <c r="BQ9" s="125"/>
      <c r="BR9" s="125"/>
      <c r="BS9" s="125"/>
      <c r="BT9" s="125"/>
      <c r="BU9" s="125"/>
      <c r="BV9" s="125"/>
      <c r="BW9" s="125"/>
      <c r="BX9" s="125"/>
      <c r="BY9" s="125"/>
      <c r="BZ9" s="125"/>
      <c r="CA9" s="125"/>
      <c r="CB9" s="125"/>
      <c r="CC9" s="125"/>
      <c r="CD9" s="125"/>
      <c r="CE9" s="125"/>
      <c r="CF9" s="125"/>
      <c r="CG9" s="125"/>
      <c r="CH9" s="125"/>
      <c r="CI9" s="125"/>
      <c r="CJ9" s="125"/>
      <c r="CK9" s="125"/>
      <c r="CL9" s="125"/>
      <c r="CM9" s="125"/>
      <c r="CN9" s="125"/>
      <c r="CO9" s="125"/>
      <c r="CP9" s="125"/>
      <c r="CQ9" s="125"/>
      <c r="CR9" s="125"/>
      <c r="CS9" s="125"/>
      <c r="CT9" s="125"/>
      <c r="CU9" s="125"/>
      <c r="CV9" s="125"/>
      <c r="CW9" s="125"/>
      <c r="CX9" s="125"/>
      <c r="CY9" s="125"/>
      <c r="CZ9" s="125"/>
      <c r="DA9" s="125"/>
      <c r="DB9" s="125"/>
      <c r="DC9" s="125"/>
      <c r="DD9" s="125"/>
      <c r="DE9" s="125"/>
      <c r="DF9" s="125"/>
      <c r="DG9" s="125"/>
      <c r="DH9" s="125"/>
      <c r="DI9" s="125"/>
      <c r="DJ9" s="125"/>
      <c r="DK9" s="125"/>
      <c r="DL9" s="125"/>
      <c r="DM9" s="125"/>
      <c r="DN9" s="125"/>
      <c r="DO9" s="125"/>
      <c r="DP9" s="125"/>
      <c r="DQ9" s="125"/>
      <c r="DR9" s="125"/>
      <c r="DS9" s="125"/>
      <c r="DT9" s="125"/>
      <c r="DU9" s="125"/>
      <c r="DV9" s="125"/>
      <c r="DW9" s="125"/>
      <c r="DX9" s="125"/>
      <c r="DY9" s="125"/>
      <c r="DZ9" s="125"/>
      <c r="EA9" s="125"/>
      <c r="EB9" s="125"/>
      <c r="EC9" s="125"/>
      <c r="ED9" s="125"/>
      <c r="EE9" s="125"/>
      <c r="EF9" s="125"/>
      <c r="EG9" s="125"/>
      <c r="EH9" s="125"/>
      <c r="EI9" s="125"/>
      <c r="EJ9" s="125"/>
      <c r="EK9" s="125"/>
      <c r="EL9" s="125"/>
      <c r="EM9" s="125"/>
      <c r="EN9" s="125"/>
      <c r="EO9" s="125"/>
      <c r="EP9" s="125"/>
      <c r="EQ9" s="125"/>
      <c r="ER9" s="125"/>
      <c r="ES9" s="125"/>
      <c r="ET9" s="125"/>
      <c r="EU9" s="125"/>
      <c r="EV9" s="125"/>
      <c r="EW9" s="125"/>
      <c r="EX9" s="125"/>
      <c r="EY9" s="125"/>
      <c r="EZ9" s="125"/>
      <c r="FA9" s="125"/>
      <c r="FB9" s="125"/>
      <c r="FC9" s="125"/>
      <c r="FD9" s="125"/>
      <c r="FE9" s="125"/>
      <c r="FF9" s="125"/>
      <c r="FG9" s="125"/>
      <c r="FH9" s="125"/>
      <c r="FI9" s="125"/>
      <c r="FJ9" s="125"/>
      <c r="FK9" s="125"/>
      <c r="FL9" s="125"/>
      <c r="FM9" s="125"/>
      <c r="FN9" s="125"/>
      <c r="FO9" s="125"/>
      <c r="FP9" s="125"/>
      <c r="FQ9" s="125"/>
      <c r="FR9" s="125"/>
      <c r="FS9" s="125"/>
      <c r="FT9" s="125"/>
      <c r="FU9" s="125"/>
      <c r="FV9" s="125"/>
      <c r="FW9" s="944"/>
      <c r="FX9" s="125"/>
      <c r="GC9" s="929">
        <v>0</v>
      </c>
    </row>
    <row r="10" s="929" customFormat="1" ht="11.5" customHeight="1">
      <c r="B10" s="930"/>
      <c r="F10" s="897" t="s">
        <v>305</v>
      </c>
      <c r="G10" s="945"/>
      <c r="H10" s="945"/>
      <c r="I10" s="945"/>
      <c r="J10" s="945"/>
      <c r="K10" s="945"/>
      <c r="L10" s="945"/>
      <c r="M10" s="945"/>
      <c r="N10" s="945"/>
      <c r="O10" s="945"/>
      <c r="P10" s="945"/>
      <c r="Q10" s="945"/>
      <c r="R10" s="945"/>
      <c r="S10" s="945"/>
      <c r="T10" s="945"/>
      <c r="U10" s="945"/>
      <c r="V10" s="945"/>
      <c r="W10" s="945"/>
      <c r="X10" s="945"/>
      <c r="Y10" s="945"/>
      <c r="Z10" s="945"/>
      <c r="AA10" s="945"/>
      <c r="AB10" s="945"/>
      <c r="AC10" s="945"/>
      <c r="AD10" s="945"/>
      <c r="AE10" s="945"/>
      <c r="AF10" s="945"/>
      <c r="AG10" s="945"/>
      <c r="AH10" s="945"/>
      <c r="AI10" s="945"/>
      <c r="AJ10" s="945"/>
      <c r="AK10" s="945"/>
      <c r="AL10" s="945"/>
      <c r="AM10" s="945"/>
      <c r="AN10" s="945"/>
      <c r="AO10" s="945"/>
      <c r="AP10" s="945"/>
      <c r="AQ10" s="945"/>
      <c r="AR10" s="945"/>
      <c r="AS10" s="945"/>
      <c r="AT10" s="945"/>
      <c r="AU10" s="945"/>
      <c r="AV10" s="945"/>
      <c r="AW10" s="945"/>
      <c r="AX10" s="945"/>
      <c r="AY10" s="945"/>
      <c r="AZ10" s="945"/>
      <c r="BA10" s="945"/>
      <c r="BB10" s="945"/>
      <c r="BC10" s="945"/>
      <c r="BD10" s="945"/>
      <c r="BE10" s="945"/>
      <c r="BF10" s="945"/>
      <c r="BG10" s="945"/>
      <c r="BH10" s="945"/>
      <c r="BI10" s="945"/>
      <c r="BJ10" s="945"/>
      <c r="BK10" s="945"/>
      <c r="BL10" s="945"/>
      <c r="BM10" s="945"/>
      <c r="BN10" s="945"/>
      <c r="BO10" s="945"/>
      <c r="BP10" s="945"/>
      <c r="BQ10" s="945"/>
      <c r="BR10" s="945"/>
      <c r="BS10" s="945"/>
      <c r="BT10" s="945"/>
      <c r="BU10" s="945"/>
      <c r="BV10" s="945"/>
      <c r="BW10" s="945"/>
      <c r="BX10" s="945"/>
      <c r="BY10" s="945"/>
      <c r="BZ10" s="945"/>
      <c r="CA10" s="945"/>
      <c r="CB10" s="945"/>
      <c r="CC10" s="945"/>
      <c r="CD10" s="945"/>
      <c r="CE10" s="945"/>
      <c r="CF10" s="945"/>
      <c r="CG10" s="945"/>
      <c r="CH10" s="945"/>
      <c r="CI10" s="945"/>
      <c r="CJ10" s="945"/>
      <c r="CK10" s="945"/>
      <c r="CL10" s="945"/>
      <c r="CM10" s="945"/>
      <c r="CN10" s="945"/>
      <c r="CO10" s="945"/>
      <c r="CP10" s="945"/>
      <c r="CQ10" s="945"/>
      <c r="CR10" s="945"/>
      <c r="CS10" s="945"/>
      <c r="CT10" s="945"/>
      <c r="CU10" s="945"/>
      <c r="CV10" s="945"/>
      <c r="CW10" s="945"/>
      <c r="CX10" s="945"/>
      <c r="CY10" s="945"/>
      <c r="CZ10" s="945"/>
      <c r="DA10" s="945"/>
      <c r="DB10" s="945"/>
      <c r="DC10" s="945"/>
      <c r="DD10" s="945"/>
      <c r="DE10" s="945"/>
      <c r="DF10" s="945"/>
      <c r="DG10" s="945"/>
      <c r="DH10" s="945"/>
      <c r="DI10" s="945"/>
      <c r="DJ10" s="945"/>
      <c r="DK10" s="945"/>
      <c r="DL10" s="945"/>
      <c r="DM10" s="945"/>
      <c r="DN10" s="945"/>
      <c r="DO10" s="945"/>
      <c r="DP10" s="945"/>
      <c r="DQ10" s="945"/>
      <c r="DR10" s="945"/>
      <c r="DS10" s="945"/>
      <c r="DT10" s="945"/>
      <c r="DU10" s="945"/>
      <c r="DV10" s="945"/>
      <c r="DW10" s="945"/>
      <c r="DX10" s="945"/>
      <c r="DY10" s="945"/>
      <c r="DZ10" s="945"/>
      <c r="EA10" s="945"/>
      <c r="EB10" s="945"/>
      <c r="EC10" s="945"/>
      <c r="ED10" s="945"/>
      <c r="EE10" s="945"/>
      <c r="EF10" s="945"/>
      <c r="EG10" s="945"/>
      <c r="EH10" s="945"/>
      <c r="EI10" s="945"/>
      <c r="EJ10" s="945"/>
      <c r="EK10" s="945"/>
      <c r="EL10" s="945"/>
      <c r="EM10" s="945"/>
      <c r="EN10" s="945"/>
      <c r="EO10" s="945"/>
      <c r="EP10" s="945"/>
      <c r="EQ10" s="945"/>
      <c r="ER10" s="945"/>
      <c r="ES10" s="945"/>
      <c r="ET10" s="945"/>
      <c r="EU10" s="945"/>
      <c r="EV10" s="945"/>
      <c r="EW10" s="945"/>
      <c r="EX10" s="945"/>
      <c r="EY10" s="945"/>
      <c r="EZ10" s="945"/>
      <c r="FA10" s="945"/>
      <c r="FB10" s="945"/>
      <c r="FC10" s="945"/>
      <c r="FD10" s="945"/>
      <c r="FE10" s="945"/>
      <c r="FF10" s="945"/>
      <c r="FG10" s="945"/>
      <c r="FH10" s="945"/>
      <c r="FI10" s="945"/>
      <c r="FJ10" s="945"/>
      <c r="FK10" s="945"/>
      <c r="FL10" s="945"/>
      <c r="FM10" s="945"/>
      <c r="FN10" s="945"/>
      <c r="FO10" s="945"/>
      <c r="FP10" s="945"/>
      <c r="FQ10" s="945"/>
      <c r="FR10" s="945"/>
      <c r="FS10" s="945"/>
      <c r="FT10" s="945"/>
      <c r="FU10" s="945"/>
      <c r="FV10" s="946"/>
      <c r="FW10" s="944"/>
      <c r="FX10" s="125"/>
      <c r="GC10" s="929">
        <v>11</v>
      </c>
    </row>
    <row r="11" ht="12.75" customHeight="1">
      <c r="E11" s="947"/>
      <c r="F11" s="356" t="s">
        <v>89</v>
      </c>
      <c r="G11" s="356" t="s">
        <v>1078</v>
      </c>
      <c r="H11" s="356" t="s">
        <v>1079</v>
      </c>
      <c r="I11" s="356" t="s">
        <v>1080</v>
      </c>
      <c r="J11" s="948"/>
      <c r="K11" s="948"/>
      <c r="L11" s="948"/>
      <c r="M11" s="948"/>
      <c r="N11" s="948"/>
      <c r="O11" s="358" t="s">
        <v>1081</v>
      </c>
      <c r="P11" s="358"/>
      <c r="Q11" s="358"/>
      <c r="R11" s="358"/>
      <c r="S11" s="358"/>
      <c r="T11" s="358"/>
      <c r="U11" s="358"/>
      <c r="V11" s="358"/>
      <c r="W11" s="358"/>
      <c r="X11" s="358"/>
      <c r="Y11" s="358"/>
      <c r="Z11" s="358"/>
      <c r="AA11" s="358"/>
      <c r="AB11" s="358"/>
      <c r="AC11" s="949"/>
      <c r="AD11" s="949"/>
      <c r="AE11" s="949"/>
      <c r="AF11" s="949"/>
      <c r="AG11" s="949"/>
      <c r="AH11" s="949"/>
      <c r="AI11" s="949"/>
      <c r="AJ11" s="949"/>
      <c r="AK11" s="949"/>
      <c r="AL11" s="949"/>
      <c r="AM11" s="949"/>
      <c r="AN11" s="949"/>
      <c r="AO11" s="949"/>
      <c r="AP11" s="949"/>
      <c r="AQ11" s="949"/>
      <c r="AR11" s="949"/>
      <c r="AS11" s="949"/>
      <c r="AT11" s="949"/>
      <c r="AU11" s="949"/>
      <c r="AV11" s="949"/>
      <c r="AW11" s="949"/>
      <c r="AX11" s="949"/>
      <c r="AY11" s="949"/>
      <c r="AZ11" s="949"/>
      <c r="BA11" s="949"/>
      <c r="BB11" s="949"/>
      <c r="BC11" s="949"/>
      <c r="BD11" s="949"/>
      <c r="BE11" s="949"/>
      <c r="BF11" s="949"/>
      <c r="BG11" s="949"/>
      <c r="BH11" s="949"/>
      <c r="BI11" s="949"/>
      <c r="BJ11" s="949"/>
      <c r="BK11" s="949"/>
      <c r="BL11" s="949"/>
      <c r="BM11" s="949"/>
      <c r="BN11" s="949"/>
      <c r="BO11" s="949"/>
      <c r="BP11" s="949"/>
      <c r="BQ11" s="949"/>
      <c r="BR11" s="949"/>
      <c r="BS11" s="950"/>
      <c r="BT11" s="835" t="s">
        <v>1081</v>
      </c>
      <c r="BU11" s="836"/>
      <c r="BV11" s="836"/>
      <c r="BW11" s="836"/>
      <c r="BX11" s="836"/>
      <c r="BY11" s="836"/>
      <c r="BZ11" s="836"/>
      <c r="CA11" s="836"/>
      <c r="CB11" s="836"/>
      <c r="CC11" s="836"/>
      <c r="CD11" s="836"/>
      <c r="CE11" s="836"/>
      <c r="CF11" s="836"/>
      <c r="CG11" s="836"/>
      <c r="CH11" s="836"/>
      <c r="CI11" s="836"/>
      <c r="CJ11" s="836"/>
      <c r="CK11" s="951"/>
      <c r="CL11" s="952"/>
      <c r="CM11" s="949"/>
      <c r="CN11" s="949"/>
      <c r="CO11" s="949"/>
      <c r="CP11" s="949"/>
      <c r="CQ11" s="949"/>
      <c r="CR11" s="949"/>
      <c r="CS11" s="949"/>
      <c r="CT11" s="949"/>
      <c r="CU11" s="949"/>
      <c r="CV11" s="949"/>
      <c r="CW11" s="949"/>
      <c r="CX11" s="950"/>
      <c r="CY11" s="835" t="s">
        <v>1081</v>
      </c>
      <c r="CZ11" s="836"/>
      <c r="DA11" s="836"/>
      <c r="DB11" s="836"/>
      <c r="DC11" s="836"/>
      <c r="DD11" s="836"/>
      <c r="DE11" s="836"/>
      <c r="DF11" s="836"/>
      <c r="DG11" s="836"/>
      <c r="DH11" s="836"/>
      <c r="DI11" s="836"/>
      <c r="DJ11" s="951"/>
      <c r="DK11" s="952"/>
      <c r="DL11" s="949"/>
      <c r="DM11" s="949"/>
      <c r="DN11" s="949"/>
      <c r="DO11" s="949"/>
      <c r="DP11" s="949"/>
      <c r="DQ11" s="949"/>
      <c r="DR11" s="949"/>
      <c r="DS11" s="949"/>
      <c r="DT11" s="949"/>
      <c r="DU11" s="949"/>
      <c r="DV11" s="949"/>
      <c r="DW11" s="949"/>
      <c r="DX11" s="949"/>
      <c r="DY11" s="949"/>
      <c r="DZ11" s="949"/>
      <c r="EA11" s="949"/>
      <c r="EB11" s="949"/>
      <c r="EC11" s="949"/>
      <c r="ED11" s="949"/>
      <c r="EE11" s="949"/>
      <c r="EF11" s="949"/>
      <c r="EG11" s="949"/>
      <c r="EH11" s="949"/>
      <c r="EI11" s="949"/>
      <c r="EJ11" s="949"/>
      <c r="EK11" s="949"/>
      <c r="EL11" s="949"/>
      <c r="EM11" s="949"/>
      <c r="EN11" s="949"/>
      <c r="EO11" s="949"/>
      <c r="EP11" s="949"/>
      <c r="EQ11" s="949"/>
      <c r="ER11" s="949"/>
      <c r="ES11" s="949"/>
      <c r="ET11" s="949"/>
      <c r="EU11" s="949"/>
      <c r="EV11" s="949"/>
      <c r="EW11" s="949"/>
      <c r="EX11" s="949"/>
      <c r="EY11" s="949"/>
      <c r="EZ11" s="949"/>
      <c r="FA11" s="949"/>
      <c r="FB11" s="949"/>
      <c r="FC11" s="949"/>
      <c r="FD11" s="949"/>
      <c r="FE11" s="949"/>
      <c r="FF11" s="949"/>
      <c r="FG11" s="949"/>
      <c r="FH11" s="949"/>
      <c r="FI11" s="949"/>
      <c r="FJ11" s="949"/>
      <c r="FK11" s="949"/>
      <c r="FL11" s="949"/>
      <c r="FM11" s="949"/>
      <c r="FN11" s="949"/>
      <c r="FO11" s="949"/>
      <c r="FP11" s="949"/>
      <c r="FQ11" s="949"/>
      <c r="FR11" s="949"/>
      <c r="FS11" s="949"/>
      <c r="FT11" s="949"/>
      <c r="FU11" s="949"/>
      <c r="FV11" s="949"/>
      <c r="FW11" s="944"/>
      <c r="FX11" s="60"/>
      <c r="GC11" s="921">
        <v>12</v>
      </c>
    </row>
    <row r="12" ht="12.75" customHeight="1">
      <c r="D12" s="925"/>
      <c r="E12" s="947"/>
      <c r="F12" s="356"/>
      <c r="G12" s="356"/>
      <c r="H12" s="356"/>
      <c r="I12" s="356"/>
      <c r="J12" s="948"/>
      <c r="K12" s="948"/>
      <c r="L12" s="948"/>
      <c r="M12" s="948"/>
      <c r="N12" s="948"/>
      <c r="O12" s="358" t="s">
        <v>1082</v>
      </c>
      <c r="P12" s="358"/>
      <c r="Q12" s="358"/>
      <c r="R12" s="358"/>
      <c r="S12" s="358" t="s">
        <v>1083</v>
      </c>
      <c r="T12" s="358"/>
      <c r="U12" s="358"/>
      <c r="V12" s="358"/>
      <c r="W12" s="358"/>
      <c r="X12" s="358"/>
      <c r="Y12" s="358"/>
      <c r="Z12" s="358"/>
      <c r="AA12" s="358"/>
      <c r="AB12" s="358"/>
      <c r="AC12" s="949"/>
      <c r="AD12" s="949"/>
      <c r="AE12" s="949"/>
      <c r="AF12" s="949"/>
      <c r="AG12" s="949"/>
      <c r="AH12" s="949"/>
      <c r="AI12" s="949"/>
      <c r="AJ12" s="949"/>
      <c r="AK12" s="949"/>
      <c r="AL12" s="949"/>
      <c r="AM12" s="949"/>
      <c r="AN12" s="949"/>
      <c r="AO12" s="949"/>
      <c r="AP12" s="949"/>
      <c r="AQ12" s="949"/>
      <c r="AR12" s="949"/>
      <c r="AS12" s="949"/>
      <c r="AT12" s="949"/>
      <c r="AU12" s="949"/>
      <c r="AV12" s="949"/>
      <c r="AW12" s="949"/>
      <c r="AX12" s="949"/>
      <c r="AY12" s="949"/>
      <c r="AZ12" s="949"/>
      <c r="BA12" s="949"/>
      <c r="BB12" s="949"/>
      <c r="BC12" s="949"/>
      <c r="BD12" s="949"/>
      <c r="BE12" s="949"/>
      <c r="BF12" s="949"/>
      <c r="BG12" s="949"/>
      <c r="BH12" s="949"/>
      <c r="BI12" s="949"/>
      <c r="BJ12" s="949"/>
      <c r="BK12" s="949"/>
      <c r="BL12" s="949"/>
      <c r="BM12" s="949"/>
      <c r="BN12" s="949"/>
      <c r="BO12" s="949"/>
      <c r="BP12" s="949"/>
      <c r="BQ12" s="949"/>
      <c r="BR12" s="949"/>
      <c r="BS12" s="950"/>
      <c r="BT12" s="835" t="s">
        <v>1084</v>
      </c>
      <c r="BU12" s="836"/>
      <c r="BV12" s="836"/>
      <c r="BW12" s="951"/>
      <c r="BX12" s="835" t="s">
        <v>1085</v>
      </c>
      <c r="BY12" s="836"/>
      <c r="BZ12" s="836"/>
      <c r="CA12" s="951"/>
      <c r="CB12" s="835" t="s">
        <v>1086</v>
      </c>
      <c r="CC12" s="951"/>
      <c r="CD12" s="835" t="s">
        <v>1087</v>
      </c>
      <c r="CE12" s="836"/>
      <c r="CF12" s="836"/>
      <c r="CG12" s="836"/>
      <c r="CH12" s="836"/>
      <c r="CI12" s="836"/>
      <c r="CJ12" s="836"/>
      <c r="CK12" s="951"/>
      <c r="CL12" s="952"/>
      <c r="CM12" s="949"/>
      <c r="CN12" s="949"/>
      <c r="CO12" s="949"/>
      <c r="CP12" s="949"/>
      <c r="CQ12" s="949"/>
      <c r="CR12" s="949"/>
      <c r="CS12" s="949"/>
      <c r="CT12" s="949"/>
      <c r="CU12" s="949"/>
      <c r="CV12" s="949"/>
      <c r="CW12" s="949"/>
      <c r="CX12" s="950"/>
      <c r="CY12" s="835" t="s">
        <v>1088</v>
      </c>
      <c r="CZ12" s="836"/>
      <c r="DA12" s="836"/>
      <c r="DB12" s="836"/>
      <c r="DC12" s="836"/>
      <c r="DD12" s="951"/>
      <c r="DE12" s="835" t="s">
        <v>1089</v>
      </c>
      <c r="DF12" s="951"/>
      <c r="DG12" s="835" t="s">
        <v>1087</v>
      </c>
      <c r="DH12" s="836"/>
      <c r="DI12" s="836"/>
      <c r="DJ12" s="951"/>
      <c r="DK12" s="952"/>
      <c r="DL12" s="949"/>
      <c r="DM12" s="949"/>
      <c r="DN12" s="949"/>
      <c r="DO12" s="949"/>
      <c r="DP12" s="949"/>
      <c r="DQ12" s="949"/>
      <c r="DR12" s="949"/>
      <c r="DS12" s="949"/>
      <c r="DT12" s="949"/>
      <c r="DU12" s="949"/>
      <c r="DV12" s="949"/>
      <c r="DW12" s="949"/>
      <c r="DX12" s="949"/>
      <c r="DY12" s="949"/>
      <c r="DZ12" s="949"/>
      <c r="EA12" s="949"/>
      <c r="EB12" s="949"/>
      <c r="EC12" s="949"/>
      <c r="ED12" s="949"/>
      <c r="EE12" s="949"/>
      <c r="EF12" s="949"/>
      <c r="EG12" s="949"/>
      <c r="EH12" s="949"/>
      <c r="EI12" s="949"/>
      <c r="EJ12" s="949"/>
      <c r="EK12" s="949"/>
      <c r="EL12" s="949"/>
      <c r="EM12" s="949"/>
      <c r="EN12" s="949"/>
      <c r="EO12" s="949"/>
      <c r="EP12" s="949"/>
      <c r="EQ12" s="949"/>
      <c r="ER12" s="949"/>
      <c r="ES12" s="949"/>
      <c r="ET12" s="949"/>
      <c r="EU12" s="949"/>
      <c r="EV12" s="949"/>
      <c r="EW12" s="949"/>
      <c r="EX12" s="949"/>
      <c r="EY12" s="949"/>
      <c r="EZ12" s="949"/>
      <c r="FA12" s="949"/>
      <c r="FB12" s="949"/>
      <c r="FC12" s="949"/>
      <c r="FD12" s="949"/>
      <c r="FE12" s="949"/>
      <c r="FF12" s="949"/>
      <c r="FG12" s="949"/>
      <c r="FH12" s="949"/>
      <c r="FI12" s="949"/>
      <c r="FJ12" s="949"/>
      <c r="FK12" s="949"/>
      <c r="FL12" s="949"/>
      <c r="FM12" s="949"/>
      <c r="FN12" s="949"/>
      <c r="FO12" s="949"/>
      <c r="FP12" s="949"/>
      <c r="FQ12" s="949"/>
      <c r="FR12" s="949"/>
      <c r="FS12" s="949"/>
      <c r="FT12" s="949"/>
      <c r="FU12" s="949"/>
      <c r="FV12" s="949"/>
      <c r="FW12" s="944"/>
      <c r="FX12" s="60"/>
      <c r="GC12" s="921">
        <v>12</v>
      </c>
    </row>
    <row r="13" ht="37.799999999999997" customHeight="1">
      <c r="D13" s="925"/>
      <c r="E13" s="947"/>
      <c r="F13" s="356"/>
      <c r="G13" s="356"/>
      <c r="H13" s="356"/>
      <c r="I13" s="356"/>
      <c r="J13" s="948"/>
      <c r="K13" s="948"/>
      <c r="L13" s="948"/>
      <c r="M13" s="948"/>
      <c r="N13" s="948"/>
      <c r="O13" s="358" t="s">
        <v>1090</v>
      </c>
      <c r="P13" s="358"/>
      <c r="Q13" s="358"/>
      <c r="R13" s="358"/>
      <c r="S13" s="669" t="s">
        <v>1091</v>
      </c>
      <c r="T13" s="837"/>
      <c r="U13" s="157" t="s">
        <v>1092</v>
      </c>
      <c r="V13" s="157"/>
      <c r="W13" s="157"/>
      <c r="X13" s="157"/>
      <c r="Y13" s="157" t="s">
        <v>1093</v>
      </c>
      <c r="Z13" s="157"/>
      <c r="AA13" s="157"/>
      <c r="AB13" s="157"/>
      <c r="AC13" s="949"/>
      <c r="AD13" s="949"/>
      <c r="AE13" s="949"/>
      <c r="AF13" s="949"/>
      <c r="AG13" s="949"/>
      <c r="AH13" s="949"/>
      <c r="AI13" s="949"/>
      <c r="AJ13" s="949"/>
      <c r="AK13" s="949"/>
      <c r="AL13" s="949"/>
      <c r="AM13" s="949"/>
      <c r="AN13" s="949"/>
      <c r="AO13" s="949"/>
      <c r="AP13" s="949"/>
      <c r="AQ13" s="949"/>
      <c r="AR13" s="949"/>
      <c r="AS13" s="949"/>
      <c r="AT13" s="949"/>
      <c r="AU13" s="949"/>
      <c r="AV13" s="949"/>
      <c r="AW13" s="949"/>
      <c r="AX13" s="949"/>
      <c r="AY13" s="949"/>
      <c r="AZ13" s="949"/>
      <c r="BA13" s="949"/>
      <c r="BB13" s="949"/>
      <c r="BC13" s="949"/>
      <c r="BD13" s="949"/>
      <c r="BE13" s="949"/>
      <c r="BF13" s="949"/>
      <c r="BG13" s="949"/>
      <c r="BH13" s="949"/>
      <c r="BI13" s="949"/>
      <c r="BJ13" s="949"/>
      <c r="BK13" s="949"/>
      <c r="BL13" s="949"/>
      <c r="BM13" s="949"/>
      <c r="BN13" s="949"/>
      <c r="BO13" s="949"/>
      <c r="BP13" s="949"/>
      <c r="BQ13" s="949"/>
      <c r="BR13" s="949"/>
      <c r="BS13" s="950"/>
      <c r="BT13" s="669" t="s">
        <v>1094</v>
      </c>
      <c r="BU13" s="837"/>
      <c r="BV13" s="669" t="s">
        <v>1095</v>
      </c>
      <c r="BW13" s="837"/>
      <c r="BX13" s="669" t="s">
        <v>1096</v>
      </c>
      <c r="BY13" s="837"/>
      <c r="BZ13" s="669" t="s">
        <v>1097</v>
      </c>
      <c r="CA13" s="837"/>
      <c r="CB13" s="669" t="s">
        <v>1098</v>
      </c>
      <c r="CC13" s="837"/>
      <c r="CD13" s="669" t="s">
        <v>1099</v>
      </c>
      <c r="CE13" s="837"/>
      <c r="CF13" s="669" t="s">
        <v>1100</v>
      </c>
      <c r="CG13" s="837"/>
      <c r="CH13" s="835" t="s">
        <v>1101</v>
      </c>
      <c r="CI13" s="836"/>
      <c r="CJ13" s="836"/>
      <c r="CK13" s="951"/>
      <c r="CL13" s="952"/>
      <c r="CM13" s="949"/>
      <c r="CN13" s="949"/>
      <c r="CO13" s="949"/>
      <c r="CP13" s="949"/>
      <c r="CQ13" s="949"/>
      <c r="CR13" s="949"/>
      <c r="CS13" s="949"/>
      <c r="CT13" s="949"/>
      <c r="CU13" s="949"/>
      <c r="CV13" s="949"/>
      <c r="CW13" s="949"/>
      <c r="CX13" s="950"/>
      <c r="CY13" s="669" t="s">
        <v>1102</v>
      </c>
      <c r="CZ13" s="837"/>
      <c r="DA13" s="669" t="s">
        <v>1103</v>
      </c>
      <c r="DB13" s="837"/>
      <c r="DC13" s="669" t="s">
        <v>1104</v>
      </c>
      <c r="DD13" s="837"/>
      <c r="DE13" s="669" t="s">
        <v>1105</v>
      </c>
      <c r="DF13" s="837"/>
      <c r="DG13" s="835" t="s">
        <v>1106</v>
      </c>
      <c r="DH13" s="836"/>
      <c r="DI13" s="836"/>
      <c r="DJ13" s="951"/>
      <c r="DK13" s="952"/>
      <c r="DL13" s="949"/>
      <c r="DM13" s="949"/>
      <c r="DN13" s="949"/>
      <c r="DO13" s="949"/>
      <c r="DP13" s="949"/>
      <c r="DQ13" s="949"/>
      <c r="DR13" s="949"/>
      <c r="DS13" s="949"/>
      <c r="DT13" s="949"/>
      <c r="DU13" s="949"/>
      <c r="DV13" s="949"/>
      <c r="DW13" s="949"/>
      <c r="DX13" s="949"/>
      <c r="DY13" s="949"/>
      <c r="DZ13" s="949"/>
      <c r="EA13" s="949"/>
      <c r="EB13" s="949"/>
      <c r="EC13" s="949"/>
      <c r="ED13" s="949"/>
      <c r="EE13" s="949"/>
      <c r="EF13" s="949"/>
      <c r="EG13" s="949"/>
      <c r="EH13" s="949"/>
      <c r="EI13" s="949"/>
      <c r="EJ13" s="949"/>
      <c r="EK13" s="949"/>
      <c r="EL13" s="949"/>
      <c r="EM13" s="949"/>
      <c r="EN13" s="949"/>
      <c r="EO13" s="949"/>
      <c r="EP13" s="949"/>
      <c r="EQ13" s="949"/>
      <c r="ER13" s="949"/>
      <c r="ES13" s="949"/>
      <c r="ET13" s="949"/>
      <c r="EU13" s="949"/>
      <c r="EV13" s="949"/>
      <c r="EW13" s="949"/>
      <c r="EX13" s="949"/>
      <c r="EY13" s="949"/>
      <c r="EZ13" s="949"/>
      <c r="FA13" s="949"/>
      <c r="FB13" s="949"/>
      <c r="FC13" s="949"/>
      <c r="FD13" s="949"/>
      <c r="FE13" s="949"/>
      <c r="FF13" s="949"/>
      <c r="FG13" s="949"/>
      <c r="FH13" s="949"/>
      <c r="FI13" s="949"/>
      <c r="FJ13" s="949"/>
      <c r="FK13" s="949"/>
      <c r="FL13" s="949"/>
      <c r="FM13" s="949"/>
      <c r="FN13" s="949"/>
      <c r="FO13" s="949"/>
      <c r="FP13" s="949"/>
      <c r="FQ13" s="949"/>
      <c r="FR13" s="949"/>
      <c r="FS13" s="949"/>
      <c r="FT13" s="949"/>
      <c r="FU13" s="949"/>
      <c r="FV13" s="949"/>
      <c r="FW13" s="944"/>
      <c r="FX13" s="60"/>
      <c r="GC13" s="921">
        <v>36</v>
      </c>
    </row>
    <row r="14" ht="37.799999999999997" customHeight="1">
      <c r="D14" s="925"/>
      <c r="E14" s="947"/>
      <c r="F14" s="356"/>
      <c r="G14" s="356"/>
      <c r="H14" s="356"/>
      <c r="I14" s="356"/>
      <c r="J14" s="948"/>
      <c r="K14" s="948"/>
      <c r="L14" s="948"/>
      <c r="M14" s="948"/>
      <c r="N14" s="948"/>
      <c r="O14" s="669" t="s">
        <v>1107</v>
      </c>
      <c r="P14" s="837"/>
      <c r="Q14" s="669" t="s">
        <v>1108</v>
      </c>
      <c r="R14" s="837"/>
      <c r="S14" s="672"/>
      <c r="T14" s="370"/>
      <c r="U14" s="669" t="s">
        <v>840</v>
      </c>
      <c r="V14" s="837"/>
      <c r="W14" s="669" t="s">
        <v>843</v>
      </c>
      <c r="X14" s="837"/>
      <c r="Y14" s="669" t="s">
        <v>840</v>
      </c>
      <c r="Z14" s="837"/>
      <c r="AA14" s="669" t="s">
        <v>850</v>
      </c>
      <c r="AB14" s="837"/>
      <c r="AC14" s="949"/>
      <c r="AD14" s="949"/>
      <c r="AE14" s="949"/>
      <c r="AF14" s="949"/>
      <c r="AG14" s="949"/>
      <c r="AH14" s="949"/>
      <c r="AI14" s="949"/>
      <c r="AJ14" s="949"/>
      <c r="AK14" s="949"/>
      <c r="AL14" s="949"/>
      <c r="AM14" s="949"/>
      <c r="AN14" s="949"/>
      <c r="AO14" s="949"/>
      <c r="AP14" s="949"/>
      <c r="AQ14" s="949"/>
      <c r="AR14" s="949"/>
      <c r="AS14" s="949"/>
      <c r="AT14" s="949"/>
      <c r="AU14" s="949"/>
      <c r="AV14" s="949"/>
      <c r="AW14" s="949"/>
      <c r="AX14" s="949"/>
      <c r="AY14" s="949"/>
      <c r="AZ14" s="949"/>
      <c r="BA14" s="949"/>
      <c r="BB14" s="949"/>
      <c r="BC14" s="949"/>
      <c r="BD14" s="949"/>
      <c r="BE14" s="949"/>
      <c r="BF14" s="949"/>
      <c r="BG14" s="949"/>
      <c r="BH14" s="949"/>
      <c r="BI14" s="949"/>
      <c r="BJ14" s="949"/>
      <c r="BK14" s="949"/>
      <c r="BL14" s="949"/>
      <c r="BM14" s="949"/>
      <c r="BN14" s="949"/>
      <c r="BO14" s="949"/>
      <c r="BP14" s="949"/>
      <c r="BQ14" s="949"/>
      <c r="BR14" s="949"/>
      <c r="BS14" s="950"/>
      <c r="BT14" s="672"/>
      <c r="BU14" s="370"/>
      <c r="BV14" s="672"/>
      <c r="BW14" s="370"/>
      <c r="BX14" s="672"/>
      <c r="BY14" s="370"/>
      <c r="BZ14" s="672"/>
      <c r="CA14" s="370"/>
      <c r="CB14" s="672"/>
      <c r="CC14" s="370"/>
      <c r="CD14" s="672"/>
      <c r="CE14" s="370"/>
      <c r="CF14" s="672"/>
      <c r="CG14" s="370"/>
      <c r="CH14" s="669" t="s">
        <v>1109</v>
      </c>
      <c r="CI14" s="837"/>
      <c r="CJ14" s="669" t="s">
        <v>1110</v>
      </c>
      <c r="CK14" s="837"/>
      <c r="CL14" s="952"/>
      <c r="CM14" s="949"/>
      <c r="CN14" s="949"/>
      <c r="CO14" s="949"/>
      <c r="CP14" s="949"/>
      <c r="CQ14" s="949"/>
      <c r="CR14" s="949"/>
      <c r="CS14" s="949"/>
      <c r="CT14" s="949"/>
      <c r="CU14" s="949"/>
      <c r="CV14" s="949"/>
      <c r="CW14" s="949"/>
      <c r="CX14" s="950"/>
      <c r="CY14" s="672"/>
      <c r="CZ14" s="370"/>
      <c r="DA14" s="672"/>
      <c r="DB14" s="370"/>
      <c r="DC14" s="672"/>
      <c r="DD14" s="370"/>
      <c r="DE14" s="672"/>
      <c r="DF14" s="370"/>
      <c r="DG14" s="669" t="s">
        <v>1111</v>
      </c>
      <c r="DH14" s="837"/>
      <c r="DI14" s="669" t="s">
        <v>1112</v>
      </c>
      <c r="DJ14" s="837"/>
      <c r="DK14" s="952"/>
      <c r="DL14" s="949"/>
      <c r="DM14" s="949"/>
      <c r="DN14" s="949"/>
      <c r="DO14" s="949"/>
      <c r="DP14" s="949"/>
      <c r="DQ14" s="949"/>
      <c r="DR14" s="949"/>
      <c r="DS14" s="949"/>
      <c r="DT14" s="949"/>
      <c r="DU14" s="949"/>
      <c r="DV14" s="949"/>
      <c r="DW14" s="949"/>
      <c r="DX14" s="949"/>
      <c r="DY14" s="949"/>
      <c r="DZ14" s="949"/>
      <c r="EA14" s="949"/>
      <c r="EB14" s="949"/>
      <c r="EC14" s="949"/>
      <c r="ED14" s="949"/>
      <c r="EE14" s="949"/>
      <c r="EF14" s="949"/>
      <c r="EG14" s="949"/>
      <c r="EH14" s="949"/>
      <c r="EI14" s="949"/>
      <c r="EJ14" s="949"/>
      <c r="EK14" s="949"/>
      <c r="EL14" s="949"/>
      <c r="EM14" s="949"/>
      <c r="EN14" s="949"/>
      <c r="EO14" s="949"/>
      <c r="EP14" s="949"/>
      <c r="EQ14" s="949"/>
      <c r="ER14" s="949"/>
      <c r="ES14" s="949"/>
      <c r="ET14" s="949"/>
      <c r="EU14" s="949"/>
      <c r="EV14" s="949"/>
      <c r="EW14" s="949"/>
      <c r="EX14" s="949"/>
      <c r="EY14" s="949"/>
      <c r="EZ14" s="949"/>
      <c r="FA14" s="949"/>
      <c r="FB14" s="949"/>
      <c r="FC14" s="949"/>
      <c r="FD14" s="949"/>
      <c r="FE14" s="949"/>
      <c r="FF14" s="949"/>
      <c r="FG14" s="949"/>
      <c r="FH14" s="949"/>
      <c r="FI14" s="949"/>
      <c r="FJ14" s="949"/>
      <c r="FK14" s="949"/>
      <c r="FL14" s="949"/>
      <c r="FM14" s="949"/>
      <c r="FN14" s="949"/>
      <c r="FO14" s="949"/>
      <c r="FP14" s="949"/>
      <c r="FQ14" s="949"/>
      <c r="FR14" s="949"/>
      <c r="FS14" s="949"/>
      <c r="FT14" s="949"/>
      <c r="FU14" s="949"/>
      <c r="FV14" s="949"/>
      <c r="FW14" s="944"/>
      <c r="FX14" s="60"/>
      <c r="GC14" s="921">
        <v>36</v>
      </c>
    </row>
    <row r="15" ht="37.799999999999997" customHeight="1">
      <c r="D15" s="925"/>
      <c r="E15" s="947"/>
      <c r="F15" s="356"/>
      <c r="G15" s="356"/>
      <c r="H15" s="356"/>
      <c r="I15" s="356"/>
      <c r="J15" s="948"/>
      <c r="K15" s="948"/>
      <c r="L15" s="948"/>
      <c r="M15" s="948"/>
      <c r="N15" s="948"/>
      <c r="O15" s="678"/>
      <c r="P15" s="702"/>
      <c r="Q15" s="678"/>
      <c r="R15" s="702"/>
      <c r="S15" s="678"/>
      <c r="T15" s="702"/>
      <c r="U15" s="678"/>
      <c r="V15" s="702"/>
      <c r="W15" s="678"/>
      <c r="X15" s="702"/>
      <c r="Y15" s="678"/>
      <c r="Z15" s="702"/>
      <c r="AA15" s="678"/>
      <c r="AB15" s="702"/>
      <c r="AC15" s="949"/>
      <c r="AD15" s="949"/>
      <c r="AE15" s="949"/>
      <c r="AF15" s="949"/>
      <c r="AG15" s="949"/>
      <c r="AH15" s="949"/>
      <c r="AI15" s="949"/>
      <c r="AJ15" s="949"/>
      <c r="AK15" s="949"/>
      <c r="AL15" s="949"/>
      <c r="AM15" s="949"/>
      <c r="AN15" s="949"/>
      <c r="AO15" s="949"/>
      <c r="AP15" s="949"/>
      <c r="AQ15" s="949"/>
      <c r="AR15" s="949"/>
      <c r="AS15" s="949"/>
      <c r="AT15" s="949"/>
      <c r="AU15" s="949"/>
      <c r="AV15" s="949"/>
      <c r="AW15" s="949"/>
      <c r="AX15" s="949"/>
      <c r="AY15" s="949"/>
      <c r="AZ15" s="949"/>
      <c r="BA15" s="949"/>
      <c r="BB15" s="949"/>
      <c r="BC15" s="949"/>
      <c r="BD15" s="949"/>
      <c r="BE15" s="949"/>
      <c r="BF15" s="949"/>
      <c r="BG15" s="949"/>
      <c r="BH15" s="949"/>
      <c r="BI15" s="949"/>
      <c r="BJ15" s="949"/>
      <c r="BK15" s="949"/>
      <c r="BL15" s="949"/>
      <c r="BM15" s="949"/>
      <c r="BN15" s="949"/>
      <c r="BO15" s="949"/>
      <c r="BP15" s="949"/>
      <c r="BQ15" s="949"/>
      <c r="BR15" s="949"/>
      <c r="BS15" s="950"/>
      <c r="BT15" s="678"/>
      <c r="BU15" s="702"/>
      <c r="BV15" s="678"/>
      <c r="BW15" s="702"/>
      <c r="BX15" s="678"/>
      <c r="BY15" s="702"/>
      <c r="BZ15" s="678"/>
      <c r="CA15" s="702"/>
      <c r="CB15" s="678"/>
      <c r="CC15" s="702"/>
      <c r="CD15" s="678"/>
      <c r="CE15" s="702"/>
      <c r="CF15" s="678"/>
      <c r="CG15" s="702"/>
      <c r="CH15" s="678"/>
      <c r="CI15" s="702"/>
      <c r="CJ15" s="678"/>
      <c r="CK15" s="702"/>
      <c r="CL15" s="952"/>
      <c r="CM15" s="949"/>
      <c r="CN15" s="949"/>
      <c r="CO15" s="949"/>
      <c r="CP15" s="949"/>
      <c r="CQ15" s="949"/>
      <c r="CR15" s="949"/>
      <c r="CS15" s="949"/>
      <c r="CT15" s="949"/>
      <c r="CU15" s="949"/>
      <c r="CV15" s="949"/>
      <c r="CW15" s="949"/>
      <c r="CX15" s="950"/>
      <c r="CY15" s="678"/>
      <c r="CZ15" s="702"/>
      <c r="DA15" s="678"/>
      <c r="DB15" s="702"/>
      <c r="DC15" s="678"/>
      <c r="DD15" s="702"/>
      <c r="DE15" s="678"/>
      <c r="DF15" s="702"/>
      <c r="DG15" s="678"/>
      <c r="DH15" s="702"/>
      <c r="DI15" s="678"/>
      <c r="DJ15" s="702"/>
      <c r="DK15" s="952"/>
      <c r="DL15" s="949"/>
      <c r="DM15" s="949"/>
      <c r="DN15" s="949"/>
      <c r="DO15" s="949"/>
      <c r="DP15" s="949"/>
      <c r="DQ15" s="949"/>
      <c r="DR15" s="949"/>
      <c r="DS15" s="949"/>
      <c r="DT15" s="949"/>
      <c r="DU15" s="949"/>
      <c r="DV15" s="949"/>
      <c r="DW15" s="949"/>
      <c r="DX15" s="949"/>
      <c r="DY15" s="949"/>
      <c r="DZ15" s="949"/>
      <c r="EA15" s="949"/>
      <c r="EB15" s="949"/>
      <c r="EC15" s="949"/>
      <c r="ED15" s="949"/>
      <c r="EE15" s="949"/>
      <c r="EF15" s="949"/>
      <c r="EG15" s="949"/>
      <c r="EH15" s="949"/>
      <c r="EI15" s="949"/>
      <c r="EJ15" s="949"/>
      <c r="EK15" s="949"/>
      <c r="EL15" s="949"/>
      <c r="EM15" s="949"/>
      <c r="EN15" s="949"/>
      <c r="EO15" s="949"/>
      <c r="EP15" s="949"/>
      <c r="EQ15" s="949"/>
      <c r="ER15" s="949"/>
      <c r="ES15" s="949"/>
      <c r="ET15" s="949"/>
      <c r="EU15" s="949"/>
      <c r="EV15" s="949"/>
      <c r="EW15" s="949"/>
      <c r="EX15" s="949"/>
      <c r="EY15" s="949"/>
      <c r="EZ15" s="949"/>
      <c r="FA15" s="949"/>
      <c r="FB15" s="949"/>
      <c r="FC15" s="949"/>
      <c r="FD15" s="949"/>
      <c r="FE15" s="949"/>
      <c r="FF15" s="949"/>
      <c r="FG15" s="949"/>
      <c r="FH15" s="949"/>
      <c r="FI15" s="949"/>
      <c r="FJ15" s="949"/>
      <c r="FK15" s="949"/>
      <c r="FL15" s="949"/>
      <c r="FM15" s="949"/>
      <c r="FN15" s="949"/>
      <c r="FO15" s="949"/>
      <c r="FP15" s="949"/>
      <c r="FQ15" s="949"/>
      <c r="FR15" s="949"/>
      <c r="FS15" s="949"/>
      <c r="FT15" s="949"/>
      <c r="FU15" s="949"/>
      <c r="FV15" s="949"/>
      <c r="FW15" s="944"/>
      <c r="FX15" s="60"/>
      <c r="GC15" s="921">
        <v>36</v>
      </c>
    </row>
    <row r="16" ht="12.75" customHeight="1">
      <c r="D16" s="925"/>
      <c r="E16" s="947"/>
      <c r="F16" s="356"/>
      <c r="G16" s="356"/>
      <c r="H16" s="356"/>
      <c r="I16" s="356"/>
      <c r="J16" s="948"/>
      <c r="K16" s="948"/>
      <c r="L16" s="948"/>
      <c r="M16" s="948"/>
      <c r="N16" s="948"/>
      <c r="O16" s="835" t="s">
        <v>830</v>
      </c>
      <c r="P16" s="951"/>
      <c r="Q16" s="835" t="s">
        <v>832</v>
      </c>
      <c r="R16" s="951"/>
      <c r="S16" s="835" t="s">
        <v>836</v>
      </c>
      <c r="T16" s="951"/>
      <c r="U16" s="835" t="s">
        <v>841</v>
      </c>
      <c r="V16" s="951"/>
      <c r="W16" s="835" t="s">
        <v>844</v>
      </c>
      <c r="X16" s="951"/>
      <c r="Y16" s="835" t="s">
        <v>848</v>
      </c>
      <c r="Z16" s="951"/>
      <c r="AA16" s="835" t="s">
        <v>851</v>
      </c>
      <c r="AB16" s="951"/>
      <c r="AC16" s="949"/>
      <c r="AD16" s="949"/>
      <c r="AE16" s="949"/>
      <c r="AF16" s="949"/>
      <c r="AG16" s="949"/>
      <c r="AH16" s="949"/>
      <c r="AI16" s="949"/>
      <c r="AJ16" s="949"/>
      <c r="AK16" s="949"/>
      <c r="AL16" s="949"/>
      <c r="AM16" s="949"/>
      <c r="AN16" s="949"/>
      <c r="AO16" s="949"/>
      <c r="AP16" s="949"/>
      <c r="AQ16" s="949"/>
      <c r="AR16" s="949"/>
      <c r="AS16" s="949"/>
      <c r="AT16" s="949"/>
      <c r="AU16" s="949"/>
      <c r="AV16" s="949"/>
      <c r="AW16" s="949"/>
      <c r="AX16" s="949"/>
      <c r="AY16" s="949"/>
      <c r="AZ16" s="949"/>
      <c r="BA16" s="949"/>
      <c r="BB16" s="949"/>
      <c r="BC16" s="949"/>
      <c r="BD16" s="949"/>
      <c r="BE16" s="949"/>
      <c r="BF16" s="949"/>
      <c r="BG16" s="949"/>
      <c r="BH16" s="949"/>
      <c r="BI16" s="949"/>
      <c r="BJ16" s="949"/>
      <c r="BK16" s="949"/>
      <c r="BL16" s="949"/>
      <c r="BM16" s="949"/>
      <c r="BN16" s="949"/>
      <c r="BO16" s="949"/>
      <c r="BP16" s="949"/>
      <c r="BQ16" s="949"/>
      <c r="BR16" s="949"/>
      <c r="BS16" s="950"/>
      <c r="BT16" s="835" t="s">
        <v>562</v>
      </c>
      <c r="BU16" s="951"/>
      <c r="BV16" s="835" t="s">
        <v>562</v>
      </c>
      <c r="BW16" s="951"/>
      <c r="BX16" s="835" t="s">
        <v>562</v>
      </c>
      <c r="BY16" s="951"/>
      <c r="BZ16" s="835" t="s">
        <v>562</v>
      </c>
      <c r="CA16" s="951"/>
      <c r="CB16" s="835" t="s">
        <v>1113</v>
      </c>
      <c r="CC16" s="951"/>
      <c r="CD16" s="835" t="s">
        <v>562</v>
      </c>
      <c r="CE16" s="951"/>
      <c r="CF16" s="835" t="s">
        <v>1114</v>
      </c>
      <c r="CG16" s="951"/>
      <c r="CH16" s="835" t="s">
        <v>1115</v>
      </c>
      <c r="CI16" s="951"/>
      <c r="CJ16" s="835" t="s">
        <v>1115</v>
      </c>
      <c r="CK16" s="951"/>
      <c r="CL16" s="952"/>
      <c r="CM16" s="949"/>
      <c r="CN16" s="949"/>
      <c r="CO16" s="949"/>
      <c r="CP16" s="949"/>
      <c r="CQ16" s="949"/>
      <c r="CR16" s="949"/>
      <c r="CS16" s="949"/>
      <c r="CT16" s="949"/>
      <c r="CU16" s="949"/>
      <c r="CV16" s="949"/>
      <c r="CW16" s="949"/>
      <c r="CX16" s="950"/>
      <c r="CY16" s="669" t="s">
        <v>562</v>
      </c>
      <c r="CZ16" s="837"/>
      <c r="DA16" s="669" t="s">
        <v>562</v>
      </c>
      <c r="DB16" s="837"/>
      <c r="DC16" s="669" t="s">
        <v>562</v>
      </c>
      <c r="DD16" s="837"/>
      <c r="DE16" s="835" t="s">
        <v>1113</v>
      </c>
      <c r="DF16" s="951"/>
      <c r="DG16" s="835" t="s">
        <v>1116</v>
      </c>
      <c r="DH16" s="951"/>
      <c r="DI16" s="835" t="s">
        <v>1116</v>
      </c>
      <c r="DJ16" s="951"/>
      <c r="DK16" s="952"/>
      <c r="DL16" s="949"/>
      <c r="DM16" s="949"/>
      <c r="DN16" s="949"/>
      <c r="DO16" s="949"/>
      <c r="DP16" s="949"/>
      <c r="DQ16" s="949"/>
      <c r="DR16" s="949"/>
      <c r="DS16" s="949"/>
      <c r="DT16" s="949"/>
      <c r="DU16" s="949"/>
      <c r="DV16" s="949"/>
      <c r="DW16" s="949"/>
      <c r="DX16" s="949"/>
      <c r="DY16" s="949"/>
      <c r="DZ16" s="949"/>
      <c r="EA16" s="949"/>
      <c r="EB16" s="949"/>
      <c r="EC16" s="949"/>
      <c r="ED16" s="949"/>
      <c r="EE16" s="949"/>
      <c r="EF16" s="949"/>
      <c r="EG16" s="949"/>
      <c r="EH16" s="949"/>
      <c r="EI16" s="949"/>
      <c r="EJ16" s="949"/>
      <c r="EK16" s="949"/>
      <c r="EL16" s="949"/>
      <c r="EM16" s="949"/>
      <c r="EN16" s="949"/>
      <c r="EO16" s="949"/>
      <c r="EP16" s="949"/>
      <c r="EQ16" s="949"/>
      <c r="ER16" s="949"/>
      <c r="ES16" s="949"/>
      <c r="ET16" s="949"/>
      <c r="EU16" s="949"/>
      <c r="EV16" s="949"/>
      <c r="EW16" s="949"/>
      <c r="EX16" s="949"/>
      <c r="EY16" s="949"/>
      <c r="EZ16" s="949"/>
      <c r="FA16" s="949"/>
      <c r="FB16" s="949"/>
      <c r="FC16" s="949"/>
      <c r="FD16" s="949"/>
      <c r="FE16" s="949"/>
      <c r="FF16" s="949"/>
      <c r="FG16" s="949"/>
      <c r="FH16" s="949"/>
      <c r="FI16" s="949"/>
      <c r="FJ16" s="949"/>
      <c r="FK16" s="949"/>
      <c r="FL16" s="949"/>
      <c r="FM16" s="949"/>
      <c r="FN16" s="949"/>
      <c r="FO16" s="949"/>
      <c r="FP16" s="949"/>
      <c r="FQ16" s="949"/>
      <c r="FR16" s="949"/>
      <c r="FS16" s="949"/>
      <c r="FT16" s="949"/>
      <c r="FU16" s="949"/>
      <c r="FV16" s="949"/>
      <c r="FW16" s="944"/>
      <c r="FX16" s="60"/>
      <c r="GC16" s="921">
        <v>12</v>
      </c>
    </row>
    <row r="17" ht="15.75" customHeight="1">
      <c r="E17" s="947"/>
      <c r="F17" s="356"/>
      <c r="G17" s="356"/>
      <c r="H17" s="356"/>
      <c r="I17" s="356"/>
      <c r="J17" s="948"/>
      <c r="K17" s="948"/>
      <c r="L17" s="948"/>
      <c r="M17" s="948"/>
      <c r="N17" s="948"/>
      <c r="O17" s="358" t="s">
        <v>1117</v>
      </c>
      <c r="P17" s="358" t="s">
        <v>1118</v>
      </c>
      <c r="Q17" s="358" t="s">
        <v>1117</v>
      </c>
      <c r="R17" s="358" t="s">
        <v>1118</v>
      </c>
      <c r="S17" s="358" t="s">
        <v>1117</v>
      </c>
      <c r="T17" s="358" t="s">
        <v>1118</v>
      </c>
      <c r="U17" s="358" t="s">
        <v>1117</v>
      </c>
      <c r="V17" s="358" t="s">
        <v>1118</v>
      </c>
      <c r="W17" s="358" t="s">
        <v>1117</v>
      </c>
      <c r="X17" s="358" t="s">
        <v>1118</v>
      </c>
      <c r="Y17" s="358" t="s">
        <v>1117</v>
      </c>
      <c r="Z17" s="358" t="s">
        <v>1118</v>
      </c>
      <c r="AA17" s="358" t="s">
        <v>1117</v>
      </c>
      <c r="AB17" s="358" t="s">
        <v>1118</v>
      </c>
      <c r="AC17" s="949"/>
      <c r="AD17" s="949"/>
      <c r="AE17" s="949"/>
      <c r="AF17" s="949"/>
      <c r="AG17" s="949"/>
      <c r="AH17" s="949"/>
      <c r="AI17" s="949"/>
      <c r="AJ17" s="949"/>
      <c r="AK17" s="949"/>
      <c r="AL17" s="949"/>
      <c r="AM17" s="949"/>
      <c r="AN17" s="949"/>
      <c r="AO17" s="949"/>
      <c r="AP17" s="949"/>
      <c r="AQ17" s="949"/>
      <c r="AR17" s="949"/>
      <c r="AS17" s="949"/>
      <c r="AT17" s="949"/>
      <c r="AU17" s="949"/>
      <c r="AV17" s="949"/>
      <c r="AW17" s="949"/>
      <c r="AX17" s="949"/>
      <c r="AY17" s="949"/>
      <c r="AZ17" s="949"/>
      <c r="BA17" s="949"/>
      <c r="BB17" s="949"/>
      <c r="BC17" s="949"/>
      <c r="BD17" s="949"/>
      <c r="BE17" s="949"/>
      <c r="BF17" s="949"/>
      <c r="BG17" s="949"/>
      <c r="BH17" s="949"/>
      <c r="BI17" s="949"/>
      <c r="BJ17" s="949"/>
      <c r="BK17" s="949"/>
      <c r="BL17" s="949"/>
      <c r="BM17" s="949"/>
      <c r="BN17" s="949"/>
      <c r="BO17" s="949"/>
      <c r="BP17" s="949"/>
      <c r="BQ17" s="949"/>
      <c r="BR17" s="949"/>
      <c r="BS17" s="950"/>
      <c r="BT17" s="358" t="s">
        <v>1117</v>
      </c>
      <c r="BU17" s="358" t="s">
        <v>1118</v>
      </c>
      <c r="BV17" s="358" t="s">
        <v>1117</v>
      </c>
      <c r="BW17" s="358" t="s">
        <v>1118</v>
      </c>
      <c r="BX17" s="358" t="s">
        <v>1117</v>
      </c>
      <c r="BY17" s="358" t="s">
        <v>1118</v>
      </c>
      <c r="BZ17" s="358" t="s">
        <v>1117</v>
      </c>
      <c r="CA17" s="358" t="s">
        <v>1118</v>
      </c>
      <c r="CB17" s="358" t="s">
        <v>1117</v>
      </c>
      <c r="CC17" s="358" t="s">
        <v>1118</v>
      </c>
      <c r="CD17" s="358" t="s">
        <v>1117</v>
      </c>
      <c r="CE17" s="358" t="s">
        <v>1118</v>
      </c>
      <c r="CF17" s="358" t="s">
        <v>1117</v>
      </c>
      <c r="CG17" s="358" t="s">
        <v>1118</v>
      </c>
      <c r="CH17" s="358" t="s">
        <v>1117</v>
      </c>
      <c r="CI17" s="358" t="s">
        <v>1118</v>
      </c>
      <c r="CJ17" s="358" t="s">
        <v>1117</v>
      </c>
      <c r="CK17" s="358" t="s">
        <v>1118</v>
      </c>
      <c r="CL17" s="952"/>
      <c r="CM17" s="949"/>
      <c r="CN17" s="949"/>
      <c r="CO17" s="949"/>
      <c r="CP17" s="949"/>
      <c r="CQ17" s="949"/>
      <c r="CR17" s="949"/>
      <c r="CS17" s="949"/>
      <c r="CT17" s="949"/>
      <c r="CU17" s="949"/>
      <c r="CV17" s="949"/>
      <c r="CW17" s="949"/>
      <c r="CX17" s="950"/>
      <c r="CY17" s="358" t="s">
        <v>1117</v>
      </c>
      <c r="CZ17" s="358" t="s">
        <v>1118</v>
      </c>
      <c r="DA17" s="358" t="s">
        <v>1117</v>
      </c>
      <c r="DB17" s="358" t="s">
        <v>1118</v>
      </c>
      <c r="DC17" s="358" t="s">
        <v>1117</v>
      </c>
      <c r="DD17" s="358" t="s">
        <v>1118</v>
      </c>
      <c r="DE17" s="358" t="s">
        <v>1117</v>
      </c>
      <c r="DF17" s="358" t="s">
        <v>1118</v>
      </c>
      <c r="DG17" s="358" t="s">
        <v>1117</v>
      </c>
      <c r="DH17" s="358" t="s">
        <v>1118</v>
      </c>
      <c r="DI17" s="358" t="s">
        <v>1117</v>
      </c>
      <c r="DJ17" s="358" t="s">
        <v>1118</v>
      </c>
      <c r="DK17" s="952"/>
      <c r="DL17" s="949"/>
      <c r="DM17" s="949"/>
      <c r="DN17" s="949"/>
      <c r="DO17" s="949"/>
      <c r="DP17" s="949"/>
      <c r="DQ17" s="949"/>
      <c r="DR17" s="949"/>
      <c r="DS17" s="949"/>
      <c r="DT17" s="949"/>
      <c r="DU17" s="949"/>
      <c r="DV17" s="949"/>
      <c r="DW17" s="949"/>
      <c r="DX17" s="949"/>
      <c r="DY17" s="949"/>
      <c r="DZ17" s="949"/>
      <c r="EA17" s="949"/>
      <c r="EB17" s="949"/>
      <c r="EC17" s="949"/>
      <c r="ED17" s="949"/>
      <c r="EE17" s="949"/>
      <c r="EF17" s="949"/>
      <c r="EG17" s="949"/>
      <c r="EH17" s="949"/>
      <c r="EI17" s="949"/>
      <c r="EJ17" s="949"/>
      <c r="EK17" s="949"/>
      <c r="EL17" s="949"/>
      <c r="EM17" s="949"/>
      <c r="EN17" s="949"/>
      <c r="EO17" s="949"/>
      <c r="EP17" s="949"/>
      <c r="EQ17" s="949"/>
      <c r="ER17" s="949"/>
      <c r="ES17" s="949"/>
      <c r="ET17" s="949"/>
      <c r="EU17" s="949"/>
      <c r="EV17" s="949"/>
      <c r="EW17" s="949"/>
      <c r="EX17" s="949"/>
      <c r="EY17" s="949"/>
      <c r="EZ17" s="949"/>
      <c r="FA17" s="949"/>
      <c r="FB17" s="949"/>
      <c r="FC17" s="949"/>
      <c r="FD17" s="949"/>
      <c r="FE17" s="949"/>
      <c r="FF17" s="949"/>
      <c r="FG17" s="949"/>
      <c r="FH17" s="949"/>
      <c r="FI17" s="949"/>
      <c r="FJ17" s="949"/>
      <c r="FK17" s="949"/>
      <c r="FL17" s="949"/>
      <c r="FM17" s="949"/>
      <c r="FN17" s="949"/>
      <c r="FO17" s="949"/>
      <c r="FP17" s="949"/>
      <c r="FQ17" s="949"/>
      <c r="FR17" s="949"/>
      <c r="FS17" s="949"/>
      <c r="FT17" s="949"/>
      <c r="FU17" s="949"/>
      <c r="FV17" s="949"/>
      <c r="FW17" s="953"/>
      <c r="FX17" s="60"/>
      <c r="GC17" s="921">
        <v>15</v>
      </c>
    </row>
    <row r="18" s="923" customFormat="1" ht="12" hidden="1" customHeight="1">
      <c r="B18" s="924"/>
      <c r="E18" s="954"/>
      <c r="F18" s="955"/>
      <c r="G18" s="955"/>
      <c r="H18" s="955"/>
      <c r="I18" s="955"/>
      <c r="J18" s="956"/>
      <c r="K18" s="956"/>
      <c r="L18" s="956"/>
      <c r="M18" s="956"/>
      <c r="N18" s="956"/>
      <c r="O18" s="955"/>
      <c r="P18" s="955"/>
      <c r="Q18" s="955"/>
      <c r="R18" s="955"/>
      <c r="S18" s="955"/>
      <c r="T18" s="955"/>
      <c r="U18" s="957"/>
      <c r="V18" s="957"/>
      <c r="W18" s="957"/>
      <c r="X18" s="957"/>
      <c r="Y18" s="957"/>
      <c r="Z18" s="957"/>
      <c r="AA18" s="957"/>
      <c r="AB18" s="955"/>
      <c r="AC18" s="956"/>
      <c r="AD18" s="956"/>
      <c r="AE18" s="956"/>
      <c r="AF18" s="956"/>
      <c r="AG18" s="956"/>
      <c r="AH18" s="956"/>
      <c r="AI18" s="956"/>
      <c r="AJ18" s="956"/>
      <c r="AK18" s="956"/>
      <c r="AL18" s="956"/>
      <c r="AM18" s="956"/>
      <c r="AN18" s="956"/>
      <c r="AO18" s="956"/>
      <c r="AP18" s="956"/>
      <c r="AQ18" s="956"/>
      <c r="AR18" s="956"/>
      <c r="AS18" s="956"/>
      <c r="AT18" s="956"/>
      <c r="AU18" s="956"/>
      <c r="AV18" s="956"/>
      <c r="AW18" s="956"/>
      <c r="AX18" s="956"/>
      <c r="AY18" s="956"/>
      <c r="AZ18" s="956"/>
      <c r="BA18" s="956"/>
      <c r="BB18" s="956"/>
      <c r="BC18" s="956"/>
      <c r="BD18" s="956"/>
      <c r="BE18" s="956"/>
      <c r="BF18" s="956"/>
      <c r="BG18" s="956"/>
      <c r="BH18" s="956"/>
      <c r="BI18" s="956"/>
      <c r="BJ18" s="956"/>
      <c r="BK18" s="956"/>
      <c r="BL18" s="956"/>
      <c r="BM18" s="956"/>
      <c r="BN18" s="956"/>
      <c r="BO18" s="956"/>
      <c r="BP18" s="956"/>
      <c r="BQ18" s="956"/>
      <c r="BR18" s="956"/>
      <c r="BS18" s="956"/>
      <c r="BT18" s="958"/>
      <c r="BU18" s="958"/>
      <c r="BV18" s="958"/>
      <c r="BW18" s="958"/>
      <c r="BX18" s="958"/>
      <c r="BY18" s="958"/>
      <c r="BZ18" s="958"/>
      <c r="CA18" s="958"/>
      <c r="CB18" s="958"/>
      <c r="CC18" s="958"/>
      <c r="CD18" s="958"/>
      <c r="CE18" s="958"/>
      <c r="CF18" s="958"/>
      <c r="CG18" s="958"/>
      <c r="CH18" s="958"/>
      <c r="CI18" s="958"/>
      <c r="CJ18" s="958"/>
      <c r="CK18" s="958"/>
      <c r="CL18" s="956"/>
      <c r="CM18" s="956"/>
      <c r="CN18" s="956"/>
      <c r="CO18" s="956"/>
      <c r="CP18" s="956"/>
      <c r="CQ18" s="956"/>
      <c r="CR18" s="956"/>
      <c r="CS18" s="956"/>
      <c r="CT18" s="956"/>
      <c r="CU18" s="956"/>
      <c r="CV18" s="956"/>
      <c r="CW18" s="956"/>
      <c r="CX18" s="956"/>
      <c r="CY18" s="958"/>
      <c r="CZ18" s="958"/>
      <c r="DA18" s="958"/>
      <c r="DB18" s="958"/>
      <c r="DC18" s="958"/>
      <c r="DD18" s="958"/>
      <c r="DE18" s="958"/>
      <c r="DF18" s="958"/>
      <c r="DG18" s="958"/>
      <c r="DH18" s="958"/>
      <c r="DI18" s="958"/>
      <c r="DJ18" s="958"/>
      <c r="DK18" s="956"/>
      <c r="DL18" s="956"/>
      <c r="DM18" s="956"/>
      <c r="DN18" s="956"/>
      <c r="DO18" s="956"/>
      <c r="DP18" s="956"/>
      <c r="DQ18" s="956"/>
      <c r="DR18" s="956"/>
      <c r="DS18" s="956"/>
      <c r="DT18" s="956"/>
      <c r="DU18" s="956"/>
      <c r="DV18" s="956"/>
      <c r="DW18" s="956"/>
      <c r="DX18" s="956"/>
      <c r="DY18" s="956"/>
      <c r="DZ18" s="956"/>
      <c r="EA18" s="956"/>
      <c r="EB18" s="956"/>
      <c r="EC18" s="956"/>
      <c r="ED18" s="956"/>
      <c r="EE18" s="956"/>
      <c r="EF18" s="956"/>
      <c r="EG18" s="956"/>
      <c r="EH18" s="956"/>
      <c r="EI18" s="956"/>
      <c r="EJ18" s="956"/>
      <c r="EK18" s="956"/>
      <c r="EL18" s="956"/>
      <c r="EM18" s="956"/>
      <c r="EN18" s="956"/>
      <c r="EO18" s="956"/>
      <c r="EP18" s="956"/>
      <c r="EQ18" s="956"/>
      <c r="ER18" s="956"/>
      <c r="ES18" s="956"/>
      <c r="ET18" s="956"/>
      <c r="EU18" s="956"/>
      <c r="EV18" s="956"/>
      <c r="EW18" s="956"/>
      <c r="EX18" s="956"/>
      <c r="EY18" s="956"/>
      <c r="EZ18" s="956"/>
      <c r="FA18" s="956"/>
      <c r="FB18" s="956"/>
      <c r="FC18" s="956"/>
      <c r="FD18" s="956"/>
      <c r="FE18" s="956"/>
      <c r="FF18" s="956"/>
      <c r="FG18" s="956"/>
      <c r="FH18" s="956"/>
      <c r="FI18" s="956"/>
      <c r="FJ18" s="956"/>
      <c r="FK18" s="956"/>
      <c r="FL18" s="956"/>
      <c r="FM18" s="956"/>
      <c r="FN18" s="956"/>
      <c r="FO18" s="956"/>
      <c r="FP18" s="956"/>
      <c r="FQ18" s="956"/>
      <c r="FR18" s="956"/>
      <c r="FS18" s="956"/>
      <c r="FT18" s="956"/>
      <c r="FU18" s="956"/>
      <c r="FV18" s="956"/>
      <c r="FW18" s="955"/>
      <c r="FX18" s="959"/>
      <c r="GC18" s="923">
        <v>0</v>
      </c>
    </row>
    <row r="19" s="923" customFormat="1" ht="11.25" hidden="1" customHeight="1">
      <c r="B19" s="924"/>
      <c r="E19" s="954"/>
      <c r="F19" s="955"/>
      <c r="G19" s="955"/>
      <c r="H19" s="955"/>
      <c r="I19" s="955"/>
      <c r="J19" s="955"/>
      <c r="K19" s="955"/>
      <c r="L19" s="955"/>
      <c r="M19" s="955"/>
      <c r="N19" s="955"/>
      <c r="O19" s="955"/>
      <c r="P19" s="955"/>
      <c r="Q19" s="955"/>
      <c r="R19" s="955"/>
      <c r="S19" s="955"/>
      <c r="T19" s="955"/>
      <c r="U19" s="957"/>
      <c r="V19" s="957"/>
      <c r="W19" s="957"/>
      <c r="X19" s="957"/>
      <c r="Y19" s="957"/>
      <c r="Z19" s="957"/>
      <c r="AA19" s="957"/>
      <c r="AB19" s="955"/>
      <c r="AC19" s="955"/>
      <c r="AD19" s="955"/>
      <c r="AE19" s="955"/>
      <c r="AF19" s="955"/>
      <c r="AG19" s="955"/>
      <c r="AH19" s="955"/>
      <c r="AI19" s="955"/>
      <c r="AJ19" s="955"/>
      <c r="AK19" s="955"/>
      <c r="AL19" s="955"/>
      <c r="AM19" s="955"/>
      <c r="AN19" s="955"/>
      <c r="AO19" s="955"/>
      <c r="AP19" s="955"/>
      <c r="AQ19" s="955"/>
      <c r="AR19" s="955"/>
      <c r="AS19" s="955"/>
      <c r="AT19" s="955"/>
      <c r="AU19" s="955"/>
      <c r="AV19" s="955"/>
      <c r="AW19" s="955"/>
      <c r="AX19" s="955"/>
      <c r="AY19" s="955"/>
      <c r="AZ19" s="955"/>
      <c r="BA19" s="955"/>
      <c r="BB19" s="955"/>
      <c r="BC19" s="955"/>
      <c r="BD19" s="955"/>
      <c r="BE19" s="955"/>
      <c r="BF19" s="955"/>
      <c r="BG19" s="955"/>
      <c r="BH19" s="955"/>
      <c r="BI19" s="955"/>
      <c r="BJ19" s="955"/>
      <c r="BK19" s="955"/>
      <c r="BL19" s="955"/>
      <c r="BM19" s="955"/>
      <c r="BN19" s="955"/>
      <c r="BO19" s="955"/>
      <c r="BP19" s="955"/>
      <c r="BQ19" s="955"/>
      <c r="BR19" s="955"/>
      <c r="BS19" s="955"/>
      <c r="BT19" s="955"/>
      <c r="BU19" s="955"/>
      <c r="BV19" s="955"/>
      <c r="BW19" s="955"/>
      <c r="BX19" s="955"/>
      <c r="BY19" s="955"/>
      <c r="BZ19" s="955"/>
      <c r="CA19" s="955"/>
      <c r="CB19" s="955"/>
      <c r="CC19" s="955"/>
      <c r="CD19" s="955"/>
      <c r="CE19" s="955"/>
      <c r="CF19" s="955"/>
      <c r="CG19" s="955"/>
      <c r="CH19" s="955"/>
      <c r="CI19" s="955"/>
      <c r="CJ19" s="955"/>
      <c r="CK19" s="955"/>
      <c r="CL19" s="955"/>
      <c r="CM19" s="955"/>
      <c r="CN19" s="955"/>
      <c r="CO19" s="955"/>
      <c r="CP19" s="955"/>
      <c r="CQ19" s="955"/>
      <c r="CR19" s="955"/>
      <c r="CS19" s="955"/>
      <c r="CT19" s="955"/>
      <c r="CU19" s="955"/>
      <c r="CV19" s="955"/>
      <c r="CW19" s="955"/>
      <c r="CX19" s="955"/>
      <c r="CY19" s="955"/>
      <c r="CZ19" s="955"/>
      <c r="DA19" s="955"/>
      <c r="DB19" s="955"/>
      <c r="DC19" s="955"/>
      <c r="DD19" s="955"/>
      <c r="DE19" s="955"/>
      <c r="DF19" s="955"/>
      <c r="DG19" s="955"/>
      <c r="DH19" s="955"/>
      <c r="DI19" s="955"/>
      <c r="DJ19" s="955"/>
      <c r="DK19" s="955"/>
      <c r="DL19" s="955"/>
      <c r="DM19" s="955"/>
      <c r="DN19" s="955"/>
      <c r="DO19" s="955"/>
      <c r="DP19" s="955"/>
      <c r="DQ19" s="955"/>
      <c r="DR19" s="955"/>
      <c r="DS19" s="955"/>
      <c r="DT19" s="955"/>
      <c r="DU19" s="955"/>
      <c r="DV19" s="955"/>
      <c r="DW19" s="955"/>
      <c r="DX19" s="955"/>
      <c r="DY19" s="955"/>
      <c r="DZ19" s="955"/>
      <c r="EA19" s="955"/>
      <c r="EB19" s="955"/>
      <c r="EC19" s="955"/>
      <c r="ED19" s="955"/>
      <c r="EE19" s="955"/>
      <c r="EF19" s="955"/>
      <c r="EG19" s="955"/>
      <c r="EH19" s="955"/>
      <c r="EI19" s="955"/>
      <c r="EJ19" s="955"/>
      <c r="EK19" s="955"/>
      <c r="EL19" s="955"/>
      <c r="EM19" s="955"/>
      <c r="EN19" s="955"/>
      <c r="EO19" s="955"/>
      <c r="EP19" s="955"/>
      <c r="EQ19" s="955"/>
      <c r="ER19" s="955"/>
      <c r="ES19" s="955"/>
      <c r="ET19" s="955"/>
      <c r="EU19" s="955"/>
      <c r="EV19" s="955"/>
      <c r="EW19" s="955"/>
      <c r="EX19" s="955"/>
      <c r="EY19" s="955"/>
      <c r="EZ19" s="955"/>
      <c r="FA19" s="955"/>
      <c r="FB19" s="955"/>
      <c r="FC19" s="955"/>
      <c r="FD19" s="955"/>
      <c r="FE19" s="955"/>
      <c r="FF19" s="955"/>
      <c r="FG19" s="955"/>
      <c r="FH19" s="955"/>
      <c r="FI19" s="955"/>
      <c r="FJ19" s="955"/>
      <c r="FK19" s="955"/>
      <c r="FL19" s="955"/>
      <c r="FM19" s="955"/>
      <c r="FN19" s="955"/>
      <c r="FO19" s="955"/>
      <c r="FP19" s="955"/>
      <c r="FQ19" s="955"/>
      <c r="FR19" s="955"/>
      <c r="FS19" s="955"/>
      <c r="FT19" s="955"/>
      <c r="FU19" s="955"/>
      <c r="FV19" s="955"/>
      <c r="FW19" s="955"/>
      <c r="FX19" s="959"/>
      <c r="GC19" s="923">
        <v>0</v>
      </c>
    </row>
    <row r="20" s="923" customFormat="1" ht="11.25" hidden="1" customHeight="1">
      <c r="B20" s="924"/>
      <c r="D20" s="923"/>
      <c r="E20" s="954"/>
      <c r="F20" s="960" t="s">
        <v>381</v>
      </c>
      <c r="G20" s="338"/>
      <c r="H20" s="961"/>
      <c r="I20" s="961"/>
      <c r="J20" s="961"/>
      <c r="K20" s="961"/>
      <c r="L20" s="961"/>
      <c r="M20" s="961"/>
      <c r="N20" s="961"/>
      <c r="O20" s="338"/>
      <c r="P20" s="338"/>
      <c r="Q20" s="338"/>
      <c r="R20" s="338"/>
      <c r="S20" s="338"/>
      <c r="T20" s="338"/>
      <c r="U20" s="962"/>
      <c r="V20" s="962"/>
      <c r="W20" s="962"/>
      <c r="X20" s="962"/>
      <c r="Y20" s="962"/>
      <c r="Z20" s="962"/>
      <c r="AA20" s="962"/>
      <c r="AB20" s="338"/>
      <c r="AC20" s="961"/>
      <c r="AD20" s="961"/>
      <c r="AE20" s="961"/>
      <c r="AF20" s="961"/>
      <c r="AG20" s="961"/>
      <c r="AH20" s="961"/>
      <c r="AI20" s="961"/>
      <c r="AJ20" s="961"/>
      <c r="AK20" s="961"/>
      <c r="AL20" s="961"/>
      <c r="AM20" s="961"/>
      <c r="AN20" s="961"/>
      <c r="AO20" s="961"/>
      <c r="AP20" s="961"/>
      <c r="AQ20" s="961"/>
      <c r="AR20" s="961"/>
      <c r="AS20" s="961"/>
      <c r="AT20" s="961"/>
      <c r="AU20" s="961"/>
      <c r="AV20" s="961"/>
      <c r="AW20" s="961"/>
      <c r="AX20" s="961"/>
      <c r="AY20" s="961"/>
      <c r="AZ20" s="961"/>
      <c r="BA20" s="961"/>
      <c r="BB20" s="961"/>
      <c r="BC20" s="961"/>
      <c r="BD20" s="961"/>
      <c r="BE20" s="961"/>
      <c r="BF20" s="961"/>
      <c r="BG20" s="961"/>
      <c r="BH20" s="961"/>
      <c r="BI20" s="961"/>
      <c r="BJ20" s="961"/>
      <c r="BK20" s="961"/>
      <c r="BL20" s="961"/>
      <c r="BM20" s="961"/>
      <c r="BN20" s="961"/>
      <c r="BO20" s="961"/>
      <c r="BP20" s="961"/>
      <c r="BQ20" s="961"/>
      <c r="BR20" s="961"/>
      <c r="BS20" s="961"/>
      <c r="BT20" s="961"/>
      <c r="BU20" s="961"/>
      <c r="BV20" s="961"/>
      <c r="BW20" s="961"/>
      <c r="BX20" s="961"/>
      <c r="BY20" s="961"/>
      <c r="BZ20" s="961"/>
      <c r="CA20" s="961"/>
      <c r="CB20" s="961"/>
      <c r="CC20" s="961"/>
      <c r="CD20" s="961"/>
      <c r="CE20" s="961"/>
      <c r="CF20" s="961"/>
      <c r="CG20" s="961"/>
      <c r="CH20" s="961"/>
      <c r="CI20" s="961"/>
      <c r="CJ20" s="961"/>
      <c r="CK20" s="961"/>
      <c r="CL20" s="963"/>
      <c r="CM20" s="963"/>
      <c r="CN20" s="963"/>
      <c r="CO20" s="963"/>
      <c r="CP20" s="963"/>
      <c r="CQ20" s="963"/>
      <c r="CR20" s="963"/>
      <c r="CS20" s="963"/>
      <c r="CT20" s="963"/>
      <c r="CU20" s="963"/>
      <c r="CV20" s="963"/>
      <c r="CW20" s="963"/>
      <c r="CX20" s="963"/>
      <c r="CY20" s="963"/>
      <c r="CZ20" s="963"/>
      <c r="DA20" s="963"/>
      <c r="DB20" s="963"/>
      <c r="DC20" s="963"/>
      <c r="DD20" s="963"/>
      <c r="DE20" s="963"/>
      <c r="DF20" s="963"/>
      <c r="DG20" s="963"/>
      <c r="DH20" s="963"/>
      <c r="DI20" s="963"/>
      <c r="DJ20" s="963"/>
      <c r="DK20" s="963"/>
      <c r="DL20" s="963"/>
      <c r="DM20" s="963"/>
      <c r="DN20" s="963"/>
      <c r="DO20" s="963"/>
      <c r="DP20" s="963"/>
      <c r="DQ20" s="963"/>
      <c r="DR20" s="963"/>
      <c r="DS20" s="963"/>
      <c r="DT20" s="963"/>
      <c r="DU20" s="963"/>
      <c r="DV20" s="963"/>
      <c r="DW20" s="963"/>
      <c r="DX20" s="963"/>
      <c r="DY20" s="963"/>
      <c r="DZ20" s="963"/>
      <c r="EA20" s="963"/>
      <c r="EB20" s="963"/>
      <c r="EC20" s="963"/>
      <c r="ED20" s="963"/>
      <c r="EE20" s="963"/>
      <c r="EF20" s="963"/>
      <c r="EG20" s="963"/>
      <c r="EH20" s="963"/>
      <c r="EI20" s="963"/>
      <c r="EJ20" s="963"/>
      <c r="EK20" s="963"/>
      <c r="EL20" s="963"/>
      <c r="EM20" s="963"/>
      <c r="EN20" s="963"/>
      <c r="EO20" s="963"/>
      <c r="EP20" s="963"/>
      <c r="EQ20" s="963"/>
      <c r="ER20" s="963"/>
      <c r="ES20" s="963"/>
      <c r="ET20" s="963"/>
      <c r="EU20" s="963"/>
      <c r="EV20" s="963"/>
      <c r="EW20" s="963"/>
      <c r="EX20" s="963"/>
      <c r="EY20" s="963"/>
      <c r="EZ20" s="963"/>
      <c r="FA20" s="963"/>
      <c r="FB20" s="963"/>
      <c r="FC20" s="963"/>
      <c r="FD20" s="963"/>
      <c r="FE20" s="963"/>
      <c r="FF20" s="963"/>
      <c r="FG20" s="963"/>
      <c r="FH20" s="963"/>
      <c r="FI20" s="963"/>
      <c r="FJ20" s="963"/>
      <c r="FK20" s="963"/>
      <c r="FL20" s="963"/>
      <c r="FM20" s="963"/>
      <c r="FN20" s="963"/>
      <c r="FO20" s="963"/>
      <c r="FP20" s="963"/>
      <c r="FQ20" s="963"/>
      <c r="FR20" s="963"/>
      <c r="FS20" s="963"/>
      <c r="FT20" s="963"/>
      <c r="FU20" s="963"/>
      <c r="FV20" s="963"/>
      <c r="FW20" s="963"/>
      <c r="FX20" s="959"/>
      <c r="GC20" s="923">
        <v>0</v>
      </c>
    </row>
    <row r="21" s="923" customFormat="1" ht="12.75" customHeight="1">
      <c r="A21" s="925"/>
      <c r="B21" s="925"/>
      <c r="C21" s="925"/>
      <c r="D21" s="925"/>
      <c r="E21" s="925"/>
      <c r="F21" s="954"/>
      <c r="G21" s="954"/>
      <c r="H21" s="954"/>
      <c r="I21" s="954"/>
      <c r="J21" s="954"/>
      <c r="K21" s="954"/>
      <c r="L21" s="954"/>
      <c r="M21" s="954"/>
      <c r="N21" s="954"/>
      <c r="O21" s="954"/>
      <c r="P21" s="954"/>
      <c r="Q21" s="954"/>
      <c r="R21" s="954"/>
      <c r="S21" s="964"/>
      <c r="T21" s="964"/>
      <c r="U21" s="954"/>
      <c r="V21" s="954"/>
      <c r="W21" s="954"/>
      <c r="X21" s="954"/>
      <c r="Y21" s="954"/>
      <c r="Z21" s="954"/>
      <c r="AA21" s="954"/>
      <c r="AB21" s="954"/>
      <c r="AC21" s="954"/>
      <c r="AD21" s="954"/>
      <c r="AE21" s="954"/>
      <c r="AF21" s="954"/>
      <c r="AG21" s="954"/>
      <c r="AH21" s="954"/>
      <c r="AI21" s="954"/>
      <c r="AJ21" s="954"/>
      <c r="AK21" s="954"/>
      <c r="AL21" s="954"/>
      <c r="AM21" s="954"/>
      <c r="AN21" s="954"/>
      <c r="AO21" s="954"/>
      <c r="AP21" s="954"/>
      <c r="AQ21" s="954"/>
      <c r="AR21" s="954"/>
      <c r="AS21" s="954"/>
      <c r="AT21" s="954"/>
      <c r="AU21" s="954"/>
      <c r="AV21" s="954"/>
      <c r="AW21" s="954"/>
      <c r="AX21" s="954"/>
      <c r="AY21" s="954"/>
      <c r="AZ21" s="954"/>
      <c r="BA21" s="954"/>
      <c r="BB21" s="954"/>
      <c r="BC21" s="954"/>
      <c r="BD21" s="954"/>
      <c r="BE21" s="954"/>
      <c r="BF21" s="954"/>
      <c r="BG21" s="954"/>
      <c r="BH21" s="954"/>
      <c r="BI21" s="954"/>
      <c r="BJ21" s="954"/>
      <c r="BK21" s="954"/>
      <c r="BL21" s="954"/>
      <c r="BM21" s="954"/>
      <c r="BN21" s="954"/>
      <c r="BO21" s="954"/>
      <c r="BP21" s="954"/>
      <c r="BQ21" s="954"/>
      <c r="BR21" s="954"/>
      <c r="BS21" s="954"/>
      <c r="BT21" s="954"/>
      <c r="BU21" s="954"/>
      <c r="BV21" s="954"/>
      <c r="BW21" s="954"/>
      <c r="BX21" s="954"/>
      <c r="BY21" s="954"/>
      <c r="BZ21" s="954"/>
      <c r="CA21" s="954"/>
      <c r="CB21" s="954"/>
      <c r="CC21" s="954"/>
      <c r="CD21" s="954"/>
      <c r="CE21" s="954"/>
      <c r="CF21" s="954"/>
      <c r="CG21" s="954"/>
      <c r="CH21" s="954"/>
      <c r="CI21" s="954"/>
      <c r="CJ21" s="954"/>
      <c r="CK21" s="954"/>
      <c r="CL21" s="954"/>
      <c r="CM21" s="954"/>
      <c r="CN21" s="954"/>
      <c r="CO21" s="954"/>
      <c r="CP21" s="954"/>
      <c r="CQ21" s="954"/>
      <c r="CR21" s="954"/>
      <c r="CS21" s="954"/>
      <c r="CT21" s="954"/>
      <c r="CU21" s="954"/>
      <c r="CV21" s="954"/>
      <c r="CW21" s="954"/>
      <c r="CX21" s="954"/>
      <c r="CY21" s="954"/>
      <c r="CZ21" s="954"/>
      <c r="DA21" s="954"/>
      <c r="DB21" s="954"/>
      <c r="DC21" s="954"/>
      <c r="DD21" s="954"/>
      <c r="DE21" s="954"/>
      <c r="DF21" s="954"/>
      <c r="DG21" s="954"/>
      <c r="DH21" s="954"/>
      <c r="DI21" s="954"/>
      <c r="DJ21" s="954"/>
      <c r="DK21" s="954"/>
      <c r="DL21" s="954"/>
      <c r="DM21" s="954"/>
      <c r="DN21" s="954"/>
      <c r="DO21" s="954"/>
      <c r="DP21" s="954"/>
      <c r="DQ21" s="954"/>
      <c r="DR21" s="954"/>
      <c r="DS21" s="954"/>
      <c r="DT21" s="954"/>
      <c r="DU21" s="954"/>
      <c r="DV21" s="954"/>
      <c r="DW21" s="954"/>
      <c r="DX21" s="954"/>
      <c r="DY21" s="954"/>
      <c r="DZ21" s="954"/>
      <c r="EA21" s="954"/>
      <c r="EB21" s="954"/>
      <c r="EC21" s="954"/>
      <c r="ED21" s="954"/>
      <c r="EE21" s="954"/>
      <c r="EF21" s="954"/>
      <c r="EG21" s="954"/>
      <c r="EH21" s="954"/>
      <c r="EI21" s="954"/>
      <c r="EJ21" s="954"/>
      <c r="EK21" s="954"/>
      <c r="EL21" s="954"/>
      <c r="EM21" s="954"/>
      <c r="EN21" s="954"/>
      <c r="EO21" s="954"/>
      <c r="EP21" s="954"/>
      <c r="EQ21" s="954"/>
      <c r="ER21" s="954"/>
      <c r="ES21" s="954"/>
      <c r="ET21" s="954"/>
      <c r="EU21" s="954"/>
      <c r="EV21" s="954"/>
      <c r="EW21" s="954"/>
      <c r="EX21" s="954"/>
      <c r="EY21" s="954"/>
      <c r="EZ21" s="954"/>
      <c r="FA21" s="954"/>
      <c r="FB21" s="954"/>
      <c r="FC21" s="954"/>
      <c r="FD21" s="954"/>
      <c r="FE21" s="954"/>
      <c r="FF21" s="954"/>
      <c r="FG21" s="954"/>
      <c r="FH21" s="954"/>
      <c r="FI21" s="954"/>
      <c r="FJ21" s="954"/>
      <c r="FK21" s="954"/>
      <c r="FL21" s="954"/>
      <c r="FM21" s="954"/>
      <c r="FN21" s="954"/>
      <c r="FO21" s="954"/>
      <c r="FP21" s="954"/>
      <c r="FQ21" s="954"/>
      <c r="FR21" s="954"/>
      <c r="FS21" s="954"/>
      <c r="FT21" s="954"/>
      <c r="FU21" s="954"/>
      <c r="FV21" s="954"/>
      <c r="FW21" s="954"/>
      <c r="FX21" s="925"/>
      <c r="FY21" s="925"/>
      <c r="FZ21" s="925"/>
      <c r="GA21" s="925"/>
      <c r="GB21" s="925"/>
      <c r="GC21" s="923">
        <v>12</v>
      </c>
    </row>
    <row r="22" s="923" customFormat="1" ht="12.75" customHeight="1">
      <c r="A22" s="925"/>
      <c r="B22" s="925"/>
      <c r="C22" s="925"/>
      <c r="D22" s="925"/>
      <c r="E22" s="925"/>
      <c r="FX22" s="925"/>
      <c r="FY22" s="925"/>
      <c r="FZ22" s="925"/>
      <c r="GA22" s="925"/>
      <c r="GB22" s="925"/>
      <c r="GC22" s="923">
        <v>12</v>
      </c>
    </row>
    <row r="23" s="921" customFormat="1" ht="12.75" customHeight="1">
      <c r="A23" s="925"/>
      <c r="B23" s="925"/>
      <c r="C23" s="925"/>
      <c r="D23" s="925"/>
      <c r="E23" s="925"/>
      <c r="O23" s="180"/>
      <c r="P23" s="180"/>
      <c r="Q23" s="180"/>
      <c r="R23" s="180"/>
      <c r="S23" s="180"/>
      <c r="T23" s="180"/>
      <c r="U23" s="180"/>
      <c r="V23" s="180"/>
      <c r="W23" s="180"/>
      <c r="X23" s="180"/>
      <c r="Y23" s="180"/>
      <c r="Z23" s="180"/>
      <c r="AA23" s="180"/>
      <c r="AB23" s="180"/>
      <c r="AC23" s="180"/>
      <c r="AD23" s="180"/>
      <c r="AE23" s="180"/>
      <c r="AF23" s="180"/>
      <c r="AG23" s="180"/>
      <c r="AH23" s="180"/>
      <c r="AI23" s="180"/>
      <c r="AJ23" s="180"/>
      <c r="AK23" s="180"/>
      <c r="AL23" s="180"/>
      <c r="AM23" s="180"/>
      <c r="AN23" s="180"/>
      <c r="AO23" s="180"/>
      <c r="AP23" s="180"/>
      <c r="AQ23" s="180"/>
      <c r="AR23" s="180"/>
      <c r="AS23" s="180"/>
      <c r="AT23" s="180"/>
      <c r="AU23" s="180"/>
      <c r="AV23" s="180"/>
      <c r="AW23" s="180"/>
      <c r="AX23" s="180"/>
      <c r="AY23" s="180"/>
      <c r="AZ23" s="180"/>
      <c r="BA23" s="180"/>
      <c r="BB23" s="180"/>
      <c r="BC23" s="180"/>
      <c r="BD23" s="180"/>
      <c r="BE23" s="180"/>
      <c r="BF23" s="180"/>
      <c r="BG23" s="180"/>
      <c r="BH23" s="180"/>
      <c r="BI23" s="180"/>
      <c r="BJ23" s="180"/>
      <c r="BK23" s="180"/>
      <c r="BL23" s="180"/>
      <c r="BM23" s="180"/>
      <c r="BN23" s="180"/>
      <c r="BO23" s="180"/>
      <c r="BP23" s="180"/>
      <c r="BQ23" s="180"/>
      <c r="BR23" s="180"/>
      <c r="BS23" s="180"/>
      <c r="BT23" s="965"/>
      <c r="BU23" s="965"/>
      <c r="BV23" s="965"/>
      <c r="BW23" s="965"/>
      <c r="BX23" s="965"/>
      <c r="BY23" s="965"/>
      <c r="BZ23" s="965"/>
      <c r="CA23" s="965"/>
      <c r="CB23" s="965"/>
      <c r="CC23" s="965"/>
      <c r="CD23" s="965"/>
      <c r="CE23" s="965"/>
      <c r="CF23" s="965"/>
      <c r="CG23" s="965"/>
      <c r="CH23" s="965"/>
      <c r="CI23" s="965"/>
      <c r="CJ23" s="965"/>
      <c r="CK23" s="965"/>
      <c r="CL23" s="965"/>
      <c r="CM23" s="965"/>
      <c r="CN23" s="965"/>
      <c r="CO23" s="965"/>
      <c r="CP23" s="965"/>
      <c r="CQ23" s="965"/>
      <c r="CR23" s="965"/>
      <c r="CS23" s="965"/>
      <c r="CT23" s="965"/>
      <c r="CU23" s="965"/>
      <c r="CV23" s="965"/>
      <c r="CW23" s="965"/>
      <c r="CX23" s="965"/>
      <c r="CY23" s="965"/>
      <c r="CZ23" s="965"/>
      <c r="DA23" s="965"/>
      <c r="DB23" s="965"/>
      <c r="DC23" s="965"/>
      <c r="DD23" s="965"/>
      <c r="DE23" s="965"/>
      <c r="DF23" s="965"/>
      <c r="DG23" s="965"/>
      <c r="DH23" s="965"/>
      <c r="DI23" s="965"/>
      <c r="DJ23" s="965"/>
      <c r="DK23" s="965"/>
      <c r="DL23" s="965"/>
      <c r="DM23" s="965"/>
      <c r="DN23" s="965"/>
      <c r="DO23" s="965"/>
      <c r="DP23" s="965"/>
      <c r="DQ23" s="965"/>
      <c r="DR23" s="965"/>
      <c r="DS23" s="965"/>
      <c r="DT23" s="965"/>
      <c r="DU23" s="965"/>
      <c r="DV23" s="965"/>
      <c r="DW23" s="965"/>
      <c r="DX23" s="965"/>
      <c r="FX23" s="925"/>
      <c r="FY23" s="925"/>
      <c r="FZ23" s="925"/>
      <c r="GA23" s="925"/>
      <c r="GB23" s="925"/>
      <c r="GC23" s="921">
        <v>12</v>
      </c>
    </row>
    <row r="24" ht="12.75" customHeight="1">
      <c r="S24" s="925"/>
      <c r="T24" s="925"/>
      <c r="U24" s="925"/>
      <c r="V24" s="925"/>
      <c r="W24" s="925"/>
      <c r="X24" s="925"/>
      <c r="Y24" s="925"/>
      <c r="Z24" s="925"/>
      <c r="AA24" s="925"/>
      <c r="AB24" s="925"/>
      <c r="FX24" s="925"/>
      <c r="FY24" s="925"/>
      <c r="FZ24" s="925"/>
      <c r="GA24" s="925"/>
      <c r="GB24" s="925"/>
      <c r="GC24" s="921">
        <v>12</v>
      </c>
    </row>
    <row r="25" ht="12" hidden="1" customHeight="1">
      <c r="A25" s="921" t="s">
        <v>83</v>
      </c>
      <c r="B25" s="922">
        <v>0</v>
      </c>
      <c r="C25" s="921">
        <v>0</v>
      </c>
      <c r="D25" s="921">
        <v>0</v>
      </c>
      <c r="E25" s="921">
        <v>3</v>
      </c>
      <c r="F25" s="921">
        <v>6</v>
      </c>
      <c r="G25" s="921">
        <v>18</v>
      </c>
      <c r="H25" s="921">
        <v>27</v>
      </c>
      <c r="I25" s="921">
        <v>18</v>
      </c>
      <c r="J25" s="921">
        <v>0</v>
      </c>
      <c r="K25" s="921">
        <v>0</v>
      </c>
      <c r="L25" s="921">
        <v>0</v>
      </c>
      <c r="M25" s="921">
        <v>0</v>
      </c>
      <c r="N25" s="921">
        <v>0</v>
      </c>
      <c r="O25" s="921">
        <v>0</v>
      </c>
      <c r="P25" s="921">
        <v>0</v>
      </c>
      <c r="Q25" s="921">
        <v>0</v>
      </c>
      <c r="R25" s="921">
        <v>0</v>
      </c>
      <c r="S25" s="921">
        <v>0</v>
      </c>
      <c r="T25" s="921">
        <v>0</v>
      </c>
      <c r="U25" s="921">
        <v>0</v>
      </c>
      <c r="V25" s="921">
        <v>0</v>
      </c>
      <c r="W25" s="921">
        <v>0</v>
      </c>
      <c r="X25" s="921">
        <v>0</v>
      </c>
      <c r="Y25" s="921">
        <v>0</v>
      </c>
      <c r="Z25" s="921">
        <v>0</v>
      </c>
      <c r="AA25" s="921">
        <v>0</v>
      </c>
      <c r="AB25" s="921">
        <v>0</v>
      </c>
      <c r="AC25" s="921">
        <v>0</v>
      </c>
      <c r="AD25" s="921">
        <v>0</v>
      </c>
      <c r="AE25" s="921">
        <v>0</v>
      </c>
      <c r="AF25" s="921">
        <v>0</v>
      </c>
      <c r="AG25" s="921">
        <v>0</v>
      </c>
      <c r="AH25" s="921">
        <v>0</v>
      </c>
      <c r="AI25" s="921">
        <v>0</v>
      </c>
      <c r="AJ25" s="921">
        <v>0</v>
      </c>
      <c r="AK25" s="921">
        <v>0</v>
      </c>
      <c r="AL25" s="921">
        <v>0</v>
      </c>
      <c r="AM25" s="921">
        <v>0</v>
      </c>
      <c r="AN25" s="921">
        <v>0</v>
      </c>
      <c r="AO25" s="921">
        <v>0</v>
      </c>
      <c r="AP25" s="921">
        <v>0</v>
      </c>
      <c r="AQ25" s="921">
        <v>0</v>
      </c>
      <c r="AR25" s="921">
        <v>0</v>
      </c>
      <c r="AS25" s="921">
        <v>0</v>
      </c>
      <c r="AT25" s="921">
        <v>0</v>
      </c>
      <c r="AU25" s="921">
        <v>0</v>
      </c>
      <c r="AV25" s="921">
        <v>0</v>
      </c>
      <c r="AW25" s="921">
        <v>0</v>
      </c>
      <c r="AX25" s="921">
        <v>0</v>
      </c>
      <c r="AY25" s="921">
        <v>0</v>
      </c>
      <c r="AZ25" s="921">
        <v>0</v>
      </c>
      <c r="BA25" s="921">
        <v>0</v>
      </c>
      <c r="BB25" s="921">
        <v>0</v>
      </c>
      <c r="BC25" s="921">
        <v>0</v>
      </c>
      <c r="BD25" s="921">
        <v>0</v>
      </c>
      <c r="BE25" s="921">
        <v>0</v>
      </c>
      <c r="BF25" s="921">
        <v>0</v>
      </c>
      <c r="BG25" s="921">
        <v>0</v>
      </c>
      <c r="BH25" s="921">
        <v>0</v>
      </c>
      <c r="BI25" s="921">
        <v>0</v>
      </c>
      <c r="BJ25" s="921">
        <v>0</v>
      </c>
      <c r="BK25" s="921">
        <v>0</v>
      </c>
      <c r="BL25" s="921">
        <v>0</v>
      </c>
      <c r="BM25" s="921">
        <v>0</v>
      </c>
      <c r="BN25" s="921">
        <v>0</v>
      </c>
      <c r="BO25" s="921">
        <v>0</v>
      </c>
      <c r="BP25" s="921">
        <v>0</v>
      </c>
      <c r="BQ25" s="921">
        <v>0</v>
      </c>
      <c r="BR25" s="921">
        <v>0</v>
      </c>
      <c r="BS25" s="921">
        <v>0</v>
      </c>
      <c r="BT25" s="921">
        <v>0</v>
      </c>
      <c r="BU25" s="921">
        <v>0</v>
      </c>
      <c r="BV25" s="921">
        <v>0</v>
      </c>
      <c r="BW25" s="921">
        <v>0</v>
      </c>
      <c r="BX25" s="921">
        <v>0</v>
      </c>
      <c r="BY25" s="921">
        <v>0</v>
      </c>
      <c r="BZ25" s="921">
        <v>0</v>
      </c>
      <c r="CA25" s="921">
        <v>0</v>
      </c>
      <c r="CB25" s="921">
        <v>0</v>
      </c>
      <c r="CC25" s="921">
        <v>0</v>
      </c>
      <c r="CD25" s="921">
        <v>0</v>
      </c>
      <c r="CE25" s="921">
        <v>0</v>
      </c>
      <c r="CF25" s="921">
        <v>0</v>
      </c>
      <c r="CG25" s="921">
        <v>0</v>
      </c>
      <c r="CH25" s="921">
        <v>0</v>
      </c>
      <c r="CI25" s="921">
        <v>0</v>
      </c>
      <c r="CJ25" s="921">
        <v>0</v>
      </c>
      <c r="CK25" s="921">
        <v>0</v>
      </c>
      <c r="CL25" s="921">
        <v>0</v>
      </c>
      <c r="CM25" s="921">
        <v>0</v>
      </c>
      <c r="CN25" s="921">
        <v>0</v>
      </c>
      <c r="CO25" s="921">
        <v>0</v>
      </c>
      <c r="CP25" s="921">
        <v>0</v>
      </c>
      <c r="CQ25" s="921">
        <v>0</v>
      </c>
      <c r="CR25" s="921">
        <v>0</v>
      </c>
      <c r="CS25" s="921">
        <v>0</v>
      </c>
      <c r="CT25" s="921">
        <v>0</v>
      </c>
      <c r="CU25" s="921">
        <v>0</v>
      </c>
      <c r="CV25" s="921">
        <v>0</v>
      </c>
      <c r="CW25" s="921">
        <v>0</v>
      </c>
      <c r="CX25" s="921">
        <v>0</v>
      </c>
      <c r="CY25" s="921">
        <v>0</v>
      </c>
      <c r="CZ25" s="921">
        <v>0</v>
      </c>
      <c r="DA25" s="921">
        <v>0</v>
      </c>
      <c r="DB25" s="921">
        <v>0</v>
      </c>
      <c r="DC25" s="921">
        <v>0</v>
      </c>
      <c r="DD25" s="921">
        <v>0</v>
      </c>
      <c r="DE25" s="921">
        <v>0</v>
      </c>
      <c r="DF25" s="921">
        <v>0</v>
      </c>
      <c r="DG25" s="921">
        <v>0</v>
      </c>
      <c r="DH25" s="921">
        <v>0</v>
      </c>
      <c r="DI25" s="921">
        <v>0</v>
      </c>
      <c r="DJ25" s="921">
        <v>0</v>
      </c>
      <c r="DK25" s="921">
        <v>0</v>
      </c>
      <c r="DL25" s="921">
        <v>0</v>
      </c>
      <c r="DM25" s="921">
        <v>0</v>
      </c>
      <c r="DN25" s="921">
        <v>0</v>
      </c>
      <c r="DO25" s="921">
        <v>0</v>
      </c>
      <c r="DP25" s="921">
        <v>0</v>
      </c>
      <c r="DQ25" s="921">
        <v>0</v>
      </c>
      <c r="DR25" s="921">
        <v>0</v>
      </c>
      <c r="DS25" s="921">
        <v>0</v>
      </c>
      <c r="DT25" s="921">
        <v>0</v>
      </c>
      <c r="DU25" s="921">
        <v>0</v>
      </c>
      <c r="DV25" s="921">
        <v>0</v>
      </c>
      <c r="DW25" s="921">
        <v>0</v>
      </c>
      <c r="DX25" s="921">
        <v>0</v>
      </c>
      <c r="DY25" s="921">
        <v>0</v>
      </c>
      <c r="DZ25" s="921">
        <v>0</v>
      </c>
      <c r="EA25" s="921">
        <v>0</v>
      </c>
      <c r="EB25" s="921">
        <v>0</v>
      </c>
      <c r="EC25" s="921">
        <v>0</v>
      </c>
      <c r="ED25" s="921">
        <v>0</v>
      </c>
      <c r="EE25" s="921">
        <v>0</v>
      </c>
      <c r="EF25" s="921">
        <v>0</v>
      </c>
      <c r="EG25" s="921">
        <v>0</v>
      </c>
      <c r="EH25" s="921">
        <v>0</v>
      </c>
      <c r="EI25" s="921">
        <v>0</v>
      </c>
      <c r="EJ25" s="921">
        <v>0</v>
      </c>
      <c r="EK25" s="921">
        <v>0</v>
      </c>
      <c r="EL25" s="921">
        <v>0</v>
      </c>
      <c r="EM25" s="921">
        <v>0</v>
      </c>
      <c r="EN25" s="921">
        <v>0</v>
      </c>
      <c r="EO25" s="921">
        <v>0</v>
      </c>
      <c r="EP25" s="921">
        <v>0</v>
      </c>
      <c r="EQ25" s="921">
        <v>0</v>
      </c>
      <c r="ER25" s="921">
        <v>0</v>
      </c>
      <c r="ES25" s="921">
        <v>0</v>
      </c>
      <c r="ET25" s="921">
        <v>0</v>
      </c>
      <c r="EU25" s="921">
        <v>0</v>
      </c>
      <c r="EV25" s="921">
        <v>0</v>
      </c>
      <c r="EW25" s="921">
        <v>0</v>
      </c>
      <c r="EX25" s="921">
        <v>0</v>
      </c>
      <c r="EY25" s="921">
        <v>0</v>
      </c>
      <c r="EZ25" s="921">
        <v>0</v>
      </c>
      <c r="FA25" s="921">
        <v>0</v>
      </c>
      <c r="FB25" s="921">
        <v>0</v>
      </c>
      <c r="FC25" s="921">
        <v>0</v>
      </c>
      <c r="FD25" s="921">
        <v>0</v>
      </c>
      <c r="FE25" s="921">
        <v>0</v>
      </c>
      <c r="FF25" s="921">
        <v>0</v>
      </c>
      <c r="FG25" s="921">
        <v>0</v>
      </c>
      <c r="FH25" s="921">
        <v>0</v>
      </c>
      <c r="FI25" s="921">
        <v>0</v>
      </c>
      <c r="FJ25" s="921">
        <v>0</v>
      </c>
      <c r="FK25" s="921">
        <v>0</v>
      </c>
      <c r="FL25" s="921">
        <v>0</v>
      </c>
      <c r="FM25" s="921">
        <v>0</v>
      </c>
      <c r="FN25" s="921">
        <v>0</v>
      </c>
      <c r="FO25" s="921">
        <v>0</v>
      </c>
      <c r="FP25" s="921">
        <v>0</v>
      </c>
      <c r="FQ25" s="921">
        <v>0</v>
      </c>
      <c r="FR25" s="921">
        <v>0</v>
      </c>
      <c r="FS25" s="921">
        <v>0</v>
      </c>
      <c r="FT25" s="921">
        <v>0</v>
      </c>
      <c r="FU25" s="921">
        <v>0</v>
      </c>
      <c r="FV25" s="921">
        <v>0</v>
      </c>
      <c r="FW25" s="921">
        <v>0</v>
      </c>
      <c r="FX25" s="921">
        <v>8</v>
      </c>
      <c r="FY25" s="921">
        <v>8</v>
      </c>
      <c r="FZ25" s="921">
        <v>8</v>
      </c>
      <c r="GA25" s="921">
        <v>8</v>
      </c>
      <c r="GB25" s="921">
        <v>8</v>
      </c>
      <c r="GC25" s="921">
        <v>12</v>
      </c>
    </row>
  </sheetData>
  <sheetProtection autoFilter="0" deleteColumns="1" deleteRows="1" formatCells="1" formatColumns="0" formatRows="0" insertColumns="1" insertHyperlinks="1" insertRows="1" objects="0" pivotTables="1" scenarios="0" selectLockedCells="0" selectUnlockedCells="0" sheet="1" sort="1"/>
  <mergeCells count="198">
    <mergeCell ref="F5:BS5"/>
    <mergeCell ref="F6:BS6"/>
    <mergeCell ref="O8:BS8"/>
    <mergeCell ref="BT8:CX8"/>
    <mergeCell ref="CY8:DX8"/>
    <mergeCell ref="DY8:FV8"/>
    <mergeCell ref="FW8:FW17"/>
    <mergeCell ref="F10:FV10"/>
    <mergeCell ref="F11:F17"/>
    <mergeCell ref="G11:G17"/>
    <mergeCell ref="H11:H17"/>
    <mergeCell ref="I11:I17"/>
    <mergeCell ref="J11:J17"/>
    <mergeCell ref="K11:K17"/>
    <mergeCell ref="L11:L17"/>
    <mergeCell ref="M11:M17"/>
    <mergeCell ref="N11:N17"/>
    <mergeCell ref="O11:AB11"/>
    <mergeCell ref="AC11:AC17"/>
    <mergeCell ref="AD11:AD17"/>
    <mergeCell ref="AE11:AE17"/>
    <mergeCell ref="AF11:AF17"/>
    <mergeCell ref="AG11:AG17"/>
    <mergeCell ref="AH11:AH17"/>
    <mergeCell ref="AI11:AI17"/>
    <mergeCell ref="AJ11:AJ17"/>
    <mergeCell ref="AK11:AK17"/>
    <mergeCell ref="AL11:AL17"/>
    <mergeCell ref="AM11:AM17"/>
    <mergeCell ref="AN11:AN17"/>
    <mergeCell ref="AO11:AO17"/>
    <mergeCell ref="AP11:AP17"/>
    <mergeCell ref="AQ11:AQ17"/>
    <mergeCell ref="AR11:AR17"/>
    <mergeCell ref="AS11:AS17"/>
    <mergeCell ref="AT11:AT17"/>
    <mergeCell ref="AU11:AU17"/>
    <mergeCell ref="AV11:AV17"/>
    <mergeCell ref="AW11:AW17"/>
    <mergeCell ref="AX11:AX17"/>
    <mergeCell ref="AY11:AY17"/>
    <mergeCell ref="AZ11:AZ17"/>
    <mergeCell ref="BA11:BA17"/>
    <mergeCell ref="BB11:BB17"/>
    <mergeCell ref="BC11:BC17"/>
    <mergeCell ref="BD11:BD17"/>
    <mergeCell ref="BE11:BE17"/>
    <mergeCell ref="BF11:BF17"/>
    <mergeCell ref="BG11:BG17"/>
    <mergeCell ref="BH11:BH17"/>
    <mergeCell ref="BI11:BI17"/>
    <mergeCell ref="BJ11:BJ17"/>
    <mergeCell ref="BK11:BK17"/>
    <mergeCell ref="BL11:BL17"/>
    <mergeCell ref="BM11:BM17"/>
    <mergeCell ref="BN11:BN17"/>
    <mergeCell ref="BO11:BO17"/>
    <mergeCell ref="BP11:BP17"/>
    <mergeCell ref="BQ11:BQ17"/>
    <mergeCell ref="BR11:BR17"/>
    <mergeCell ref="BS11:BS17"/>
    <mergeCell ref="BT11:CK11"/>
    <mergeCell ref="CL11:CL17"/>
    <mergeCell ref="CM11:CM17"/>
    <mergeCell ref="CN11:CN17"/>
    <mergeCell ref="CO11:CO17"/>
    <mergeCell ref="CP11:CP17"/>
    <mergeCell ref="CQ11:CQ17"/>
    <mergeCell ref="CR11:CR17"/>
    <mergeCell ref="CS11:CS17"/>
    <mergeCell ref="CT11:CT17"/>
    <mergeCell ref="CU11:CU17"/>
    <mergeCell ref="CV11:CV17"/>
    <mergeCell ref="CW11:CW17"/>
    <mergeCell ref="CX11:CX17"/>
    <mergeCell ref="CY11:DJ11"/>
    <mergeCell ref="DK11:DK17"/>
    <mergeCell ref="DL11:DL17"/>
    <mergeCell ref="DM11:DM17"/>
    <mergeCell ref="DN11:DN17"/>
    <mergeCell ref="DO11:DO17"/>
    <mergeCell ref="DP11:DP17"/>
    <mergeCell ref="DQ11:DQ17"/>
    <mergeCell ref="DR11:DR17"/>
    <mergeCell ref="DS11:DS17"/>
    <mergeCell ref="DT11:DT17"/>
    <mergeCell ref="DU11:DU17"/>
    <mergeCell ref="DV11:DV17"/>
    <mergeCell ref="DW11:DW17"/>
    <mergeCell ref="DX11:DX17"/>
    <mergeCell ref="DY11:DY17"/>
    <mergeCell ref="DZ11:DZ17"/>
    <mergeCell ref="EA11:EA17"/>
    <mergeCell ref="EB11:EB17"/>
    <mergeCell ref="EC11:EC17"/>
    <mergeCell ref="ED11:ED17"/>
    <mergeCell ref="EE11:EE17"/>
    <mergeCell ref="EF11:EF17"/>
    <mergeCell ref="EG11:EG17"/>
    <mergeCell ref="EH11:EH17"/>
    <mergeCell ref="EI11:EI17"/>
    <mergeCell ref="EJ11:EJ17"/>
    <mergeCell ref="EK11:EK17"/>
    <mergeCell ref="EL11:EL17"/>
    <mergeCell ref="EM11:EM17"/>
    <mergeCell ref="EN11:EN17"/>
    <mergeCell ref="EO11:EO17"/>
    <mergeCell ref="EP11:EP17"/>
    <mergeCell ref="EQ11:EQ17"/>
    <mergeCell ref="ER11:ER17"/>
    <mergeCell ref="ES11:ES17"/>
    <mergeCell ref="ET11:ET17"/>
    <mergeCell ref="EU11:EU17"/>
    <mergeCell ref="EV11:EV17"/>
    <mergeCell ref="EW11:EW17"/>
    <mergeCell ref="EX11:EX17"/>
    <mergeCell ref="EY11:EY17"/>
    <mergeCell ref="EZ11:EZ17"/>
    <mergeCell ref="FA11:FA17"/>
    <mergeCell ref="FB11:FB17"/>
    <mergeCell ref="FC11:FC17"/>
    <mergeCell ref="FD11:FD17"/>
    <mergeCell ref="FE11:FE17"/>
    <mergeCell ref="FF11:FF17"/>
    <mergeCell ref="FG11:FG17"/>
    <mergeCell ref="FH11:FH17"/>
    <mergeCell ref="FI11:FI17"/>
    <mergeCell ref="FJ11:FJ17"/>
    <mergeCell ref="FK11:FK17"/>
    <mergeCell ref="FL11:FL17"/>
    <mergeCell ref="FM11:FM17"/>
    <mergeCell ref="FN11:FN17"/>
    <mergeCell ref="FO11:FO17"/>
    <mergeCell ref="FP11:FP17"/>
    <mergeCell ref="FQ11:FQ17"/>
    <mergeCell ref="FR11:FR17"/>
    <mergeCell ref="FS11:FS17"/>
    <mergeCell ref="FT11:FT17"/>
    <mergeCell ref="FU11:FU17"/>
    <mergeCell ref="FV11:FV17"/>
    <mergeCell ref="O12:R12"/>
    <mergeCell ref="S12:AB12"/>
    <mergeCell ref="BT12:BW12"/>
    <mergeCell ref="BX12:CA12"/>
    <mergeCell ref="CB12:CC12"/>
    <mergeCell ref="CD12:CK12"/>
    <mergeCell ref="CY12:DD12"/>
    <mergeCell ref="DE12:DF12"/>
    <mergeCell ref="DG12:DJ12"/>
    <mergeCell ref="O13:R13"/>
    <mergeCell ref="S13:T15"/>
    <mergeCell ref="U13:X13"/>
    <mergeCell ref="Y13:AB13"/>
    <mergeCell ref="BT13:BU15"/>
    <mergeCell ref="BV13:BW15"/>
    <mergeCell ref="BX13:BY15"/>
    <mergeCell ref="BZ13:CA15"/>
    <mergeCell ref="CB13:CC15"/>
    <mergeCell ref="CD13:CE15"/>
    <mergeCell ref="CF13:CG15"/>
    <mergeCell ref="CH13:CK13"/>
    <mergeCell ref="CY13:CZ15"/>
    <mergeCell ref="DA13:DB15"/>
    <mergeCell ref="DC13:DD15"/>
    <mergeCell ref="DE13:DF15"/>
    <mergeCell ref="DG13:DJ13"/>
    <mergeCell ref="O14:P15"/>
    <mergeCell ref="Q14:R15"/>
    <mergeCell ref="U14:V15"/>
    <mergeCell ref="W14:X15"/>
    <mergeCell ref="Y14:Z15"/>
    <mergeCell ref="AA14:AB15"/>
    <mergeCell ref="CH14:CI15"/>
    <mergeCell ref="CJ14:CK15"/>
    <mergeCell ref="DG14:DH15"/>
    <mergeCell ref="DI14:DJ15"/>
    <mergeCell ref="O16:P16"/>
    <mergeCell ref="Q16:R16"/>
    <mergeCell ref="S16:T16"/>
    <mergeCell ref="U16:V16"/>
    <mergeCell ref="W16:X16"/>
    <mergeCell ref="Y16:Z16"/>
    <mergeCell ref="AA16:AB16"/>
    <mergeCell ref="BT16:BU16"/>
    <mergeCell ref="BV16:BW16"/>
    <mergeCell ref="BX16:BY16"/>
    <mergeCell ref="BZ16:CA16"/>
    <mergeCell ref="CB16:CC16"/>
    <mergeCell ref="CD16:CE16"/>
    <mergeCell ref="CF16:CG16"/>
    <mergeCell ref="CH16:CI16"/>
    <mergeCell ref="CJ16:CK16"/>
    <mergeCell ref="CY16:CZ16"/>
    <mergeCell ref="DA16:DB16"/>
    <mergeCell ref="DC16:DD16"/>
    <mergeCell ref="DE16:DF16"/>
    <mergeCell ref="DG16:DH16"/>
    <mergeCell ref="DI16:DJ16"/>
  </mergeCells>
  <dataValidations count="1" disablePrompts="0">
    <dataValidation sqref="AA14:AB16 U16:Z16" type="none" allowBlank="1" errorStyle="stop" imeMode="noControl" operator="between"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2" tint="-0.10000000000000001"/>
    <outlinePr applyStyles="0" summaryBelow="1" summaryRight="1" showOutlineSymbols="1"/>
    <pageSetUpPr autoPageBreaks="1" fitToPage="0"/>
  </sheetPr>
  <sheetViews>
    <sheetView showGridLines="0" zoomScale="90" workbookViewId="0">
      <pane xSplit="7" ySplit="14" topLeftCell="H15" activePane="bottomRight" state="frozen"/>
      <selection activeCell="A1" activeCellId="0" sqref="A1"/>
    </sheetView>
  </sheetViews>
  <sheetFormatPr defaultColWidth="10.57421875" defaultRowHeight="15" customHeight="1"/>
  <cols>
    <col customWidth="1" hidden="1" min="1" max="1" style="56" width="9.140625"/>
    <col customWidth="1" hidden="1" min="2" max="2" style="50" width="9.140625"/>
    <col customWidth="1" min="3" max="3" style="149" width="4.00390625"/>
    <col customWidth="1" min="4" max="4" style="50" width="6.00390625"/>
    <col customWidth="1" min="5" max="5" style="50" width="36.00390625"/>
    <col customWidth="1" min="6" max="6" style="50" width="9.00390625"/>
    <col customWidth="1" hidden="1" min="7" max="7" style="50" width="42.421875"/>
    <col customWidth="1" min="8" max="8" style="50" width="40.7109375"/>
    <col customWidth="1" min="9" max="9" style="53" width="93.00390625"/>
    <col customWidth="1" min="10" max="17" style="50" width="10.00390625"/>
    <col customWidth="1" min="18" max="18" style="114" width="10.00390625"/>
    <col hidden="1" min="19" max="19" style="50" width="10.57421875"/>
  </cols>
  <sheetData>
    <row r="1" s="53" customFormat="1" ht="15" hidden="1" customHeight="1">
      <c r="C1" s="113"/>
      <c r="H1" s="53">
        <v>4</v>
      </c>
      <c r="R1" s="166"/>
      <c r="S1" s="53" t="s">
        <v>14</v>
      </c>
    </row>
    <row r="2" ht="22.5" hidden="1" customHeight="1">
      <c r="C2" s="966" t="s">
        <v>693</v>
      </c>
      <c r="D2" s="218"/>
      <c r="E2" s="457"/>
      <c r="F2" s="157" t="str">
        <f>IF(TEMPLATE_SPHERE="HEAT","Гкал/час","тыс. куб. м/сутки")</f>
        <v>Гкал/час</v>
      </c>
      <c r="G2" s="857"/>
      <c r="H2" s="857"/>
      <c r="I2" s="494"/>
      <c r="S2" s="50">
        <v>0</v>
      </c>
    </row>
    <row r="3" s="53" customFormat="1" ht="15" hidden="1" customHeight="1">
      <c r="C3" s="113"/>
      <c r="R3" s="166"/>
      <c r="S3" s="53">
        <v>0</v>
      </c>
    </row>
    <row r="4" ht="15.75" customHeight="1">
      <c r="C4" s="149"/>
      <c r="D4" s="50"/>
      <c r="E4" s="50"/>
      <c r="F4" s="50"/>
      <c r="G4" s="50"/>
      <c r="H4" s="50"/>
      <c r="S4" s="50">
        <v>15</v>
      </c>
    </row>
    <row r="5" ht="39.75" customHeight="1">
      <c r="C5" s="149"/>
      <c r="D5" s="461" t="str">
        <f>TP_NAME_FORM</f>
        <v xml:space="preserve">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461"/>
      <c r="F5" s="461"/>
      <c r="G5" s="461"/>
      <c r="H5" s="461"/>
      <c r="I5" s="53"/>
      <c r="S5" s="50">
        <v>38</v>
      </c>
    </row>
    <row r="6" ht="15.75" customHeight="1">
      <c r="C6" s="149"/>
      <c r="D6" s="316" t="str">
        <f>IF(org=0,"Не определено",org)</f>
        <v xml:space="preserve">АО "ДГК"</v>
      </c>
      <c r="E6" s="316"/>
      <c r="F6" s="316"/>
      <c r="G6" s="316"/>
      <c r="H6" s="316"/>
      <c r="I6" s="53"/>
      <c r="S6" s="50">
        <v>15</v>
      </c>
    </row>
    <row r="7" s="50" customFormat="1" ht="15.75" customHeight="1">
      <c r="A7" s="56"/>
      <c r="C7" s="149"/>
      <c r="D7" s="86"/>
      <c r="E7" s="86"/>
      <c r="F7" s="86"/>
      <c r="G7" s="86"/>
      <c r="H7" s="352"/>
      <c r="I7" s="53"/>
      <c r="R7" s="114"/>
      <c r="S7" s="50">
        <v>15</v>
      </c>
    </row>
    <row r="8" ht="1.05" customHeight="1">
      <c r="C8" s="149"/>
      <c r="D8" s="50"/>
      <c r="E8" s="50"/>
      <c r="F8" s="50"/>
      <c r="G8" s="50"/>
      <c r="H8" s="53" t="s">
        <v>117</v>
      </c>
      <c r="S8" s="50">
        <v>1</v>
      </c>
    </row>
    <row r="9" ht="15.75" customHeight="1">
      <c r="C9" s="149"/>
      <c r="D9" s="731"/>
      <c r="E9" s="732" t="s">
        <v>105</v>
      </c>
      <c r="F9" s="733"/>
      <c r="G9" s="888" t="str">
        <f>IF(G8="","",INDEX(DIFFERENTIATION_UNMERGE_VD,MATCH(G8,DIFFERENTIATION_ID_DIFF,0)))</f>
        <v/>
      </c>
      <c r="H9" s="888">
        <f>IF(H8="","",INDEX(DIFFERENTIATION_UNMERGE_VD,MATCH(H8,DIFFERENTIATION_ID_DIFF,0)))</f>
        <v>0</v>
      </c>
      <c r="I9" s="157" t="s">
        <v>306</v>
      </c>
      <c r="S9" s="50">
        <v>15</v>
      </c>
    </row>
    <row r="10" s="50" customFormat="1" ht="15.75" customHeight="1">
      <c r="A10" s="56"/>
      <c r="C10" s="149"/>
      <c r="D10" s="731"/>
      <c r="E10" s="732" t="s">
        <v>568</v>
      </c>
      <c r="F10" s="733"/>
      <c r="G10" s="888" t="str">
        <f>IF(G8="","",INDEX(DIFFERENTIATION_UNMERGE_AREA,MATCH(G8,DIFFERENTIATION_ID_DIFF,0)))</f>
        <v/>
      </c>
      <c r="H10" s="888" t="str">
        <f>IF(H8="","",INDEX(DIFFERENTIATION_UNMERGE_AREA,MATCH(H8,DIFFERENTIATION_ID_DIFF,0)))</f>
        <v/>
      </c>
      <c r="I10" s="157"/>
      <c r="R10" s="114"/>
      <c r="S10" s="50">
        <v>15</v>
      </c>
    </row>
    <row r="11" s="50" customFormat="1" ht="15.75" customHeight="1">
      <c r="A11" s="56"/>
      <c r="C11" s="149"/>
      <c r="D11" s="731"/>
      <c r="E11" s="732" t="s">
        <v>569</v>
      </c>
      <c r="F11" s="733"/>
      <c r="G11" s="888" t="str">
        <f>IF(G8="","",INDEX(DIFFERENTIATION_UNMERGE_SYSTEM,MATCH(G8,DIFFERENTIATION_ID_DIFF,0)))</f>
        <v/>
      </c>
      <c r="H11" s="888" t="str">
        <f>IF(H8="","",INDEX(DIFFERENTIATION_UNMERGE_SYSTEM,MATCH(H8,DIFFERENTIATION_ID_DIFF,0)))</f>
        <v xml:space="preserve">без дифференциации</v>
      </c>
      <c r="I11" s="157"/>
      <c r="R11" s="114"/>
      <c r="S11" s="50">
        <v>15</v>
      </c>
    </row>
    <row r="12" s="50" customFormat="1" ht="15.75" customHeight="1">
      <c r="A12" s="56"/>
      <c r="C12" s="149"/>
      <c r="D12" s="735" t="s">
        <v>305</v>
      </c>
      <c r="E12" s="736"/>
      <c r="F12" s="736"/>
      <c r="G12" s="732"/>
      <c r="H12" s="732"/>
      <c r="I12" s="157"/>
      <c r="R12" s="114"/>
      <c r="S12" s="50">
        <v>15</v>
      </c>
    </row>
    <row r="13" ht="35.649999999999999" customHeight="1">
      <c r="C13" s="149"/>
      <c r="D13" s="157" t="s">
        <v>89</v>
      </c>
      <c r="E13" s="157" t="s">
        <v>307</v>
      </c>
      <c r="F13" s="157" t="s">
        <v>570</v>
      </c>
      <c r="G13" s="73" t="s">
        <v>308</v>
      </c>
      <c r="H13" s="73" t="s">
        <v>308</v>
      </c>
      <c r="I13" s="157"/>
      <c r="S13" s="50">
        <v>34</v>
      </c>
    </row>
    <row r="14" ht="15" hidden="1" customHeight="1">
      <c r="C14" s="149"/>
      <c r="D14" s="206" t="s">
        <v>109</v>
      </c>
      <c r="E14" s="206" t="s">
        <v>110</v>
      </c>
      <c r="F14" s="206" t="s">
        <v>91</v>
      </c>
      <c r="G14" s="149" t="str">
        <f>G1&amp;".1"</f>
        <v>.1</v>
      </c>
      <c r="H14" s="149" t="str">
        <f>H1&amp;".1"</f>
        <v>4.1</v>
      </c>
      <c r="I14" s="494"/>
      <c r="S14" s="50">
        <v>0</v>
      </c>
    </row>
    <row r="15" ht="15.75" customHeight="1">
      <c r="A15" s="50"/>
      <c r="C15" s="128"/>
      <c r="D15" s="157">
        <v>1</v>
      </c>
      <c r="E15" s="255" t="str">
        <f>TP_P_A</f>
        <v xml:space="preserve">Количество поданных заявок</v>
      </c>
      <c r="F15" s="157" t="s">
        <v>1119</v>
      </c>
      <c r="G15" s="967"/>
      <c r="H15" s="967"/>
      <c r="I15" s="832" t="str">
        <f>TP_P_NOTE_A</f>
        <v xml:space="preserve">Указывается количество поданных заявок на подключение (технологическое присоединение) к системе теплоснабжения в течение отчетного квартала.</v>
      </c>
      <c r="S15" s="50">
        <v>15</v>
      </c>
    </row>
    <row r="16" ht="15.75" customHeight="1">
      <c r="A16" s="50"/>
      <c r="C16" s="128"/>
      <c r="D16" s="157">
        <v>2</v>
      </c>
      <c r="E16" s="255" t="str">
        <f>TP_P_B</f>
        <v xml:space="preserve">Количество рассмотренных заявок</v>
      </c>
      <c r="F16" s="157" t="s">
        <v>1119</v>
      </c>
      <c r="G16" s="967"/>
      <c r="H16" s="967"/>
      <c r="I16" s="832" t="str">
        <f>TP_P_NOTE_B</f>
        <v xml:space="preserve">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
        <v>15</v>
      </c>
    </row>
    <row r="17" ht="77.700000000000003" customHeight="1">
      <c r="A17" s="50"/>
      <c r="C17" s="128"/>
      <c r="D17" s="157">
        <v>3</v>
      </c>
      <c r="E17" s="255" t="str">
        <f>TP_P_V</f>
        <v xml:space="preserve">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157" t="s">
        <v>1119</v>
      </c>
      <c r="G17" s="967"/>
      <c r="H17" s="967"/>
      <c r="I17" s="832" t="str">
        <f>TP_P_NOTE_V</f>
        <v xml:space="preserve">Указывается количество заявок с решением об отказе в течение отчетного квартала.</v>
      </c>
      <c r="S17" s="50">
        <v>74</v>
      </c>
    </row>
    <row r="18" ht="54.75" customHeight="1">
      <c r="A18" s="50"/>
      <c r="C18" s="128"/>
      <c r="D18" s="157">
        <v>4</v>
      </c>
      <c r="E18" s="255" t="str">
        <f>TP_P_V_1</f>
        <v xml:space="preserve">Причины отказа в заключении договора о подключении (технологическом присоединении) к системе теплоснабжения</v>
      </c>
      <c r="F18" s="157" t="s">
        <v>311</v>
      </c>
      <c r="G18" s="688"/>
      <c r="H18" s="688"/>
      <c r="I18" s="255" t="str">
        <f>TP_P_NOTE_V_1</f>
        <v xml:space="preserve">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
        <v>52</v>
      </c>
    </row>
    <row r="19" ht="60" customHeight="1">
      <c r="A19" s="50"/>
      <c r="C19" s="128"/>
      <c r="D19" s="157">
        <v>5</v>
      </c>
      <c r="E19" s="255" t="str">
        <f>TP_P_G</f>
        <v xml:space="preserve">Резерв мощности источников тепловой энергии, входящих в систему теплоснабжения, в течение одного квартала, в том числе:</v>
      </c>
      <c r="F19" s="157" t="str">
        <f>IF(TEMPLATE_SPHERE="HEAT","Гкал/час","тыс. куб. м/сутки")</f>
        <v>Гкал/час</v>
      </c>
      <c r="G19" s="968">
        <f>SUM(G20:G22)</f>
        <v>0</v>
      </c>
      <c r="H19" s="968">
        <f>SUM(H20:H22)</f>
        <v>0</v>
      </c>
      <c r="I19" s="832"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
        <v>57</v>
      </c>
    </row>
    <row r="20" ht="15" hidden="1" customHeight="1">
      <c r="D20" s="50" t="s">
        <v>1120</v>
      </c>
      <c r="E20" s="86"/>
      <c r="F20" s="50"/>
      <c r="G20" s="50"/>
      <c r="H20" s="50"/>
      <c r="I20" s="969"/>
      <c r="S20" s="50">
        <v>0</v>
      </c>
    </row>
    <row r="21" ht="29.25" customHeight="1">
      <c r="C21" s="128"/>
      <c r="D21" s="218" t="s">
        <v>318</v>
      </c>
      <c r="E21" s="95"/>
      <c r="F21" s="157" t="str">
        <f>IF(TEMPLATE_SPHERE="HEAT","Гкал/час","тыс. куб. м/сутки")</f>
        <v>Гкал/час</v>
      </c>
      <c r="G21" s="857"/>
      <c r="H21" s="857"/>
      <c r="I21" s="285"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
        <v>28</v>
      </c>
    </row>
    <row r="22" ht="15.75" customHeight="1">
      <c r="A22" s="50"/>
      <c r="C22" s="50"/>
      <c r="D22" s="841"/>
      <c r="E22" s="172" t="s">
        <v>1121</v>
      </c>
      <c r="F22" s="751"/>
      <c r="G22" s="751"/>
      <c r="H22" s="751"/>
      <c r="I22" s="289"/>
      <c r="R22" s="50"/>
      <c r="S22" s="50">
        <v>15</v>
      </c>
    </row>
    <row r="23" ht="22.5" hidden="1" customHeight="1">
      <c r="A23" s="56" t="s">
        <v>83</v>
      </c>
      <c r="B23" s="50">
        <v>0</v>
      </c>
      <c r="C23" s="149">
        <v>4</v>
      </c>
      <c r="D23" s="50">
        <v>6</v>
      </c>
      <c r="E23" s="50">
        <v>36</v>
      </c>
      <c r="F23" s="50">
        <v>9</v>
      </c>
      <c r="G23" s="50">
        <v>0</v>
      </c>
      <c r="H23" s="50">
        <v>40</v>
      </c>
      <c r="I23" s="53">
        <v>93</v>
      </c>
      <c r="J23" s="50">
        <v>10</v>
      </c>
      <c r="K23" s="50">
        <v>10</v>
      </c>
      <c r="L23" s="50">
        <v>10</v>
      </c>
      <c r="M23" s="50">
        <v>10</v>
      </c>
      <c r="N23" s="50">
        <v>10</v>
      </c>
      <c r="O23" s="50">
        <v>10</v>
      </c>
      <c r="P23" s="50">
        <v>10</v>
      </c>
      <c r="Q23" s="50">
        <v>10</v>
      </c>
      <c r="R23" s="114">
        <v>10</v>
      </c>
      <c r="S23" s="50">
        <v>23</v>
      </c>
    </row>
  </sheetData>
  <sheetProtection autoFilter="0" deleteColumns="1" deleteRows="1" formatCells="1" formatColumns="0" formatRows="0" insertColumns="1" insertHyperlinks="1" insertRows="1" objects="0" pivotTables="1" scenarios="0" selectLockedCells="0" selectUnlockedCells="0" sheet="1" sort="1"/>
  <mergeCells count="8">
    <mergeCell ref="D5:H5"/>
    <mergeCell ref="D6:H6"/>
    <mergeCell ref="E9:F9"/>
    <mergeCell ref="I9:I13"/>
    <mergeCell ref="E10:F10"/>
    <mergeCell ref="E11:F11"/>
    <mergeCell ref="D12:F12"/>
    <mergeCell ref="I21:I22"/>
  </mergeCells>
  <dataValidations count="1" disablePrompts="0">
    <dataValidation sqref="E15 E13" type="none" allowBlank="1" errorStyle="stop" imeMode="noControl" operator="between" prompt="Количество поданных заявок на подключение (технологическое присоединение) к системе теплоснабжения в течение квартала, шт."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3" disablePrompts="0">
        <x14:dataValidation xr:uid="{00F9002B-001F-4C6E-BAA2-00D4004E00D6}" type="decimal" allowBlank="1" error="Допускается ввод только действительных чисел!" errorStyle="stop" errorTitle="Ошибка" imeMode="noControl" operator="between" showDropDown="0" showErrorMessage="1" showInputMessage="0">
          <x14:formula1>
            <xm:f>-9.99999999999999E+23</xm:f>
          </x14:formula1>
          <x14:formula2>
            <xm:f>9.99999999999999E+23</xm:f>
          </x14:formula2>
          <xm:sqref>G2:H2 G21:H21</xm:sqref>
        </x14:dataValidation>
        <x14:dataValidation xr:uid="{00110084-0052-4A20-AABB-00C800F000C6}" type="whole" allowBlank="1" error="Допускается ввод только неотрицательных целых чисел!" errorStyle="stop" errorTitle="Ошибка" imeMode="noControl" operator="between" showDropDown="0" showErrorMessage="1" showInputMessage="0">
          <x14:formula1>
            <xm:f>0</xm:f>
          </x14:formula1>
          <x14:formula2>
            <xm:f>9.99999999999999E+23</xm:f>
          </x14:formula2>
          <xm:sqref>G15:H17</xm:sqref>
        </x14:dataValidation>
        <x14:dataValidation xr:uid="{0035004F-00F6-4142-89B3-004F00EE00E0}" type="textLength" allowBlank="1" error="Допускается ввод не более 900 символов!" errorStyle="stop" errorTitle="Ошибка" imeMode="noControl" operator="lessThanOrEqual" showDropDown="0" showErrorMessage="1" showInputMessage="1">
          <x14:formula1>
            <xm:f>900</xm:f>
          </x14:formula1>
          <xm:sqref>E21 E2 G18:H18</xm:sqref>
        </x14:dataValidation>
      </x14:dataValidations>
    </ext>
  </extLst>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1"/>
  </sheetPr>
  <sheetViews>
    <sheetView showGridLines="0" zoomScale="90" workbookViewId="0">
      <pane xSplit="5" ySplit="13" topLeftCell="F14" activePane="bottomRight" state="frozen"/>
      <selection activeCell="A1" activeCellId="0" sqref="A1"/>
    </sheetView>
  </sheetViews>
  <sheetFormatPr defaultColWidth="10.57421875" defaultRowHeight="14.25" customHeight="1"/>
  <cols>
    <col customWidth="1" hidden="1" min="1" max="1" style="60" width="9.140625"/>
    <col customWidth="1" hidden="1" min="2" max="2" style="53" width="9.140625"/>
    <col customWidth="1" min="3" max="3" style="487" width="3.00390625"/>
    <col customWidth="1" min="4" max="4" style="50" width="6.00390625"/>
    <col customWidth="1" min="5" max="6" style="50" width="64.00390625"/>
    <col customWidth="1" min="7" max="7" style="50" width="140.00390625"/>
    <col customWidth="1" min="8" max="8" style="50" width="10.00390625"/>
    <col customWidth="1" min="9" max="10" style="129" width="10.00390625"/>
    <col customWidth="1" min="11" max="16" style="50" width="10.00390625"/>
    <col hidden="1" min="17" max="17" style="50" width="10.57421875"/>
  </cols>
  <sheetData>
    <row r="1" ht="22.5" hidden="1" customHeight="1">
      <c r="M1" s="830"/>
      <c r="N1" s="830"/>
      <c r="P1" s="830"/>
      <c r="Q1" s="50" t="s">
        <v>14</v>
      </c>
    </row>
    <row r="2" ht="14.25" hidden="1" customHeight="1">
      <c r="Q2" s="50">
        <v>0</v>
      </c>
    </row>
    <row r="3" ht="14.25" hidden="1" customHeight="1">
      <c r="Q3" s="50">
        <v>0</v>
      </c>
    </row>
    <row r="4" ht="3" customHeight="1">
      <c r="C4" s="548"/>
      <c r="D4" s="91"/>
      <c r="E4" s="91"/>
      <c r="F4" s="833"/>
      <c r="G4" s="833"/>
      <c r="Q4" s="50">
        <v>3</v>
      </c>
    </row>
    <row r="5" ht="29.25" customHeight="1">
      <c r="C5" s="548"/>
      <c r="D5" s="236" t="str">
        <f>TERMS_NAME_FORM</f>
        <v xml:space="preserve">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37"/>
      <c r="F5" s="237"/>
      <c r="G5" s="238"/>
      <c r="Q5" s="50">
        <v>28</v>
      </c>
    </row>
    <row r="6" s="50" customFormat="1" ht="18.75" customHeight="1">
      <c r="A6" s="60"/>
      <c r="B6" s="53"/>
      <c r="C6" s="548"/>
      <c r="D6" s="417" t="str">
        <f>IF(org=0,"Не определено",org)</f>
        <v xml:space="preserve">АО "ДГК"</v>
      </c>
      <c r="E6" s="418"/>
      <c r="F6" s="418"/>
      <c r="G6" s="419"/>
      <c r="I6" s="129"/>
      <c r="J6" s="129"/>
      <c r="Q6" s="50">
        <v>18</v>
      </c>
    </row>
    <row r="7" ht="14.65" customHeight="1">
      <c r="C7" s="548"/>
      <c r="D7" s="91"/>
      <c r="E7" s="83"/>
      <c r="F7" s="352"/>
      <c r="G7" s="834"/>
      <c r="Q7" s="50">
        <v>14</v>
      </c>
    </row>
    <row r="8" s="50" customFormat="1" ht="1.05" customHeight="1">
      <c r="A8" s="60"/>
      <c r="B8" s="53"/>
      <c r="C8" s="548"/>
      <c r="D8" s="91"/>
      <c r="E8" s="83"/>
      <c r="F8" s="352"/>
      <c r="G8" s="834"/>
      <c r="I8" s="129"/>
      <c r="J8" s="129"/>
      <c r="Q8" s="50">
        <v>1</v>
      </c>
    </row>
    <row r="9" ht="14.65" customHeight="1">
      <c r="C9" s="548"/>
      <c r="D9" s="358" t="s">
        <v>305</v>
      </c>
      <c r="E9" s="358"/>
      <c r="F9" s="358"/>
      <c r="G9" s="838" t="s">
        <v>306</v>
      </c>
      <c r="Q9" s="50">
        <v>14</v>
      </c>
    </row>
    <row r="10" ht="24" customHeight="1">
      <c r="C10" s="548"/>
      <c r="D10" s="358" t="s">
        <v>89</v>
      </c>
      <c r="E10" s="246" t="s">
        <v>307</v>
      </c>
      <c r="F10" s="246" t="s">
        <v>395</v>
      </c>
      <c r="G10" s="838"/>
      <c r="Q10" s="50">
        <v>23</v>
      </c>
    </row>
    <row r="11" ht="12" hidden="1" customHeight="1">
      <c r="C11" s="548"/>
      <c r="D11" s="434"/>
      <c r="E11" s="434"/>
      <c r="F11" s="434"/>
      <c r="G11" s="434"/>
      <c r="Q11" s="50">
        <v>0</v>
      </c>
    </row>
    <row r="12" ht="65.25" customHeight="1">
      <c r="A12" s="143"/>
      <c r="C12" s="548"/>
      <c r="D12" s="355">
        <v>1</v>
      </c>
      <c r="E12" s="970" t="str">
        <f>TERMS_P_1</f>
        <v xml:space="preserve">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46" t="s">
        <v>311</v>
      </c>
      <c r="G12" s="494"/>
      <c r="Q12" s="50">
        <v>62</v>
      </c>
    </row>
    <row r="13" ht="24" customHeight="1">
      <c r="A13" s="143"/>
      <c r="C13" s="548"/>
      <c r="D13" s="355" t="s">
        <v>1026</v>
      </c>
      <c r="E13" s="896"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 xml:space="preserve">Форма публичного договора поставки товаров (оказания услуг), тарифы на которые подлежат регулированию</v>
      </c>
      <c r="F13" s="246" t="s">
        <v>311</v>
      </c>
      <c r="G13" s="494"/>
      <c r="Q13" s="50">
        <v>23</v>
      </c>
    </row>
    <row r="14" ht="14.65" customHeight="1">
      <c r="A14" s="143"/>
      <c r="C14" s="548"/>
      <c r="D14" s="355" t="s">
        <v>1062</v>
      </c>
      <c r="E14" s="971"/>
      <c r="F14" s="479"/>
      <c r="G14" s="285"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 xml:space="preserve">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50">
        <v>14</v>
      </c>
    </row>
    <row r="15" ht="15.75" customHeight="1">
      <c r="A15" s="143"/>
      <c r="C15" s="548"/>
      <c r="D15" s="841"/>
      <c r="E15" s="235" t="s">
        <v>1122</v>
      </c>
      <c r="F15" s="842"/>
      <c r="G15" s="289"/>
      <c r="Q15" s="50">
        <v>15</v>
      </c>
    </row>
    <row r="16" ht="14.65" customHeight="1">
      <c r="A16" s="143"/>
      <c r="C16" s="548"/>
      <c r="D16" s="355" t="s">
        <v>1028</v>
      </c>
      <c r="E16" s="896" t="str">
        <f>"Договор о подключении (технологическом присоединении) к"&amp;IF(TEMPLATE_SPHERE="HEAT",""," централизованной")&amp;" системе "&amp;TEMPLATE_SPHERE_RUS</f>
        <v xml:space="preserve">Договор о подключении (технологическом присоединении) к системе теплоснабжения</v>
      </c>
      <c r="F16" s="246" t="s">
        <v>311</v>
      </c>
      <c r="G16" s="558"/>
      <c r="Q16" s="50">
        <v>14</v>
      </c>
    </row>
    <row r="17" ht="14.65" customHeight="1">
      <c r="A17" s="143"/>
      <c r="C17" s="548"/>
      <c r="D17" s="355" t="s">
        <v>1070</v>
      </c>
      <c r="E17" s="971"/>
      <c r="F17" s="829"/>
      <c r="G17" s="285"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 xml:space="preserve">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50">
        <v>14</v>
      </c>
    </row>
    <row r="18" s="50" customFormat="1" ht="22" customHeight="1">
      <c r="A18" s="143"/>
      <c r="B18" s="53"/>
      <c r="C18" s="548"/>
      <c r="D18" s="841"/>
      <c r="E18" s="235" t="s">
        <v>1123</v>
      </c>
      <c r="F18" s="972"/>
      <c r="G18" s="289"/>
      <c r="I18" s="129"/>
      <c r="J18" s="129"/>
      <c r="Q18" s="50">
        <v>21</v>
      </c>
    </row>
    <row r="19" s="50" customFormat="1" ht="256.5" hidden="1" customHeight="1">
      <c r="A19" s="143"/>
      <c r="B19" s="53"/>
      <c r="C19" s="548"/>
      <c r="D19" s="355" t="s">
        <v>1030</v>
      </c>
      <c r="E19" s="896" t="s">
        <v>1124</v>
      </c>
      <c r="F19" s="829"/>
      <c r="G19" s="558" t="s">
        <v>1125</v>
      </c>
      <c r="I19" s="129"/>
      <c r="J19" s="129"/>
      <c r="Q19" s="50">
        <v>0</v>
      </c>
    </row>
    <row r="20" s="50" customFormat="1" ht="14.65" customHeight="1">
      <c r="A20" s="143"/>
      <c r="B20" s="53"/>
      <c r="C20" s="548"/>
      <c r="D20" s="357">
        <v>2</v>
      </c>
      <c r="E20" s="896" t="s">
        <v>1126</v>
      </c>
      <c r="F20" s="246" t="s">
        <v>311</v>
      </c>
      <c r="G20" s="558"/>
      <c r="I20" s="129"/>
      <c r="J20" s="129"/>
      <c r="Q20" s="50">
        <v>14</v>
      </c>
    </row>
    <row r="21" s="50" customFormat="1" ht="18.75" hidden="1" customHeight="1">
      <c r="A21" s="143"/>
      <c r="B21" s="53"/>
      <c r="C21" s="548"/>
      <c r="D21" s="973" t="s">
        <v>640</v>
      </c>
      <c r="E21" s="974"/>
      <c r="F21" s="975"/>
      <c r="G21" s="976"/>
      <c r="H21" s="791"/>
      <c r="I21" s="129"/>
      <c r="J21" s="129"/>
      <c r="Q21" s="50">
        <v>0</v>
      </c>
    </row>
    <row r="22" ht="15.75" customHeight="1">
      <c r="A22" s="143"/>
      <c r="C22" s="548"/>
      <c r="D22" s="841"/>
      <c r="E22" s="172" t="s">
        <v>327</v>
      </c>
      <c r="F22" s="972"/>
      <c r="G22" s="779"/>
      <c r="Q22" s="50">
        <v>15</v>
      </c>
    </row>
    <row r="23" s="50" customFormat="1" ht="22.5" hidden="1" customHeight="1">
      <c r="A23" s="143"/>
      <c r="B23" s="53"/>
      <c r="C23" s="548"/>
      <c r="D23" s="355" t="s">
        <v>110</v>
      </c>
      <c r="E23" s="970" t="s">
        <v>1127</v>
      </c>
      <c r="F23" s="246" t="s">
        <v>311</v>
      </c>
      <c r="G23" s="494"/>
      <c r="I23" s="129"/>
      <c r="J23" s="129"/>
      <c r="Q23" s="50">
        <v>0</v>
      </c>
    </row>
    <row r="24" s="50" customFormat="1" ht="14.25" hidden="1" customHeight="1">
      <c r="A24" s="143"/>
      <c r="B24" s="53"/>
      <c r="C24" s="548"/>
      <c r="D24" s="355" t="s">
        <v>713</v>
      </c>
      <c r="E24" s="896" t="s">
        <v>1128</v>
      </c>
      <c r="F24" s="246" t="s">
        <v>311</v>
      </c>
      <c r="G24" s="558"/>
      <c r="I24" s="129"/>
      <c r="J24" s="129"/>
      <c r="Q24" s="50">
        <v>0</v>
      </c>
    </row>
    <row r="25" s="50" customFormat="1" ht="14.25" hidden="1" customHeight="1">
      <c r="A25" s="143"/>
      <c r="B25" s="53"/>
      <c r="C25" s="548"/>
      <c r="D25" s="355" t="s">
        <v>716</v>
      </c>
      <c r="E25" s="971"/>
      <c r="F25" s="829"/>
      <c r="G25" s="285" t="s">
        <v>1129</v>
      </c>
      <c r="I25" s="129"/>
      <c r="J25" s="129"/>
      <c r="Q25" s="50">
        <v>0</v>
      </c>
    </row>
    <row r="26" s="50" customFormat="1" ht="22.5" hidden="1" customHeight="1">
      <c r="A26" s="143"/>
      <c r="B26" s="53"/>
      <c r="C26" s="548"/>
      <c r="D26" s="841"/>
      <c r="E26" s="235" t="s">
        <v>1130</v>
      </c>
      <c r="F26" s="972"/>
      <c r="G26" s="289"/>
      <c r="I26" s="129"/>
      <c r="J26" s="129"/>
      <c r="Q26" s="50">
        <v>0</v>
      </c>
    </row>
    <row r="27" ht="3" customHeight="1">
      <c r="Q27" s="50">
        <v>3</v>
      </c>
    </row>
    <row r="28" ht="14.65" customHeight="1">
      <c r="D28" s="485"/>
      <c r="E28" s="858"/>
      <c r="F28" s="404"/>
      <c r="G28" s="404"/>
      <c r="H28" s="404"/>
      <c r="I28" s="404"/>
      <c r="J28" s="404"/>
      <c r="K28" s="404"/>
      <c r="L28" s="404"/>
      <c r="M28" s="404"/>
      <c r="N28" s="404"/>
      <c r="O28" s="404"/>
      <c r="P28" s="404"/>
      <c r="Q28" s="50">
        <v>14</v>
      </c>
    </row>
    <row r="29" ht="14.65" customHeight="1">
      <c r="D29" s="485"/>
      <c r="E29" s="106"/>
      <c r="Q29" s="50">
        <v>14</v>
      </c>
    </row>
    <row r="30" ht="14.65" customHeight="1">
      <c r="Q30" s="50">
        <v>14</v>
      </c>
    </row>
    <row r="31" ht="14.65" customHeight="1">
      <c r="E31" s="50"/>
      <c r="Q31" s="50">
        <v>14</v>
      </c>
    </row>
    <row r="32" ht="22.5" hidden="1" customHeight="1">
      <c r="A32" s="60" t="s">
        <v>83</v>
      </c>
      <c r="B32" s="53">
        <v>0</v>
      </c>
      <c r="C32" s="487">
        <v>3</v>
      </c>
      <c r="D32" s="50">
        <v>6</v>
      </c>
      <c r="E32" s="50">
        <v>64</v>
      </c>
      <c r="F32" s="50">
        <v>64</v>
      </c>
      <c r="G32" s="50">
        <v>140</v>
      </c>
      <c r="H32" s="50">
        <v>10</v>
      </c>
      <c r="I32" s="129">
        <v>10</v>
      </c>
      <c r="J32" s="129">
        <v>10</v>
      </c>
      <c r="K32" s="50">
        <v>10</v>
      </c>
      <c r="L32" s="50">
        <v>10</v>
      </c>
      <c r="M32" s="50">
        <v>10</v>
      </c>
      <c r="N32" s="50">
        <v>10</v>
      </c>
      <c r="O32" s="50">
        <v>10</v>
      </c>
      <c r="P32" s="50">
        <v>10</v>
      </c>
      <c r="Q32" s="50">
        <v>23</v>
      </c>
    </row>
  </sheetData>
  <sheetProtection autoFilter="0" deleteColumns="1" deleteRows="1" formatCells="1" formatColumns="0" formatRows="0" insertColumns="1" insertHyperlinks="1" insertRows="1" objects="0" pivotTables="1" scenarios="0" selectLockedCells="0" selectUnlockedCells="0" sheet="1" sort="1"/>
  <mergeCells count="7">
    <mergeCell ref="D5:G5"/>
    <mergeCell ref="D6:G6"/>
    <mergeCell ref="D9:F9"/>
    <mergeCell ref="G9:G10"/>
    <mergeCell ref="G14:G15"/>
    <mergeCell ref="G17:G18"/>
    <mergeCell ref="G25:G26"/>
  </mergeCells>
  <printOptions headings="0" gridLines="0"/>
  <pageMargins left="0" right="0" top="0" bottom="0" header="0" footer="0.79000000000000004"/>
  <pageSetup paperSize="9" scale="41" fitToWidth="1" fitToHeight="0" pageOrder="downThenOver" orientation="portrait" usePrinterDefaults="1" blackAndWhite="1"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disablePrompts="0">
        <x14:dataValidation xr:uid="{00B20090-004B-49DC-80CE-00F8000D0080}" type="textLength" allowBlank="1" error="Допускается ввод не более 900 символов!" errorStyle="stop" errorTitle="Ошибка" imeMode="noControl" operator="lessThanOrEqual" showDropDown="0" showErrorMessage="1" showInputMessage="1">
          <x14:formula1>
            <xm:f>900</xm:f>
          </x14:formula1>
          <xm:sqref>G14 G25 E17 E14 G17 G21 E25</xm:sqref>
        </x14:dataValidation>
        <x14:dataValidation xr:uid="{004A0000-0087-4184-A38B-005B00650099}"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F14 F17:F19 F25:F26</xm:sqref>
        </x14:dataValidation>
      </x14:dataValidations>
    </ext>
  </extLst>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zoomScale="90" workbookViewId="0">
      <pane xSplit="6" ySplit="21" topLeftCell="G22" activePane="bottomRight" state="frozen"/>
      <selection activeCell="A1" activeCellId="0" sqref="A1"/>
    </sheetView>
  </sheetViews>
  <sheetFormatPr defaultColWidth="10.57421875" defaultRowHeight="14.25" customHeight="1"/>
  <cols>
    <col customWidth="1" hidden="1" min="1" max="1" style="61" width="9.140625"/>
    <col customWidth="1" hidden="1" min="2" max="2" style="53" width="9.140625"/>
    <col customWidth="1" min="3" max="3" style="487" width="3.00390625"/>
    <col customWidth="1" min="4" max="4" style="50" width="6.00390625"/>
    <col customWidth="1" min="5" max="5" style="50" width="63.00390625"/>
    <col customWidth="1" hidden="1" min="6" max="6" style="50" width="1.7109375"/>
    <col customWidth="1" min="7" max="8" style="50" width="35.00390625"/>
    <col customWidth="1" min="9" max="9" style="50" width="91.00390625"/>
    <col customWidth="1" min="10" max="10" style="50" width="68.00390625"/>
    <col customWidth="1" min="11" max="12" style="129" width="10.00390625"/>
    <col hidden="1" min="13" max="13" style="50" width="10.57421875"/>
  </cols>
  <sheetData>
    <row r="1" ht="22.5" hidden="1" customHeight="1">
      <c r="M1" s="50" t="s">
        <v>14</v>
      </c>
    </row>
    <row r="2" s="50" customFormat="1" ht="18.75" hidden="1" customHeight="1">
      <c r="A2" s="64"/>
      <c r="B2" s="53"/>
      <c r="C2" s="831" t="s">
        <v>693</v>
      </c>
      <c r="D2" s="355"/>
      <c r="E2" s="94"/>
      <c r="F2" s="246"/>
      <c r="G2" s="246" t="s">
        <v>311</v>
      </c>
      <c r="H2" s="479"/>
      <c r="K2" s="129"/>
      <c r="L2" s="129"/>
      <c r="M2" s="50">
        <v>0</v>
      </c>
    </row>
    <row r="3" s="50" customFormat="1" ht="14.25" hidden="1" customHeight="1">
      <c r="A3" s="61"/>
      <c r="B3" s="53"/>
      <c r="C3" s="487"/>
      <c r="K3" s="129"/>
      <c r="L3" s="129"/>
      <c r="M3" s="50">
        <v>0</v>
      </c>
    </row>
    <row r="4" s="50" customFormat="1" ht="18.75" hidden="1" customHeight="1">
      <c r="A4" s="64"/>
      <c r="B4" s="53"/>
      <c r="C4" s="831" t="s">
        <v>693</v>
      </c>
      <c r="D4" s="355"/>
      <c r="E4" s="896" t="s">
        <v>1131</v>
      </c>
      <c r="F4" s="246"/>
      <c r="G4" s="977"/>
      <c r="H4" s="246" t="s">
        <v>311</v>
      </c>
      <c r="K4" s="129"/>
      <c r="L4" s="129"/>
      <c r="M4" s="50">
        <v>0</v>
      </c>
    </row>
    <row r="5" s="50" customFormat="1" ht="14.25" hidden="1" customHeight="1">
      <c r="A5" s="61"/>
      <c r="B5" s="53"/>
      <c r="C5" s="487"/>
      <c r="K5" s="129"/>
      <c r="L5" s="129"/>
      <c r="M5" s="50">
        <v>0</v>
      </c>
    </row>
    <row r="6" s="50" customFormat="1" ht="18.75" hidden="1" customHeight="1">
      <c r="A6" s="64"/>
      <c r="B6" s="53"/>
      <c r="C6" s="831" t="s">
        <v>693</v>
      </c>
      <c r="D6" s="355"/>
      <c r="E6" s="978" t="s">
        <v>1132</v>
      </c>
      <c r="F6" s="246"/>
      <c r="G6" s="977"/>
      <c r="H6" s="246" t="s">
        <v>311</v>
      </c>
      <c r="K6" s="129"/>
      <c r="L6" s="129"/>
      <c r="M6" s="50">
        <v>0</v>
      </c>
    </row>
    <row r="7" s="50" customFormat="1" ht="14.25" hidden="1" customHeight="1">
      <c r="A7" s="61"/>
      <c r="B7" s="53"/>
      <c r="C7" s="487"/>
      <c r="K7" s="129"/>
      <c r="L7" s="129"/>
      <c r="M7" s="50">
        <v>0</v>
      </c>
    </row>
    <row r="8" s="50" customFormat="1" ht="18.75" hidden="1" customHeight="1">
      <c r="A8" s="64"/>
      <c r="B8" s="53"/>
      <c r="C8" s="831" t="s">
        <v>693</v>
      </c>
      <c r="D8" s="355"/>
      <c r="E8" s="978" t="s">
        <v>1133</v>
      </c>
      <c r="F8" s="246"/>
      <c r="G8" s="977"/>
      <c r="H8" s="246" t="s">
        <v>311</v>
      </c>
      <c r="K8" s="129"/>
      <c r="L8" s="129"/>
      <c r="M8" s="50">
        <v>0</v>
      </c>
    </row>
    <row r="9" s="50" customFormat="1" ht="14.25" hidden="1" customHeight="1">
      <c r="A9" s="61"/>
      <c r="B9" s="53"/>
      <c r="C9" s="487"/>
      <c r="K9" s="129"/>
      <c r="L9" s="129"/>
      <c r="M9" s="50">
        <v>0</v>
      </c>
    </row>
    <row r="10" s="50" customFormat="1" ht="18.75" hidden="1" customHeight="1">
      <c r="A10" s="64"/>
      <c r="B10" s="53"/>
      <c r="C10" s="831" t="s">
        <v>693</v>
      </c>
      <c r="D10" s="355"/>
      <c r="E10" s="978" t="s">
        <v>1134</v>
      </c>
      <c r="F10" s="246"/>
      <c r="G10" s="397"/>
      <c r="H10" s="246" t="s">
        <v>311</v>
      </c>
      <c r="K10" s="129"/>
      <c r="L10" s="129" t="s">
        <v>1135</v>
      </c>
      <c r="M10" s="50">
        <v>0</v>
      </c>
    </row>
    <row r="11" ht="14.25" hidden="1" customHeight="1">
      <c r="M11" s="50">
        <v>0</v>
      </c>
    </row>
    <row r="12" ht="14.25" hidden="1" customHeight="1">
      <c r="M12" s="50">
        <v>0</v>
      </c>
    </row>
    <row r="13" ht="14.65" customHeight="1">
      <c r="C13" s="548"/>
      <c r="D13" s="91"/>
      <c r="E13" s="91"/>
      <c r="F13" s="91"/>
      <c r="G13" s="91"/>
      <c r="H13" s="833"/>
      <c r="I13" s="833"/>
      <c r="M13" s="50">
        <v>14</v>
      </c>
    </row>
    <row r="14" ht="29.25" customHeight="1">
      <c r="C14" s="548"/>
      <c r="D14" s="236" t="str">
        <f>PROCEDURE_TC_NAME_FORM</f>
        <v xml:space="preserve">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37"/>
      <c r="F14" s="237"/>
      <c r="G14" s="237"/>
      <c r="H14" s="238"/>
      <c r="J14" s="50"/>
      <c r="M14" s="50">
        <v>28</v>
      </c>
    </row>
    <row r="15" s="50" customFormat="1" ht="14.65" customHeight="1">
      <c r="A15" s="61"/>
      <c r="B15" s="53"/>
      <c r="C15" s="548"/>
      <c r="D15" s="417" t="str">
        <f>IF(org=0,"Не определено",org)</f>
        <v xml:space="preserve">АО "ДГК"</v>
      </c>
      <c r="E15" s="418"/>
      <c r="F15" s="418"/>
      <c r="G15" s="418"/>
      <c r="H15" s="419"/>
      <c r="J15" s="371"/>
      <c r="K15" s="129"/>
      <c r="L15" s="129"/>
      <c r="M15" s="50">
        <v>14</v>
      </c>
    </row>
    <row r="16" ht="14.65" customHeight="1">
      <c r="C16" s="548"/>
      <c r="D16" s="91"/>
      <c r="E16" s="83"/>
      <c r="F16" s="83"/>
      <c r="G16" s="83"/>
      <c r="H16" s="352"/>
      <c r="I16" s="834"/>
      <c r="M16" s="50">
        <v>14</v>
      </c>
    </row>
    <row r="17" s="50" customFormat="1" ht="14.25" hidden="1" customHeight="1">
      <c r="A17" s="61"/>
      <c r="B17" s="53"/>
      <c r="C17" s="548"/>
      <c r="D17" s="91"/>
      <c r="E17" s="83"/>
      <c r="F17" s="83"/>
      <c r="G17" s="83"/>
      <c r="H17" s="352"/>
      <c r="I17" s="834"/>
      <c r="K17" s="129"/>
      <c r="L17" s="129"/>
      <c r="M17" s="50">
        <v>0</v>
      </c>
    </row>
    <row r="18" ht="22" customHeight="1">
      <c r="C18" s="548"/>
      <c r="D18" s="358" t="s">
        <v>305</v>
      </c>
      <c r="E18" s="358"/>
      <c r="F18" s="358"/>
      <c r="G18" s="358"/>
      <c r="H18" s="358"/>
      <c r="I18" s="838" t="s">
        <v>306</v>
      </c>
      <c r="M18" s="50">
        <v>21</v>
      </c>
    </row>
    <row r="19" ht="22" customHeight="1">
      <c r="C19" s="548"/>
      <c r="D19" s="358" t="s">
        <v>89</v>
      </c>
      <c r="E19" s="246" t="s">
        <v>307</v>
      </c>
      <c r="F19" s="246"/>
      <c r="G19" s="246" t="s">
        <v>308</v>
      </c>
      <c r="H19" s="246" t="s">
        <v>395</v>
      </c>
      <c r="I19" s="838"/>
      <c r="M19" s="50">
        <v>21</v>
      </c>
    </row>
    <row r="20" ht="12" hidden="1" customHeight="1">
      <c r="C20" s="548"/>
      <c r="D20" s="434"/>
      <c r="E20" s="434"/>
      <c r="F20" s="434"/>
      <c r="G20" s="434"/>
      <c r="H20" s="434"/>
      <c r="I20" s="434"/>
      <c r="M20" s="50">
        <v>0</v>
      </c>
    </row>
    <row r="21" ht="14.65" customHeight="1">
      <c r="A21" s="64"/>
      <c r="C21" s="548"/>
      <c r="D21" s="355">
        <v>1</v>
      </c>
      <c r="E21" s="840" t="s">
        <v>1136</v>
      </c>
      <c r="F21" s="840"/>
      <c r="G21" s="840"/>
      <c r="H21" s="840"/>
      <c r="I21" s="832"/>
      <c r="M21" s="50">
        <v>14</v>
      </c>
    </row>
    <row r="22" ht="21" customHeight="1">
      <c r="A22" s="64"/>
      <c r="C22" s="548"/>
      <c r="D22" s="355" t="s">
        <v>1026</v>
      </c>
      <c r="E22" s="896" t="s">
        <v>1137</v>
      </c>
      <c r="F22" s="246"/>
      <c r="G22" s="979"/>
      <c r="H22" s="246" t="s">
        <v>311</v>
      </c>
      <c r="I22" s="494" t="s">
        <v>1138</v>
      </c>
      <c r="M22" s="50">
        <v>20</v>
      </c>
    </row>
    <row r="23" ht="60" customHeight="1">
      <c r="A23" s="64"/>
      <c r="C23" s="548"/>
      <c r="D23" s="355" t="s">
        <v>1028</v>
      </c>
      <c r="E23" s="896" t="s">
        <v>1139</v>
      </c>
      <c r="F23" s="246"/>
      <c r="G23" s="977"/>
      <c r="H23" s="479"/>
      <c r="I23" s="255" t="s">
        <v>1140</v>
      </c>
      <c r="M23" s="50">
        <v>57</v>
      </c>
    </row>
    <row r="24" ht="14.65" customHeight="1">
      <c r="A24" s="64"/>
      <c r="B24" s="53">
        <v>3</v>
      </c>
      <c r="C24" s="548"/>
      <c r="D24" s="355">
        <v>2</v>
      </c>
      <c r="E24" s="840" t="str">
        <f>"Форма заявки на заключение договора о подключении (технологическом присоединении) к системе "&amp;TEMPLATE_SPHERE_RUS</f>
        <v xml:space="preserve">Форма заявки на заключение договора о подключении (технологическом присоединении) к системе теплоснабжения</v>
      </c>
      <c r="F24" s="246"/>
      <c r="G24" s="246" t="s">
        <v>311</v>
      </c>
      <c r="H24" s="479"/>
      <c r="I24" s="326" t="s">
        <v>635</v>
      </c>
      <c r="M24" s="50">
        <v>14</v>
      </c>
    </row>
    <row r="25" ht="48.25" customHeight="1">
      <c r="A25" s="64"/>
      <c r="C25" s="548"/>
      <c r="D25" s="355">
        <v>3</v>
      </c>
      <c r="E25" s="84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 xml:space="preserve">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840"/>
      <c r="G25" s="840"/>
      <c r="H25" s="840"/>
      <c r="I25" s="832"/>
      <c r="M25" s="50">
        <v>46</v>
      </c>
    </row>
    <row r="26" ht="14.65" customHeight="1">
      <c r="A26" s="64"/>
      <c r="C26" s="548"/>
      <c r="D26" s="355" t="s">
        <v>329</v>
      </c>
      <c r="E26" s="94"/>
      <c r="F26" s="246"/>
      <c r="G26" s="246" t="s">
        <v>311</v>
      </c>
      <c r="H26" s="479"/>
      <c r="I26" s="285" t="s">
        <v>1141</v>
      </c>
      <c r="M26" s="50">
        <v>14</v>
      </c>
    </row>
    <row r="27" ht="15.75" customHeight="1">
      <c r="A27" s="64" t="s">
        <v>109</v>
      </c>
      <c r="C27" s="548"/>
      <c r="D27" s="841"/>
      <c r="E27" s="172" t="s">
        <v>327</v>
      </c>
      <c r="F27" s="235"/>
      <c r="G27" s="235"/>
      <c r="H27" s="842"/>
      <c r="I27" s="289"/>
      <c r="M27" s="50">
        <v>15</v>
      </c>
    </row>
    <row r="28" ht="39.75" customHeight="1">
      <c r="A28" s="64"/>
      <c r="B28" s="53">
        <v>3</v>
      </c>
      <c r="C28" s="548"/>
      <c r="D28" s="355">
        <v>4</v>
      </c>
      <c r="E28" s="84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 xml:space="preserve">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840"/>
      <c r="G28" s="840"/>
      <c r="H28" s="840"/>
      <c r="I28" s="832"/>
      <c r="M28" s="50">
        <v>38</v>
      </c>
    </row>
    <row r="29" ht="21" customHeight="1">
      <c r="A29" s="64"/>
      <c r="C29" s="548"/>
      <c r="D29" s="355" t="s">
        <v>758</v>
      </c>
      <c r="E29" s="896" t="s">
        <v>1131</v>
      </c>
      <c r="F29" s="246"/>
      <c r="G29" s="977"/>
      <c r="H29" s="246" t="s">
        <v>311</v>
      </c>
      <c r="I29" s="285" t="s">
        <v>1142</v>
      </c>
      <c r="M29" s="50">
        <v>20</v>
      </c>
    </row>
    <row r="30" ht="15.75" customHeight="1">
      <c r="A30" s="64" t="s">
        <v>110</v>
      </c>
      <c r="C30" s="548"/>
      <c r="D30" s="841"/>
      <c r="E30" s="172" t="s">
        <v>327</v>
      </c>
      <c r="F30" s="235"/>
      <c r="G30" s="235"/>
      <c r="H30" s="842"/>
      <c r="I30" s="289"/>
      <c r="M30" s="50">
        <v>15</v>
      </c>
    </row>
    <row r="31" ht="31.5" customHeight="1">
      <c r="A31" s="64"/>
      <c r="B31" s="53">
        <v>3</v>
      </c>
      <c r="C31" s="548"/>
      <c r="D31" s="355">
        <v>5</v>
      </c>
      <c r="E31" s="84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 xml:space="preserve">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840"/>
      <c r="G31" s="840"/>
      <c r="H31" s="840"/>
      <c r="I31" s="832"/>
      <c r="M31" s="50">
        <v>30</v>
      </c>
    </row>
    <row r="32" ht="27.300000000000001" customHeight="1">
      <c r="A32" s="64"/>
      <c r="C32" s="548"/>
      <c r="D32" s="355" t="s">
        <v>318</v>
      </c>
      <c r="E32" s="896"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 xml:space="preserve">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896"/>
      <c r="G32" s="896"/>
      <c r="H32" s="896"/>
      <c r="I32" s="832"/>
      <c r="M32" s="50">
        <v>26</v>
      </c>
    </row>
    <row r="33" ht="14.65" customHeight="1">
      <c r="A33" s="64"/>
      <c r="C33" s="548"/>
      <c r="D33" s="355" t="s">
        <v>1143</v>
      </c>
      <c r="E33" s="978" t="s">
        <v>1132</v>
      </c>
      <c r="F33" s="246"/>
      <c r="G33" s="977"/>
      <c r="H33" s="246" t="s">
        <v>311</v>
      </c>
      <c r="I33" s="285" t="s">
        <v>1144</v>
      </c>
      <c r="M33" s="50">
        <v>14</v>
      </c>
    </row>
    <row r="34" ht="15.75" customHeight="1">
      <c r="A34" s="64" t="s">
        <v>91</v>
      </c>
      <c r="C34" s="548"/>
      <c r="D34" s="841"/>
      <c r="E34" s="235" t="s">
        <v>327</v>
      </c>
      <c r="F34" s="696"/>
      <c r="G34" s="696"/>
      <c r="H34" s="842"/>
      <c r="I34" s="289"/>
      <c r="M34" s="50">
        <v>15</v>
      </c>
    </row>
    <row r="35" ht="25.199999999999999" customHeight="1">
      <c r="A35" s="64"/>
      <c r="C35" s="548"/>
      <c r="D35" s="355" t="s">
        <v>886</v>
      </c>
      <c r="E35" s="896"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 xml:space="preserve">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896"/>
      <c r="G35" s="896"/>
      <c r="H35" s="896"/>
      <c r="I35" s="832"/>
      <c r="M35" s="50">
        <v>24</v>
      </c>
    </row>
    <row r="36" ht="14.65" customHeight="1">
      <c r="A36" s="64"/>
      <c r="C36" s="548"/>
      <c r="D36" s="355" t="s">
        <v>1145</v>
      </c>
      <c r="E36" s="978" t="s">
        <v>1133</v>
      </c>
      <c r="F36" s="246"/>
      <c r="G36" s="977"/>
      <c r="H36" s="246" t="s">
        <v>311</v>
      </c>
      <c r="I36" s="255" t="s">
        <v>1146</v>
      </c>
      <c r="M36" s="50">
        <v>14</v>
      </c>
    </row>
    <row r="37" ht="15.75" customHeight="1">
      <c r="A37" s="64" t="s">
        <v>92</v>
      </c>
      <c r="C37" s="548"/>
      <c r="D37" s="841"/>
      <c r="E37" s="235" t="s">
        <v>327</v>
      </c>
      <c r="F37" s="696"/>
      <c r="G37" s="696"/>
      <c r="H37" s="842"/>
      <c r="I37" s="255"/>
      <c r="M37" s="50">
        <v>15</v>
      </c>
    </row>
    <row r="38" ht="27.300000000000001" customHeight="1">
      <c r="A38" s="64"/>
      <c r="C38" s="548"/>
      <c r="D38" s="355" t="s">
        <v>887</v>
      </c>
      <c r="E38" s="896"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 xml:space="preserve">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896"/>
      <c r="G38" s="896"/>
      <c r="H38" s="896"/>
      <c r="I38" s="832"/>
      <c r="M38" s="50">
        <v>26</v>
      </c>
    </row>
    <row r="39" ht="14.65" customHeight="1">
      <c r="A39" s="64"/>
      <c r="C39" s="548"/>
      <c r="D39" s="355" t="s">
        <v>888</v>
      </c>
      <c r="E39" s="978" t="s">
        <v>1134</v>
      </c>
      <c r="F39" s="246"/>
      <c r="G39" s="397"/>
      <c r="H39" s="246" t="s">
        <v>311</v>
      </c>
      <c r="I39" s="285" t="s">
        <v>1147</v>
      </c>
      <c r="L39" s="129" t="s">
        <v>1135</v>
      </c>
      <c r="M39" s="50">
        <v>14</v>
      </c>
    </row>
    <row r="40" ht="15.75" customHeight="1">
      <c r="A40" s="64" t="s">
        <v>111</v>
      </c>
      <c r="C40" s="548"/>
      <c r="D40" s="841"/>
      <c r="E40" s="235" t="s">
        <v>327</v>
      </c>
      <c r="F40" s="696"/>
      <c r="G40" s="696"/>
      <c r="H40" s="842"/>
      <c r="I40" s="289"/>
      <c r="M40" s="50">
        <v>15</v>
      </c>
    </row>
    <row r="41" s="143" customFormat="1" ht="3" customHeight="1">
      <c r="A41" s="64"/>
      <c r="K41" s="167"/>
      <c r="L41" s="167"/>
      <c r="M41" s="143">
        <v>3</v>
      </c>
    </row>
    <row r="42" ht="26.25" customHeight="1">
      <c r="D42" s="485" t="s">
        <v>808</v>
      </c>
      <c r="E42" s="583" t="str">
        <f>"Информация размещается в случае, если организация осуществляет услуги по подключению (технологическому присоединению) к системе "&amp;TEMPLATE_SPHERE_RUS&amp;"."</f>
        <v xml:space="preserve">Информация размещается в случае, если организация осуществляет услуги по подключению (технологическому присоединению) к системе теплоснабжения.</v>
      </c>
      <c r="F42" s="583"/>
      <c r="G42" s="583"/>
      <c r="H42" s="583"/>
      <c r="I42" s="583"/>
      <c r="M42" s="50">
        <v>25</v>
      </c>
    </row>
    <row r="43" ht="22.5" hidden="1" customHeight="1">
      <c r="A43" s="61" t="s">
        <v>83</v>
      </c>
      <c r="B43" s="53">
        <v>0</v>
      </c>
      <c r="C43" s="487">
        <v>3</v>
      </c>
      <c r="D43" s="50">
        <v>6</v>
      </c>
      <c r="E43" s="50">
        <v>63</v>
      </c>
      <c r="F43" s="50">
        <v>0</v>
      </c>
      <c r="G43" s="50">
        <v>35</v>
      </c>
      <c r="H43" s="50">
        <v>35</v>
      </c>
      <c r="I43" s="50">
        <v>91</v>
      </c>
      <c r="J43" s="50">
        <v>68</v>
      </c>
      <c r="K43" s="129">
        <v>10</v>
      </c>
      <c r="L43" s="129">
        <v>10</v>
      </c>
      <c r="M43" s="50">
        <v>23</v>
      </c>
    </row>
  </sheetData>
  <sheetProtection autoFilter="0" deleteColumns="1" deleteRows="1" formatCells="1" formatColumns="0" formatRows="0" insertColumns="1" insertHyperlinks="1" insertRows="1" objects="0" pivotTables="1" scenarios="0" selectLockedCells="0" selectUnlockedCells="0" sheet="1" sort="1"/>
  <mergeCells count="17">
    <mergeCell ref="D14:H14"/>
    <mergeCell ref="D15:H15"/>
    <mergeCell ref="D18:H18"/>
    <mergeCell ref="I18:I19"/>
    <mergeCell ref="E21:H21"/>
    <mergeCell ref="E25:H25"/>
    <mergeCell ref="I26:I27"/>
    <mergeCell ref="E28:H28"/>
    <mergeCell ref="I29:I30"/>
    <mergeCell ref="E31:H31"/>
    <mergeCell ref="E32:H32"/>
    <mergeCell ref="I33:I34"/>
    <mergeCell ref="E35:H35"/>
    <mergeCell ref="I36:I37"/>
    <mergeCell ref="E38:H38"/>
    <mergeCell ref="I39:I40"/>
    <mergeCell ref="E42:I42"/>
  </mergeCells>
  <dataValidations count="1" disablePrompts="0">
    <dataValidation sqref="G22"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3" disablePrompts="0">
        <x14:dataValidation xr:uid="{00FB00A9-0048-461B-9127-00C300C80077}" type="list" allowBlank="1" error="для выбора выполните двойной щелчок по ячейке" errorStyle="stop" imeMode="noControl" operator="between" prompt="Для выбора выполните двойной щелчок левой клавиши мыши по соответствующей ячейке." showDropDown="1" showErrorMessage="1" showInputMessage="1">
          <x14:formula1>
            <xm:f>"a"</xm:f>
          </x14:formula1>
          <xm:sqref>G10 G39</xm:sqref>
        </x14:dataValidation>
        <x14:dataValidation xr:uid="{006E00AD-00F7-43EE-8E0D-00A800F80036}"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H26 H23:H24 H2</xm:sqref>
        </x14:dataValidation>
        <x14:dataValidation xr:uid="{00890093-00F0-41F0-ADAF-006000A50004}" type="textLength" allowBlank="1" error="Допускается ввод не более 900 символов!" errorStyle="stop" errorTitle="Ошибка" imeMode="noControl" operator="lessThanOrEqual" showDropDown="0" showErrorMessage="1" showInputMessage="1">
          <x14:formula1>
            <xm:f>900</xm:f>
          </x14:formula1>
          <xm:sqref>I23:I24 I33 G36 I39 I26 E29 G33 E36 I29 E33 I36 G23 E26 I10 E23 G29 E10 G8 E2 I2 I4 G4 E4 E6 I6 G6 E8 I8 E39</xm:sqref>
        </x14:dataValidation>
      </x14:dataValidations>
    </ext>
  </extLst>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zoomScale="90" workbookViewId="0">
      <pane xSplit="7" ySplit="21" topLeftCell="H22" activePane="bottomRight" state="frozen"/>
      <selection activeCell="J22" activeCellId="0" sqref="J22"/>
    </sheetView>
  </sheetViews>
  <sheetFormatPr defaultColWidth="10.57421875" defaultRowHeight="14.25" customHeight="1"/>
  <cols>
    <col customWidth="1" hidden="1" min="1" max="2" style="11" width="25.140625"/>
    <col customWidth="1" hidden="1" min="3" max="3" style="404" width="9.140625"/>
    <col customWidth="1" min="4" max="4" style="487" width="3.00390625"/>
    <col customWidth="1" min="5" max="5" style="50" width="6.00390625"/>
    <col customWidth="1" min="6" max="6" style="50" width="46.7109375"/>
    <col customWidth="1" min="7" max="7" style="50" width="35.00390625"/>
    <col customWidth="1" min="8" max="8" style="50" width="3.00390625"/>
    <col customWidth="1" min="9" max="9" style="50" width="12.7109375"/>
    <col customWidth="1" min="10" max="10" style="50" width="12.421875"/>
    <col customWidth="1" min="11" max="12" style="50" width="35.00390625"/>
    <col customWidth="1" min="13" max="13" style="50" width="84.00390625"/>
    <col customWidth="1" min="14" max="14" style="50" width="10.00390625"/>
    <col customWidth="1" min="15" max="16" style="129" width="10.00390625"/>
    <col customWidth="1" min="17" max="33" style="50" width="10.00390625"/>
    <col hidden="1" min="34" max="34" style="50" width="10.57421875"/>
  </cols>
  <sheetData>
    <row r="1" s="50" customFormat="1" ht="22.5" hidden="1" customHeight="1">
      <c r="A1" s="11"/>
      <c r="B1" s="11"/>
      <c r="C1" s="404"/>
      <c r="D1" s="487"/>
      <c r="N1" s="57">
        <f>_xlfn.IFERROR(MATCH("метод экономически обоснованных расходов (затрат)",OFFER_METHOD,0),0)</f>
        <v>25</v>
      </c>
      <c r="O1" s="129"/>
      <c r="P1" s="129"/>
      <c r="T1" s="120"/>
      <c r="AG1" s="830"/>
      <c r="AH1" s="50" t="s">
        <v>14</v>
      </c>
    </row>
    <row r="2" s="50" customFormat="1" ht="18.75" hidden="1" customHeight="1">
      <c r="A2" s="143" t="s">
        <v>155</v>
      </c>
      <c r="B2" s="143" t="s">
        <v>156</v>
      </c>
      <c r="C2" s="404"/>
      <c r="D2" s="487"/>
      <c r="E2" s="564"/>
      <c r="F2" s="564"/>
      <c r="G2" s="914" t="str">
        <f>INDEX(PT_DIFFERENTIATION_NTAR,MATCH(B2,PT_DIFFERENTIATION_NTAR_ID,0))</f>
        <v/>
      </c>
      <c r="H2" s="426"/>
      <c r="I2" s="980"/>
      <c r="J2" s="981"/>
      <c r="K2" s="616"/>
      <c r="L2" s="426" t="s">
        <v>311</v>
      </c>
      <c r="M2" s="637"/>
      <c r="N2" s="791"/>
      <c r="O2" s="129"/>
      <c r="P2" s="129"/>
      <c r="AH2" s="50">
        <v>0</v>
      </c>
    </row>
    <row r="3" s="50" customFormat="1" ht="18.75" hidden="1" customHeight="1">
      <c r="A3" s="143"/>
      <c r="B3" s="143"/>
      <c r="C3" s="404" t="s">
        <v>1148</v>
      </c>
      <c r="D3" s="487"/>
      <c r="E3" s="564"/>
      <c r="F3" s="564"/>
      <c r="G3" s="914"/>
      <c r="H3" s="711"/>
      <c r="I3" s="177" t="s">
        <v>1149</v>
      </c>
      <c r="J3" s="235"/>
      <c r="K3" s="711"/>
      <c r="L3" s="842"/>
      <c r="M3" s="637"/>
      <c r="N3" s="791"/>
      <c r="O3" s="129"/>
      <c r="P3" s="129"/>
      <c r="AH3" s="50">
        <v>0</v>
      </c>
    </row>
    <row r="4" s="50" customFormat="1" ht="14.25" hidden="1" customHeight="1">
      <c r="A4" s="11"/>
      <c r="B4" s="11"/>
      <c r="C4" s="404"/>
      <c r="D4" s="487"/>
      <c r="N4" s="57">
        <f>_xlfn.IFERROR(MATCH("метод экономически обоснованных расходов (затрат)",OFFER_METHOD,0),0)</f>
        <v>25</v>
      </c>
      <c r="O4" s="129"/>
      <c r="P4" s="129"/>
      <c r="T4" s="120"/>
      <c r="AG4" s="830"/>
      <c r="AH4" s="50">
        <v>0</v>
      </c>
    </row>
    <row r="5" s="50" customFormat="1" ht="18.75" hidden="1" customHeight="1">
      <c r="A5" s="143" t="s">
        <v>155</v>
      </c>
      <c r="B5" s="143" t="s">
        <v>156</v>
      </c>
      <c r="C5" s="404"/>
      <c r="D5" s="487"/>
      <c r="E5" s="564"/>
      <c r="F5" s="564"/>
      <c r="G5" s="914" t="str">
        <f>INDEX(PT_DIFFERENTIATION_NTAR,MATCH(B5,PT_DIFFERENTIATION_NTAR_ID,0))</f>
        <v/>
      </c>
      <c r="H5" s="426"/>
      <c r="I5" s="980"/>
      <c r="J5" s="981"/>
      <c r="K5" s="442"/>
      <c r="L5" s="426" t="s">
        <v>311</v>
      </c>
      <c r="M5" s="637"/>
      <c r="N5" s="791"/>
      <c r="O5" s="129"/>
      <c r="P5" s="129"/>
      <c r="AH5" s="50">
        <v>0</v>
      </c>
    </row>
    <row r="6" s="50" customFormat="1" ht="18.75" hidden="1" customHeight="1">
      <c r="A6" s="143"/>
      <c r="B6" s="143"/>
      <c r="C6" s="404" t="s">
        <v>1150</v>
      </c>
      <c r="D6" s="487"/>
      <c r="E6" s="564"/>
      <c r="F6" s="564"/>
      <c r="G6" s="914"/>
      <c r="H6" s="711"/>
      <c r="I6" s="177" t="s">
        <v>1149</v>
      </c>
      <c r="J6" s="235"/>
      <c r="K6" s="711"/>
      <c r="L6" s="842"/>
      <c r="M6" s="637"/>
      <c r="N6" s="791"/>
      <c r="O6" s="129"/>
      <c r="P6" s="129"/>
      <c r="AH6" s="50">
        <v>0</v>
      </c>
    </row>
    <row r="7" s="50" customFormat="1" ht="14.25" hidden="1" customHeight="1">
      <c r="A7" s="11"/>
      <c r="B7" s="11"/>
      <c r="C7" s="404"/>
      <c r="D7" s="487"/>
      <c r="N7" s="57">
        <f>_xlfn.IFERROR(MATCH("метод экономически обоснованных расходов (затрат)",OFFER_METHOD,0),0)</f>
        <v>25</v>
      </c>
      <c r="O7" s="129"/>
      <c r="P7" s="129"/>
      <c r="T7" s="120"/>
      <c r="AG7" s="830"/>
      <c r="AH7" s="50">
        <v>0</v>
      </c>
    </row>
    <row r="8" s="50" customFormat="1" ht="56.25" hidden="1" customHeight="1">
      <c r="A8" s="143"/>
      <c r="B8" s="143"/>
      <c r="C8" s="404"/>
      <c r="D8" s="487"/>
      <c r="E8" s="564"/>
      <c r="F8" s="564"/>
      <c r="G8" s="564"/>
      <c r="H8" s="426"/>
      <c r="I8" s="980"/>
      <c r="J8" s="981"/>
      <c r="K8" s="616"/>
      <c r="L8" s="426" t="s">
        <v>311</v>
      </c>
      <c r="M8" s="637"/>
      <c r="N8" s="791"/>
      <c r="O8" s="129"/>
      <c r="P8" s="129"/>
      <c r="AH8" s="50">
        <v>0</v>
      </c>
    </row>
    <row r="9" ht="14.25" hidden="1" customHeight="1">
      <c r="T9" s="120"/>
      <c r="AG9" s="830"/>
      <c r="AH9" s="50">
        <v>0</v>
      </c>
    </row>
    <row r="10" s="50" customFormat="1" ht="56.25" hidden="1" customHeight="1">
      <c r="A10" s="143"/>
      <c r="B10" s="143"/>
      <c r="C10" s="404"/>
      <c r="D10" s="487"/>
      <c r="E10" s="564"/>
      <c r="F10" s="564"/>
      <c r="G10" s="564"/>
      <c r="H10" s="246"/>
      <c r="I10" s="980"/>
      <c r="J10" s="981"/>
      <c r="K10" s="442"/>
      <c r="L10" s="426" t="s">
        <v>311</v>
      </c>
      <c r="M10" s="637"/>
      <c r="N10" s="791"/>
      <c r="O10" s="129"/>
      <c r="P10" s="129"/>
      <c r="AH10" s="50">
        <v>0</v>
      </c>
    </row>
    <row r="11" ht="14.25" hidden="1" customHeight="1">
      <c r="AH11" s="50">
        <v>0</v>
      </c>
    </row>
    <row r="12" ht="14.25" hidden="1" customHeight="1">
      <c r="AH12" s="50">
        <v>0</v>
      </c>
    </row>
    <row r="13" ht="6.2999999999999998" customHeight="1">
      <c r="D13" s="548"/>
      <c r="E13" s="91"/>
      <c r="F13" s="91"/>
      <c r="G13" s="91"/>
      <c r="H13" s="91"/>
      <c r="I13" s="91"/>
      <c r="J13" s="91"/>
      <c r="K13" s="91"/>
      <c r="L13" s="833"/>
      <c r="M13" s="833"/>
      <c r="AH13" s="50">
        <v>6</v>
      </c>
    </row>
    <row r="14" ht="14.65" customHeight="1">
      <c r="D14" s="548"/>
      <c r="E14" s="982"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 xml:space="preserve">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982"/>
      <c r="G14" s="982"/>
      <c r="H14" s="982"/>
      <c r="I14" s="982"/>
      <c r="J14" s="982"/>
      <c r="K14" s="982"/>
      <c r="L14" s="982"/>
      <c r="M14" s="240"/>
      <c r="AH14" s="50">
        <v>14</v>
      </c>
    </row>
    <row r="15" ht="6.2999999999999998" customHeight="1">
      <c r="D15" s="548"/>
      <c r="E15" s="91"/>
      <c r="F15" s="83"/>
      <c r="G15" s="83"/>
      <c r="H15" s="83"/>
      <c r="I15" s="83"/>
      <c r="J15" s="83"/>
      <c r="K15" s="83"/>
      <c r="L15" s="550"/>
      <c r="M15" s="834"/>
      <c r="AH15" s="50">
        <v>6</v>
      </c>
    </row>
    <row r="16" ht="24" customHeight="1">
      <c r="D16" s="548"/>
      <c r="E16" s="91"/>
      <c r="F16" s="983" t="str">
        <f>"Дата подачи заявления об "&amp;IF(TITLE_DATE_PR_CHANGE="","утверждении","изменении")&amp;" тарифов"</f>
        <v xml:space="preserve">Дата подачи заявления об изменении тарифов</v>
      </c>
      <c r="G16" s="555">
        <f>IF(TITLE_DATE_PR_CHANGE="",IF(TITLE_DATE_PR="","",TITLE_DATE_PR),TITLE_DATE_PR_CHANGE)</f>
        <v>46212.428518518522</v>
      </c>
      <c r="H16" s="555"/>
      <c r="I16" s="555"/>
      <c r="J16" s="555"/>
      <c r="K16" s="555"/>
      <c r="L16" s="555"/>
      <c r="M16" s="791"/>
      <c r="N16" s="50"/>
      <c r="AH16" s="50">
        <v>23</v>
      </c>
    </row>
    <row r="17" ht="24" customHeight="1">
      <c r="D17" s="548"/>
      <c r="E17" s="91"/>
      <c r="F17" s="983" t="str">
        <f>"Номер подачи заявления об "&amp;IF(TITLE_DATE_PR_CHANGE="","утверждении","изменении")&amp;" тарифов"</f>
        <v xml:space="preserve">Номер подачи заявления об изменении тарифов</v>
      </c>
      <c r="G17" s="553" t="str">
        <f>IF(TITLE_NUMBER_PR_CHANGE="",IF(TITLE_NUMBER_PR="","",TITLE_NUMBER_PR),TITLE_NUMBER_PR_CHANGE)</f>
        <v>Исх-260/1397</v>
      </c>
      <c r="H17" s="553"/>
      <c r="I17" s="553"/>
      <c r="J17" s="553"/>
      <c r="K17" s="553"/>
      <c r="L17" s="553"/>
      <c r="M17" s="791"/>
      <c r="N17" s="50"/>
      <c r="AH17" s="50">
        <v>23</v>
      </c>
    </row>
    <row r="18" ht="14.65" customHeight="1">
      <c r="D18" s="548"/>
      <c r="E18" s="91"/>
      <c r="F18" s="83"/>
      <c r="G18" s="83"/>
      <c r="H18" s="83"/>
      <c r="I18" s="83"/>
      <c r="J18" s="83"/>
      <c r="K18" s="83"/>
      <c r="L18" s="352"/>
      <c r="M18" s="834"/>
      <c r="AH18" s="50">
        <v>14</v>
      </c>
    </row>
    <row r="19" ht="22" customHeight="1">
      <c r="D19" s="548"/>
      <c r="E19" s="358" t="s">
        <v>305</v>
      </c>
      <c r="F19" s="358"/>
      <c r="G19" s="358"/>
      <c r="H19" s="358"/>
      <c r="I19" s="358"/>
      <c r="J19" s="358"/>
      <c r="K19" s="358"/>
      <c r="L19" s="358"/>
      <c r="M19" s="838" t="s">
        <v>306</v>
      </c>
      <c r="AH19" s="50">
        <v>21</v>
      </c>
    </row>
    <row r="20" ht="22" customHeight="1">
      <c r="D20" s="548"/>
      <c r="E20" s="562" t="s">
        <v>89</v>
      </c>
      <c r="F20" s="427" t="s">
        <v>122</v>
      </c>
      <c r="G20" s="427" t="s">
        <v>123</v>
      </c>
      <c r="H20" s="835" t="s">
        <v>1151</v>
      </c>
      <c r="I20" s="836"/>
      <c r="J20" s="951"/>
      <c r="K20" s="427" t="s">
        <v>308</v>
      </c>
      <c r="L20" s="427" t="s">
        <v>395</v>
      </c>
      <c r="M20" s="838"/>
      <c r="AH20" s="50">
        <v>21</v>
      </c>
    </row>
    <row r="21" ht="22" customHeight="1">
      <c r="D21" s="548"/>
      <c r="E21" s="570"/>
      <c r="F21" s="430"/>
      <c r="G21" s="430"/>
      <c r="H21" s="424" t="s">
        <v>1152</v>
      </c>
      <c r="I21" s="426"/>
      <c r="J21" s="246" t="s">
        <v>1153</v>
      </c>
      <c r="K21" s="430"/>
      <c r="L21" s="430"/>
      <c r="M21" s="838"/>
      <c r="AH21" s="50">
        <v>21</v>
      </c>
    </row>
    <row r="22" ht="12.75" customHeight="1">
      <c r="D22" s="548"/>
      <c r="E22" s="434"/>
      <c r="F22" s="434"/>
      <c r="G22" s="434"/>
      <c r="H22" s="984"/>
      <c r="I22" s="984"/>
      <c r="J22" s="434"/>
      <c r="K22" s="434"/>
      <c r="L22" s="434"/>
      <c r="M22" s="434"/>
      <c r="AH22" s="50">
        <v>12</v>
      </c>
    </row>
    <row r="23" ht="19.949999999999999" customHeight="1">
      <c r="A23" s="143"/>
      <c r="B23" s="143"/>
      <c r="D23" s="548"/>
      <c r="E23" s="985" t="s">
        <v>109</v>
      </c>
      <c r="F23" s="986" t="str">
        <f>"Предлагаемый метод регулирования"&amp;IF(TEMPLATE_SPHERE="HEAT"," в сфере "&amp;TEMPLATE_SPHERE_RUS,"")</f>
        <v xml:space="preserve">Предлагаемый метод регулирования в сфере теплоснабжения</v>
      </c>
      <c r="G23" s="986"/>
      <c r="H23" s="840"/>
      <c r="I23" s="840"/>
      <c r="J23" s="840"/>
      <c r="K23" s="986" t="s">
        <v>311</v>
      </c>
      <c r="L23" s="840"/>
      <c r="M23" s="326"/>
      <c r="N23" s="791"/>
      <c r="AH23" s="50">
        <v>19</v>
      </c>
    </row>
    <row r="24" ht="60.75" hidden="1" customHeight="1">
      <c r="A24" s="143" t="s">
        <v>155</v>
      </c>
      <c r="B24" s="143" t="s">
        <v>156</v>
      </c>
      <c r="D24" s="987"/>
      <c r="E24" s="355"/>
      <c r="F24" s="988" t="str">
        <f>INDEX(PT_DIFFERENTIATION_VTAR,MATCH(A24,PT_DIFFERENTIATION_VTAR_ID,0))</f>
        <v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914" t="str">
        <f>INDEX(PT_DIFFERENTIATION_NTAR,MATCH(B24,PT_DIFFERENTIATION_NTAR_ID,0))</f>
        <v/>
      </c>
      <c r="H24" s="426"/>
      <c r="I24" s="980"/>
      <c r="J24" s="981"/>
      <c r="K24" s="616"/>
      <c r="L24" s="426" t="s">
        <v>311</v>
      </c>
      <c r="M24" s="28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 xml:space="preserve">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791"/>
      <c r="AH24" s="50">
        <v>0</v>
      </c>
    </row>
    <row r="25" s="50" customFormat="1" ht="18.75" hidden="1" customHeight="1">
      <c r="A25" s="143"/>
      <c r="B25" s="143"/>
      <c r="C25" s="404" t="s">
        <v>1148</v>
      </c>
      <c r="D25" s="987"/>
      <c r="E25" s="355"/>
      <c r="F25" s="988"/>
      <c r="G25" s="914"/>
      <c r="H25" s="711"/>
      <c r="I25" s="177" t="s">
        <v>1149</v>
      </c>
      <c r="J25" s="235"/>
      <c r="K25" s="711"/>
      <c r="L25" s="842"/>
      <c r="M25" s="287"/>
      <c r="N25" s="791"/>
      <c r="O25" s="129"/>
      <c r="P25" s="129"/>
      <c r="AH25" s="50">
        <v>0</v>
      </c>
    </row>
    <row r="26" ht="0.75" hidden="1" customHeight="1">
      <c r="A26" s="143"/>
      <c r="B26" s="143"/>
      <c r="C26" s="404" t="s">
        <v>1154</v>
      </c>
      <c r="D26" s="987"/>
      <c r="E26" s="355"/>
      <c r="F26" s="79"/>
      <c r="G26" s="989"/>
      <c r="H26" s="711"/>
      <c r="I26" s="177"/>
      <c r="J26" s="235"/>
      <c r="K26" s="711"/>
      <c r="L26" s="842"/>
      <c r="M26" s="287"/>
      <c r="N26" s="791"/>
      <c r="AH26" s="50">
        <v>0</v>
      </c>
    </row>
    <row r="27" s="50" customFormat="1" ht="45" hidden="1" customHeight="1">
      <c r="A27" s="143" t="s">
        <v>161</v>
      </c>
      <c r="B27" s="143" t="s">
        <v>162</v>
      </c>
      <c r="C27" s="404"/>
      <c r="D27" s="990"/>
      <c r="E27" s="991"/>
      <c r="F27" s="992" t="str">
        <f>INDEX(PT_DIFFERENTIATION_VTAR,MATCH(A27,PT_DIFFERENTIATION_VTAR_ID,0))</f>
        <v xml:space="preserve">Тарифы на тепловую энергию (мощность), поставляемую теплоснабжающими организациями потребителям, другим теплоснабжающим организациям</v>
      </c>
      <c r="G27" s="914" t="str">
        <f>INDEX(PT_DIFFERENTIATION_NTAR,MATCH(B27,PT_DIFFERENTIATION_NTAR_ID,0))</f>
        <v/>
      </c>
      <c r="H27" s="426"/>
      <c r="I27" s="980"/>
      <c r="J27" s="981"/>
      <c r="K27" s="616"/>
      <c r="L27" s="426" t="s">
        <v>311</v>
      </c>
      <c r="M27" s="287"/>
      <c r="N27" s="791"/>
      <c r="O27" s="129"/>
      <c r="P27" s="129"/>
      <c r="AH27" s="50">
        <v>0</v>
      </c>
    </row>
    <row r="28" s="50" customFormat="1" ht="18.75" hidden="1" customHeight="1">
      <c r="A28" s="143"/>
      <c r="B28" s="143"/>
      <c r="C28" s="404" t="s">
        <v>1148</v>
      </c>
      <c r="D28" s="990"/>
      <c r="E28" s="991"/>
      <c r="F28" s="992"/>
      <c r="G28" s="914"/>
      <c r="H28" s="711"/>
      <c r="I28" s="177" t="s">
        <v>1149</v>
      </c>
      <c r="J28" s="235"/>
      <c r="K28" s="711"/>
      <c r="L28" s="842"/>
      <c r="M28" s="287"/>
      <c r="N28" s="791"/>
      <c r="O28" s="129"/>
      <c r="P28" s="129"/>
      <c r="AH28" s="50">
        <v>0</v>
      </c>
    </row>
    <row r="29" s="50" customFormat="1" ht="0.75" hidden="1" customHeight="1">
      <c r="A29" s="143"/>
      <c r="B29" s="143"/>
      <c r="C29" s="404" t="s">
        <v>1154</v>
      </c>
      <c r="D29" s="990"/>
      <c r="E29" s="355"/>
      <c r="F29" s="79"/>
      <c r="G29" s="989"/>
      <c r="H29" s="711"/>
      <c r="I29" s="177"/>
      <c r="J29" s="235"/>
      <c r="K29" s="711"/>
      <c r="L29" s="842"/>
      <c r="M29" s="287"/>
      <c r="N29" s="791"/>
      <c r="O29" s="129"/>
      <c r="P29" s="129"/>
      <c r="AH29" s="50">
        <v>0</v>
      </c>
    </row>
    <row r="30" s="50" customFormat="1" ht="45" hidden="1" customHeight="1">
      <c r="A30" s="143" t="s">
        <v>167</v>
      </c>
      <c r="B30" s="143" t="s">
        <v>168</v>
      </c>
      <c r="C30" s="404"/>
      <c r="D30" s="990"/>
      <c r="E30" s="355"/>
      <c r="F30" s="79" t="str">
        <f>INDEX(PT_DIFFERENTIATION_VTAR,MATCH(A30,PT_DIFFERENTIATION_VTAR_ID,0))</f>
        <v xml:space="preserve">Тарифы на теплоноситель, поставляемый теплоснабжающими организациями потребителям, другим теплоснабжающим организациям</v>
      </c>
      <c r="G30" s="914" t="str">
        <f>INDEX(PT_DIFFERENTIATION_NTAR,MATCH(B30,PT_DIFFERENTIATION_NTAR_ID,0))</f>
        <v/>
      </c>
      <c r="H30" s="426"/>
      <c r="I30" s="980"/>
      <c r="J30" s="981"/>
      <c r="K30" s="616"/>
      <c r="L30" s="426" t="s">
        <v>311</v>
      </c>
      <c r="M30" s="287"/>
      <c r="N30" s="791"/>
      <c r="O30" s="129"/>
      <c r="P30" s="129"/>
      <c r="AH30" s="50">
        <v>0</v>
      </c>
    </row>
    <row r="31" s="50" customFormat="1" ht="18.75" hidden="1" customHeight="1">
      <c r="A31" s="143"/>
      <c r="B31" s="143"/>
      <c r="C31" s="404" t="s">
        <v>1148</v>
      </c>
      <c r="D31" s="990"/>
      <c r="E31" s="355"/>
      <c r="F31" s="79"/>
      <c r="G31" s="914"/>
      <c r="H31" s="711"/>
      <c r="I31" s="177" t="s">
        <v>1149</v>
      </c>
      <c r="J31" s="235"/>
      <c r="K31" s="711"/>
      <c r="L31" s="842"/>
      <c r="M31" s="287"/>
      <c r="N31" s="791"/>
      <c r="O31" s="129"/>
      <c r="P31" s="129"/>
      <c r="AH31" s="50">
        <v>0</v>
      </c>
    </row>
    <row r="32" s="50" customFormat="1" ht="0.75" hidden="1" customHeight="1">
      <c r="A32" s="143"/>
      <c r="B32" s="143"/>
      <c r="C32" s="404" t="s">
        <v>1154</v>
      </c>
      <c r="D32" s="990"/>
      <c r="E32" s="355"/>
      <c r="F32" s="79"/>
      <c r="G32" s="989"/>
      <c r="H32" s="711"/>
      <c r="I32" s="177"/>
      <c r="J32" s="235"/>
      <c r="K32" s="711"/>
      <c r="L32" s="842"/>
      <c r="M32" s="287"/>
      <c r="N32" s="791"/>
      <c r="O32" s="129"/>
      <c r="P32" s="129"/>
      <c r="AH32" s="50">
        <v>0</v>
      </c>
    </row>
    <row r="33" s="50" customFormat="1" ht="45" hidden="1" customHeight="1">
      <c r="A33" s="143" t="s">
        <v>173</v>
      </c>
      <c r="B33" s="143" t="s">
        <v>174</v>
      </c>
      <c r="C33" s="404"/>
      <c r="D33" s="990"/>
      <c r="E33" s="355"/>
      <c r="F33" s="79" t="str">
        <f>INDEX(PT_DIFFERENTIATION_VTAR,MATCH(A33,PT_DIFFERENTIATION_VTAR_ID,0))</f>
        <v xml:space="preserve">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914" t="str">
        <f>INDEX(PT_DIFFERENTIATION_NTAR,MATCH(B33,PT_DIFFERENTIATION_NTAR_ID,0))</f>
        <v/>
      </c>
      <c r="H33" s="426"/>
      <c r="I33" s="980"/>
      <c r="J33" s="981"/>
      <c r="K33" s="616"/>
      <c r="L33" s="426" t="s">
        <v>311</v>
      </c>
      <c r="M33" s="287"/>
      <c r="N33" s="791"/>
      <c r="O33" s="129"/>
      <c r="P33" s="129"/>
      <c r="AH33" s="50">
        <v>0</v>
      </c>
    </row>
    <row r="34" s="50" customFormat="1" ht="18.75" hidden="1" customHeight="1">
      <c r="A34" s="143"/>
      <c r="B34" s="143"/>
      <c r="C34" s="404" t="s">
        <v>1148</v>
      </c>
      <c r="D34" s="990"/>
      <c r="E34" s="355"/>
      <c r="F34" s="79"/>
      <c r="G34" s="914"/>
      <c r="H34" s="711"/>
      <c r="I34" s="177" t="s">
        <v>1149</v>
      </c>
      <c r="J34" s="235"/>
      <c r="K34" s="711"/>
      <c r="L34" s="842"/>
      <c r="M34" s="287"/>
      <c r="N34" s="791"/>
      <c r="O34" s="129"/>
      <c r="P34" s="129"/>
      <c r="AH34" s="50">
        <v>0</v>
      </c>
    </row>
    <row r="35" s="50" customFormat="1" ht="0.75" hidden="1" customHeight="1">
      <c r="A35" s="143"/>
      <c r="B35" s="143"/>
      <c r="C35" s="404" t="s">
        <v>1154</v>
      </c>
      <c r="D35" s="990"/>
      <c r="E35" s="355"/>
      <c r="F35" s="79"/>
      <c r="G35" s="989"/>
      <c r="H35" s="711"/>
      <c r="I35" s="177"/>
      <c r="J35" s="235"/>
      <c r="K35" s="711"/>
      <c r="L35" s="842"/>
      <c r="M35" s="287"/>
      <c r="N35" s="791"/>
      <c r="O35" s="129"/>
      <c r="P35" s="129"/>
      <c r="AH35" s="50">
        <v>0</v>
      </c>
    </row>
    <row r="36" s="50" customFormat="1" ht="18.75" hidden="1" customHeight="1">
      <c r="A36" s="143" t="s">
        <v>179</v>
      </c>
      <c r="B36" s="143" t="s">
        <v>180</v>
      </c>
      <c r="C36" s="404"/>
      <c r="D36" s="990"/>
      <c r="E36" s="355"/>
      <c r="F36" s="79" t="str">
        <f>INDEX(PT_DIFFERENTIATION_VTAR,MATCH(A36,PT_DIFFERENTIATION_VTAR_ID,0))</f>
        <v xml:space="preserve">Тарифы на услуги по передаче тепловой энергии</v>
      </c>
      <c r="G36" s="914" t="str">
        <f>INDEX(PT_DIFFERENTIATION_NTAR,MATCH(B36,PT_DIFFERENTIATION_NTAR_ID,0))</f>
        <v/>
      </c>
      <c r="H36" s="426"/>
      <c r="I36" s="980"/>
      <c r="J36" s="981"/>
      <c r="K36" s="616"/>
      <c r="L36" s="426" t="s">
        <v>311</v>
      </c>
      <c r="M36" s="287"/>
      <c r="N36" s="791"/>
      <c r="O36" s="129"/>
      <c r="P36" s="129"/>
      <c r="AH36" s="50">
        <v>0</v>
      </c>
    </row>
    <row r="37" s="50" customFormat="1" ht="18.75" hidden="1" customHeight="1">
      <c r="A37" s="143"/>
      <c r="B37" s="143"/>
      <c r="C37" s="404" t="s">
        <v>1148</v>
      </c>
      <c r="D37" s="990"/>
      <c r="E37" s="355"/>
      <c r="F37" s="79"/>
      <c r="G37" s="914"/>
      <c r="H37" s="711"/>
      <c r="I37" s="177" t="s">
        <v>1149</v>
      </c>
      <c r="J37" s="235"/>
      <c r="K37" s="711"/>
      <c r="L37" s="842"/>
      <c r="M37" s="287"/>
      <c r="N37" s="791"/>
      <c r="O37" s="129"/>
      <c r="P37" s="129"/>
      <c r="AH37" s="50">
        <v>0</v>
      </c>
    </row>
    <row r="38" s="50" customFormat="1" ht="0.75" hidden="1" customHeight="1">
      <c r="A38" s="143"/>
      <c r="B38" s="143"/>
      <c r="C38" s="404" t="s">
        <v>1154</v>
      </c>
      <c r="D38" s="990"/>
      <c r="E38" s="355"/>
      <c r="F38" s="79"/>
      <c r="G38" s="989"/>
      <c r="H38" s="711"/>
      <c r="I38" s="177"/>
      <c r="J38" s="235"/>
      <c r="K38" s="711"/>
      <c r="L38" s="842"/>
      <c r="M38" s="287"/>
      <c r="N38" s="791"/>
      <c r="O38" s="129"/>
      <c r="P38" s="129"/>
      <c r="AH38" s="50">
        <v>0</v>
      </c>
    </row>
    <row r="39" s="50" customFormat="1" ht="18.75" hidden="1" customHeight="1">
      <c r="A39" s="143" t="s">
        <v>185</v>
      </c>
      <c r="B39" s="143" t="s">
        <v>186</v>
      </c>
      <c r="C39" s="404"/>
      <c r="D39" s="990"/>
      <c r="E39" s="355"/>
      <c r="F39" s="79" t="str">
        <f>INDEX(PT_DIFFERENTIATION_VTAR,MATCH(A39,PT_DIFFERENTIATION_VTAR_ID,0))</f>
        <v xml:space="preserve">Тарифы на услуги по передаче теплоносителя</v>
      </c>
      <c r="G39" s="914" t="str">
        <f>INDEX(PT_DIFFERENTIATION_NTAR,MATCH(B39,PT_DIFFERENTIATION_NTAR_ID,0))</f>
        <v/>
      </c>
      <c r="H39" s="426"/>
      <c r="I39" s="980"/>
      <c r="J39" s="981"/>
      <c r="K39" s="616"/>
      <c r="L39" s="426" t="s">
        <v>311</v>
      </c>
      <c r="M39" s="287"/>
      <c r="N39" s="791"/>
      <c r="O39" s="129"/>
      <c r="P39" s="129"/>
      <c r="AH39" s="50">
        <v>0</v>
      </c>
    </row>
    <row r="40" s="50" customFormat="1" ht="18.75" hidden="1" customHeight="1">
      <c r="A40" s="143"/>
      <c r="B40" s="143"/>
      <c r="C40" s="404" t="s">
        <v>1148</v>
      </c>
      <c r="D40" s="990"/>
      <c r="E40" s="355"/>
      <c r="F40" s="79"/>
      <c r="G40" s="914"/>
      <c r="H40" s="711"/>
      <c r="I40" s="177" t="s">
        <v>1149</v>
      </c>
      <c r="J40" s="235"/>
      <c r="K40" s="711"/>
      <c r="L40" s="842"/>
      <c r="M40" s="287"/>
      <c r="N40" s="791"/>
      <c r="O40" s="129"/>
      <c r="P40" s="129"/>
      <c r="AH40" s="50">
        <v>0</v>
      </c>
    </row>
    <row r="41" s="50" customFormat="1" ht="0.75" hidden="1" customHeight="1">
      <c r="A41" s="143"/>
      <c r="B41" s="143"/>
      <c r="C41" s="404" t="s">
        <v>1154</v>
      </c>
      <c r="D41" s="990"/>
      <c r="E41" s="355"/>
      <c r="F41" s="79"/>
      <c r="G41" s="989"/>
      <c r="H41" s="711"/>
      <c r="I41" s="177"/>
      <c r="J41" s="235"/>
      <c r="K41" s="711"/>
      <c r="L41" s="842"/>
      <c r="M41" s="287"/>
      <c r="N41" s="791"/>
      <c r="O41" s="129"/>
      <c r="P41" s="129"/>
      <c r="AH41" s="50">
        <v>0</v>
      </c>
    </row>
    <row r="42" s="50" customFormat="1" ht="18.75" hidden="1" customHeight="1">
      <c r="A42" s="143" t="s">
        <v>191</v>
      </c>
      <c r="B42" s="143" t="s">
        <v>192</v>
      </c>
      <c r="C42" s="404"/>
      <c r="D42" s="990"/>
      <c r="E42" s="355"/>
      <c r="F42" s="79" t="str">
        <f>INDEX(PT_DIFFERENTIATION_VTAR,MATCH(A42,PT_DIFFERENTIATION_VTAR_ID,0))</f>
        <v xml:space="preserve">Плата за услуги по поддержанию резервной тепловой мощности при отсутствии потребления тепловой энергии</v>
      </c>
      <c r="G42" s="914" t="str">
        <f>INDEX(PT_DIFFERENTIATION_NTAR,MATCH(B42,PT_DIFFERENTIATION_NTAR_ID,0))</f>
        <v/>
      </c>
      <c r="H42" s="426"/>
      <c r="I42" s="980"/>
      <c r="J42" s="981"/>
      <c r="K42" s="616"/>
      <c r="L42" s="426" t="s">
        <v>311</v>
      </c>
      <c r="M42" s="287"/>
      <c r="N42" s="791"/>
      <c r="O42" s="129"/>
      <c r="P42" s="129"/>
      <c r="AH42" s="50">
        <v>0</v>
      </c>
    </row>
    <row r="43" s="50" customFormat="1" ht="18.75" hidden="1" customHeight="1">
      <c r="A43" s="143"/>
      <c r="B43" s="143"/>
      <c r="C43" s="404" t="s">
        <v>1148</v>
      </c>
      <c r="D43" s="990"/>
      <c r="E43" s="355"/>
      <c r="F43" s="79"/>
      <c r="G43" s="914"/>
      <c r="H43" s="711"/>
      <c r="I43" s="177" t="s">
        <v>1149</v>
      </c>
      <c r="J43" s="235"/>
      <c r="K43" s="711"/>
      <c r="L43" s="842"/>
      <c r="M43" s="287"/>
      <c r="N43" s="791"/>
      <c r="O43" s="129"/>
      <c r="P43" s="129"/>
      <c r="AH43" s="50">
        <v>0</v>
      </c>
    </row>
    <row r="44" s="50" customFormat="1" ht="0.75" hidden="1" customHeight="1">
      <c r="A44" s="143"/>
      <c r="B44" s="143"/>
      <c r="C44" s="404" t="s">
        <v>1154</v>
      </c>
      <c r="D44" s="990"/>
      <c r="E44" s="355"/>
      <c r="F44" s="79"/>
      <c r="G44" s="989"/>
      <c r="H44" s="711"/>
      <c r="I44" s="177"/>
      <c r="J44" s="235"/>
      <c r="K44" s="711"/>
      <c r="L44" s="842"/>
      <c r="M44" s="287"/>
      <c r="N44" s="791"/>
      <c r="O44" s="129"/>
      <c r="P44" s="129"/>
      <c r="AH44" s="50">
        <v>0</v>
      </c>
    </row>
    <row r="45" s="50" customFormat="1" ht="18.75" hidden="1" customHeight="1">
      <c r="A45" s="143" t="s">
        <v>197</v>
      </c>
      <c r="B45" s="143" t="s">
        <v>198</v>
      </c>
      <c r="C45" s="404"/>
      <c r="D45" s="990"/>
      <c r="E45" s="355"/>
      <c r="F45" s="79" t="str">
        <f>INDEX(PT_DIFFERENTIATION_VTAR,MATCH(A45,PT_DIFFERENTIATION_VTAR_ID,0))</f>
        <v xml:space="preserve">Плата за подключение (технологическое присоединение) к системе теплоснабжения</v>
      </c>
      <c r="G45" s="914" t="str">
        <f>INDEX(PT_DIFFERENTIATION_NTAR,MATCH(B45,PT_DIFFERENTIATION_NTAR_ID,0))</f>
        <v/>
      </c>
      <c r="H45" s="426"/>
      <c r="I45" s="980"/>
      <c r="J45" s="981"/>
      <c r="K45" s="616"/>
      <c r="L45" s="426" t="s">
        <v>311</v>
      </c>
      <c r="M45" s="287"/>
      <c r="N45" s="791"/>
      <c r="O45" s="129"/>
      <c r="P45" s="129"/>
      <c r="AH45" s="50">
        <v>0</v>
      </c>
    </row>
    <row r="46" s="50" customFormat="1" ht="18.75" hidden="1" customHeight="1">
      <c r="A46" s="143"/>
      <c r="B46" s="143"/>
      <c r="C46" s="404" t="s">
        <v>1148</v>
      </c>
      <c r="D46" s="990"/>
      <c r="E46" s="355"/>
      <c r="F46" s="79"/>
      <c r="G46" s="914"/>
      <c r="H46" s="711"/>
      <c r="I46" s="177" t="s">
        <v>1149</v>
      </c>
      <c r="J46" s="235"/>
      <c r="K46" s="711"/>
      <c r="L46" s="842"/>
      <c r="M46" s="287"/>
      <c r="N46" s="791"/>
      <c r="O46" s="129"/>
      <c r="P46" s="129"/>
      <c r="AH46" s="50">
        <v>0</v>
      </c>
    </row>
    <row r="47" s="50" customFormat="1" ht="0.75" hidden="1" customHeight="1">
      <c r="A47" s="143"/>
      <c r="B47" s="143"/>
      <c r="C47" s="404" t="s">
        <v>1154</v>
      </c>
      <c r="D47" s="990"/>
      <c r="E47" s="355"/>
      <c r="F47" s="79"/>
      <c r="G47" s="989"/>
      <c r="H47" s="711"/>
      <c r="I47" s="177"/>
      <c r="J47" s="235"/>
      <c r="K47" s="711"/>
      <c r="L47" s="842"/>
      <c r="M47" s="287"/>
      <c r="N47" s="791"/>
      <c r="O47" s="129"/>
      <c r="P47" s="129"/>
      <c r="AH47" s="50">
        <v>0</v>
      </c>
    </row>
    <row r="48" s="50" customFormat="1" ht="18.75" customHeight="1">
      <c r="A48" s="143" t="s">
        <v>206</v>
      </c>
      <c r="B48" s="143" t="s">
        <v>207</v>
      </c>
      <c r="C48" s="404"/>
      <c r="D48" s="990"/>
      <c r="E48" s="355"/>
      <c r="F48" s="79" t="str">
        <f>INDEX(PT_DIFFERENTIATION_VTAR,MATCH(A48,PT_DIFFERENTIATION_VTAR_ID,0))</f>
        <v xml:space="preserve">Плата за подключение (технологическое присоединение) к системе теплоснабжения (индивидуальная)</v>
      </c>
      <c r="G48" s="914" t="str">
        <f>INDEX(PT_DIFFERENTIATION_NTAR,MATCH(B48,PT_DIFFERENTIATION_NTAR_ID,0))</f>
        <v xml:space="preserve">Плата за подключение теплопотребляющих установок общества с ограниченной ответственностью Специализированный застройщик «Эдельвейс-5» для осуществления подключения объекта капитального строительства: «Многоэтажная жилая застройка со встроенными помещениями нежилого назначения, расположенная в районе ул. Кизлярской, 18 в г. Владивостоке», к системе теплоснабжения АО "ДГК" в индивидуальном порядке.</v>
      </c>
      <c r="H48" s="426"/>
      <c r="I48" s="980">
        <v>44883</v>
      </c>
      <c r="J48" s="981">
        <v>46775.449999999997</v>
      </c>
      <c r="K48" s="616" t="s">
        <v>1155</v>
      </c>
      <c r="L48" s="426" t="s">
        <v>311</v>
      </c>
      <c r="M48" s="287"/>
      <c r="N48" s="791"/>
      <c r="O48" s="129"/>
      <c r="P48" s="129"/>
      <c r="AH48" s="50">
        <v>0</v>
      </c>
    </row>
    <row r="49" s="50" customFormat="1" ht="18.75" customHeight="1">
      <c r="A49" s="143"/>
      <c r="B49" s="143"/>
      <c r="C49" s="404" t="s">
        <v>1148</v>
      </c>
      <c r="D49" s="990"/>
      <c r="E49" s="355"/>
      <c r="F49" s="79"/>
      <c r="G49" s="914"/>
      <c r="H49" s="711"/>
      <c r="I49" s="177" t="s">
        <v>1149</v>
      </c>
      <c r="J49" s="235"/>
      <c r="K49" s="711"/>
      <c r="L49" s="842"/>
      <c r="M49" s="287"/>
      <c r="N49" s="791"/>
      <c r="O49" s="129"/>
      <c r="P49" s="129"/>
      <c r="AH49" s="50">
        <v>0</v>
      </c>
    </row>
    <row r="50" s="50" customFormat="1" ht="0.75" customHeight="1">
      <c r="A50" s="143"/>
      <c r="B50" s="143"/>
      <c r="C50" s="404" t="s">
        <v>1154</v>
      </c>
      <c r="D50" s="990"/>
      <c r="E50" s="355"/>
      <c r="F50" s="79"/>
      <c r="G50" s="989"/>
      <c r="H50" s="711"/>
      <c r="I50" s="177"/>
      <c r="J50" s="235"/>
      <c r="K50" s="711"/>
      <c r="L50" s="842"/>
      <c r="M50" s="287"/>
      <c r="N50" s="791"/>
      <c r="O50" s="129"/>
      <c r="P50" s="129"/>
      <c r="AH50" s="50">
        <v>0</v>
      </c>
    </row>
    <row r="51" s="50" customFormat="1" ht="18.75" hidden="1" customHeight="1">
      <c r="A51" s="143" t="s">
        <v>230</v>
      </c>
      <c r="B51" s="143" t="s">
        <v>231</v>
      </c>
      <c r="C51" s="404"/>
      <c r="D51" s="990"/>
      <c r="E51" s="355"/>
      <c r="F51" s="79" t="str">
        <f>INDEX(PT_DIFFERENTIATION_VTAR,MATCH(A51,PT_DIFFERENTIATION_VTAR_ID,0))</f>
        <v xml:space="preserve">Тариф на питьевую воду (питьевое водоснабжение)</v>
      </c>
      <c r="G51" s="914" t="str">
        <f>INDEX(PT_DIFFERENTIATION_NTAR,MATCH(B51,PT_DIFFERENTIATION_NTAR_ID,0))</f>
        <v/>
      </c>
      <c r="H51" s="426"/>
      <c r="I51" s="980"/>
      <c r="J51" s="981"/>
      <c r="K51" s="616"/>
      <c r="L51" s="426" t="s">
        <v>311</v>
      </c>
      <c r="M51" s="287"/>
      <c r="N51" s="791"/>
      <c r="O51" s="129"/>
      <c r="P51" s="129"/>
      <c r="AH51" s="50">
        <v>0</v>
      </c>
    </row>
    <row r="52" s="50" customFormat="1" ht="18.75" hidden="1" customHeight="1">
      <c r="A52" s="143"/>
      <c r="B52" s="143"/>
      <c r="C52" s="404" t="s">
        <v>1148</v>
      </c>
      <c r="D52" s="990"/>
      <c r="E52" s="355"/>
      <c r="F52" s="79"/>
      <c r="G52" s="914"/>
      <c r="H52" s="711"/>
      <c r="I52" s="177" t="s">
        <v>1149</v>
      </c>
      <c r="J52" s="235"/>
      <c r="K52" s="711"/>
      <c r="L52" s="842"/>
      <c r="M52" s="287"/>
      <c r="N52" s="791"/>
      <c r="O52" s="129"/>
      <c r="P52" s="129"/>
      <c r="AH52" s="50">
        <v>0</v>
      </c>
    </row>
    <row r="53" s="50" customFormat="1" ht="0.75" hidden="1" customHeight="1">
      <c r="A53" s="143"/>
      <c r="B53" s="143"/>
      <c r="C53" s="404" t="s">
        <v>1154</v>
      </c>
      <c r="D53" s="990"/>
      <c r="E53" s="355"/>
      <c r="F53" s="79"/>
      <c r="G53" s="989"/>
      <c r="H53" s="711"/>
      <c r="I53" s="177"/>
      <c r="J53" s="235"/>
      <c r="K53" s="711"/>
      <c r="L53" s="842"/>
      <c r="M53" s="287"/>
      <c r="N53" s="791"/>
      <c r="O53" s="129"/>
      <c r="P53" s="129"/>
      <c r="AH53" s="50">
        <v>0</v>
      </c>
    </row>
    <row r="54" s="50" customFormat="1" ht="18.75" hidden="1" customHeight="1">
      <c r="A54" s="143" t="s">
        <v>235</v>
      </c>
      <c r="B54" s="143" t="s">
        <v>236</v>
      </c>
      <c r="C54" s="404"/>
      <c r="D54" s="990"/>
      <c r="E54" s="355"/>
      <c r="F54" s="79" t="str">
        <f>INDEX(PT_DIFFERENTIATION_VTAR,MATCH(A54,PT_DIFFERENTIATION_VTAR_ID,0))</f>
        <v xml:space="preserve">Тариф на техническую воду</v>
      </c>
      <c r="G54" s="914" t="str">
        <f>INDEX(PT_DIFFERENTIATION_NTAR,MATCH(B54,PT_DIFFERENTIATION_NTAR_ID,0))</f>
        <v/>
      </c>
      <c r="H54" s="426"/>
      <c r="I54" s="980"/>
      <c r="J54" s="981"/>
      <c r="K54" s="616"/>
      <c r="L54" s="426" t="s">
        <v>311</v>
      </c>
      <c r="M54" s="287"/>
      <c r="N54" s="791"/>
      <c r="O54" s="129"/>
      <c r="P54" s="129"/>
      <c r="AH54" s="50">
        <v>0</v>
      </c>
    </row>
    <row r="55" s="50" customFormat="1" ht="18.75" hidden="1" customHeight="1">
      <c r="A55" s="143"/>
      <c r="B55" s="143"/>
      <c r="C55" s="404" t="s">
        <v>1148</v>
      </c>
      <c r="D55" s="990"/>
      <c r="E55" s="355"/>
      <c r="F55" s="79"/>
      <c r="G55" s="914"/>
      <c r="H55" s="711"/>
      <c r="I55" s="177" t="s">
        <v>1149</v>
      </c>
      <c r="J55" s="235"/>
      <c r="K55" s="711"/>
      <c r="L55" s="842"/>
      <c r="M55" s="287"/>
      <c r="N55" s="791"/>
      <c r="O55" s="129"/>
      <c r="P55" s="129"/>
      <c r="AH55" s="50">
        <v>0</v>
      </c>
    </row>
    <row r="56" s="50" customFormat="1" ht="0.75" hidden="1" customHeight="1">
      <c r="A56" s="143"/>
      <c r="B56" s="143"/>
      <c r="C56" s="404" t="s">
        <v>1154</v>
      </c>
      <c r="D56" s="990"/>
      <c r="E56" s="355"/>
      <c r="F56" s="79"/>
      <c r="G56" s="989"/>
      <c r="H56" s="711"/>
      <c r="I56" s="177"/>
      <c r="J56" s="235"/>
      <c r="K56" s="711"/>
      <c r="L56" s="842"/>
      <c r="M56" s="287"/>
      <c r="N56" s="791"/>
      <c r="O56" s="129"/>
      <c r="P56" s="129"/>
      <c r="AH56" s="50">
        <v>0</v>
      </c>
    </row>
    <row r="57" s="50" customFormat="1" ht="18.75" hidden="1" customHeight="1">
      <c r="A57" s="143" t="s">
        <v>240</v>
      </c>
      <c r="B57" s="143" t="s">
        <v>241</v>
      </c>
      <c r="C57" s="404"/>
      <c r="D57" s="990"/>
      <c r="E57" s="355"/>
      <c r="F57" s="79" t="str">
        <f>INDEX(PT_DIFFERENTIATION_VTAR,MATCH(A57,PT_DIFFERENTIATION_VTAR_ID,0))</f>
        <v xml:space="preserve">Тариф на транспортировку воды</v>
      </c>
      <c r="G57" s="914" t="str">
        <f>INDEX(PT_DIFFERENTIATION_NTAR,MATCH(B57,PT_DIFFERENTIATION_NTAR_ID,0))</f>
        <v/>
      </c>
      <c r="H57" s="426"/>
      <c r="I57" s="980"/>
      <c r="J57" s="981"/>
      <c r="K57" s="616"/>
      <c r="L57" s="426" t="s">
        <v>311</v>
      </c>
      <c r="M57" s="287"/>
      <c r="N57" s="791"/>
      <c r="O57" s="129"/>
      <c r="P57" s="129"/>
      <c r="AH57" s="50">
        <v>0</v>
      </c>
    </row>
    <row r="58" s="50" customFormat="1" ht="18.75" hidden="1" customHeight="1">
      <c r="A58" s="143"/>
      <c r="B58" s="143"/>
      <c r="C58" s="404" t="s">
        <v>1148</v>
      </c>
      <c r="D58" s="990"/>
      <c r="E58" s="355"/>
      <c r="F58" s="79"/>
      <c r="G58" s="914"/>
      <c r="H58" s="711"/>
      <c r="I58" s="177" t="s">
        <v>1149</v>
      </c>
      <c r="J58" s="235"/>
      <c r="K58" s="711"/>
      <c r="L58" s="842"/>
      <c r="M58" s="287"/>
      <c r="N58" s="791"/>
      <c r="O58" s="129"/>
      <c r="P58" s="129"/>
      <c r="AH58" s="50">
        <v>0</v>
      </c>
    </row>
    <row r="59" s="50" customFormat="1" ht="0.75" hidden="1" customHeight="1">
      <c r="A59" s="143"/>
      <c r="B59" s="143"/>
      <c r="C59" s="404" t="s">
        <v>1154</v>
      </c>
      <c r="D59" s="990"/>
      <c r="E59" s="355"/>
      <c r="F59" s="79"/>
      <c r="G59" s="989"/>
      <c r="H59" s="711"/>
      <c r="I59" s="177"/>
      <c r="J59" s="235"/>
      <c r="K59" s="711"/>
      <c r="L59" s="842"/>
      <c r="M59" s="287"/>
      <c r="N59" s="791"/>
      <c r="O59" s="129"/>
      <c r="P59" s="129"/>
      <c r="AH59" s="50">
        <v>0</v>
      </c>
    </row>
    <row r="60" s="50" customFormat="1" ht="18.75" hidden="1" customHeight="1">
      <c r="A60" s="143" t="s">
        <v>245</v>
      </c>
      <c r="B60" s="143" t="s">
        <v>246</v>
      </c>
      <c r="C60" s="404"/>
      <c r="D60" s="990"/>
      <c r="E60" s="355"/>
      <c r="F60" s="79" t="str">
        <f>INDEX(PT_DIFFERENTIATION_VTAR,MATCH(A60,PT_DIFFERENTIATION_VTAR_ID,0))</f>
        <v xml:space="preserve">Тариф на подвоз воды</v>
      </c>
      <c r="G60" s="914" t="str">
        <f>INDEX(PT_DIFFERENTIATION_NTAR,MATCH(B60,PT_DIFFERENTIATION_NTAR_ID,0))</f>
        <v/>
      </c>
      <c r="H60" s="426"/>
      <c r="I60" s="980"/>
      <c r="J60" s="981"/>
      <c r="K60" s="616"/>
      <c r="L60" s="426" t="s">
        <v>311</v>
      </c>
      <c r="M60" s="287"/>
      <c r="N60" s="791"/>
      <c r="O60" s="129"/>
      <c r="P60" s="129"/>
      <c r="AH60" s="50">
        <v>0</v>
      </c>
    </row>
    <row r="61" s="50" customFormat="1" ht="18.75" hidden="1" customHeight="1">
      <c r="A61" s="143"/>
      <c r="B61" s="143"/>
      <c r="C61" s="404" t="s">
        <v>1148</v>
      </c>
      <c r="D61" s="990"/>
      <c r="E61" s="355"/>
      <c r="F61" s="79"/>
      <c r="G61" s="914"/>
      <c r="H61" s="711"/>
      <c r="I61" s="177" t="s">
        <v>1149</v>
      </c>
      <c r="J61" s="235"/>
      <c r="K61" s="711"/>
      <c r="L61" s="842"/>
      <c r="M61" s="287"/>
      <c r="N61" s="791"/>
      <c r="O61" s="129"/>
      <c r="P61" s="129"/>
      <c r="AH61" s="50">
        <v>0</v>
      </c>
    </row>
    <row r="62" s="50" customFormat="1" ht="0.75" hidden="1" customHeight="1">
      <c r="A62" s="143"/>
      <c r="B62" s="143"/>
      <c r="C62" s="404" t="s">
        <v>1154</v>
      </c>
      <c r="D62" s="990"/>
      <c r="E62" s="355"/>
      <c r="F62" s="79"/>
      <c r="G62" s="989"/>
      <c r="H62" s="711"/>
      <c r="I62" s="177"/>
      <c r="J62" s="235"/>
      <c r="K62" s="711"/>
      <c r="L62" s="842"/>
      <c r="M62" s="287"/>
      <c r="N62" s="791"/>
      <c r="O62" s="129"/>
      <c r="P62" s="129"/>
      <c r="AH62" s="50">
        <v>0</v>
      </c>
    </row>
    <row r="63" s="50" customFormat="1" ht="18.75" hidden="1" customHeight="1">
      <c r="A63" s="143" t="s">
        <v>250</v>
      </c>
      <c r="B63" s="143" t="s">
        <v>251</v>
      </c>
      <c r="C63" s="404"/>
      <c r="D63" s="990"/>
      <c r="E63" s="355"/>
      <c r="F63" s="79" t="str">
        <f>INDEX(PT_DIFFERENTIATION_VTAR,MATCH(A63,PT_DIFFERENTIATION_VTAR_ID,0))</f>
        <v xml:space="preserve">Тариф на подключение (технологическое присоединение) к централизованной системе холодного водоснабжения</v>
      </c>
      <c r="G63" s="914" t="str">
        <f>INDEX(PT_DIFFERENTIATION_NTAR,MATCH(B63,PT_DIFFERENTIATION_NTAR_ID,0))</f>
        <v/>
      </c>
      <c r="H63" s="426"/>
      <c r="I63" s="980"/>
      <c r="J63" s="981"/>
      <c r="K63" s="616"/>
      <c r="L63" s="426" t="s">
        <v>311</v>
      </c>
      <c r="M63" s="287"/>
      <c r="N63" s="791"/>
      <c r="O63" s="129"/>
      <c r="P63" s="129"/>
      <c r="AH63" s="50">
        <v>0</v>
      </c>
    </row>
    <row r="64" s="50" customFormat="1" ht="18.75" hidden="1" customHeight="1">
      <c r="A64" s="143"/>
      <c r="B64" s="143"/>
      <c r="C64" s="404" t="s">
        <v>1148</v>
      </c>
      <c r="D64" s="990"/>
      <c r="E64" s="355"/>
      <c r="F64" s="79"/>
      <c r="G64" s="914"/>
      <c r="H64" s="711"/>
      <c r="I64" s="177" t="s">
        <v>1149</v>
      </c>
      <c r="J64" s="235"/>
      <c r="K64" s="711"/>
      <c r="L64" s="842"/>
      <c r="M64" s="287"/>
      <c r="N64" s="791"/>
      <c r="O64" s="129"/>
      <c r="P64" s="129"/>
      <c r="AH64" s="50">
        <v>0</v>
      </c>
    </row>
    <row r="65" s="50" customFormat="1" ht="0.75" hidden="1" customHeight="1">
      <c r="A65" s="143"/>
      <c r="B65" s="143"/>
      <c r="C65" s="404" t="s">
        <v>1154</v>
      </c>
      <c r="D65" s="990"/>
      <c r="E65" s="355"/>
      <c r="F65" s="79"/>
      <c r="G65" s="989"/>
      <c r="H65" s="711"/>
      <c r="I65" s="177"/>
      <c r="J65" s="235"/>
      <c r="K65" s="711"/>
      <c r="L65" s="842"/>
      <c r="M65" s="287"/>
      <c r="N65" s="791"/>
      <c r="O65" s="129"/>
      <c r="P65" s="129"/>
      <c r="AH65" s="50">
        <v>0</v>
      </c>
    </row>
    <row r="66" s="50" customFormat="1" ht="18.75" hidden="1" customHeight="1">
      <c r="A66" s="143" t="s">
        <v>255</v>
      </c>
      <c r="B66" s="143" t="s">
        <v>256</v>
      </c>
      <c r="C66" s="404"/>
      <c r="D66" s="990"/>
      <c r="E66" s="355"/>
      <c r="F66" s="79" t="str">
        <f>INDEX(PT_DIFFERENTIATION_VTAR,MATCH(A66,PT_DIFFERENTIATION_VTAR_ID,0))</f>
        <v xml:space="preserve">Тариф на горячую воду (горячее водоснабжение)</v>
      </c>
      <c r="G66" s="914" t="str">
        <f>INDEX(PT_DIFFERENTIATION_NTAR,MATCH(B66,PT_DIFFERENTIATION_NTAR_ID,0))</f>
        <v/>
      </c>
      <c r="H66" s="426"/>
      <c r="I66" s="980"/>
      <c r="J66" s="981"/>
      <c r="K66" s="616"/>
      <c r="L66" s="426" t="s">
        <v>311</v>
      </c>
      <c r="M66" s="287"/>
      <c r="N66" s="791"/>
      <c r="O66" s="129"/>
      <c r="P66" s="129"/>
      <c r="AH66" s="50">
        <v>0</v>
      </c>
    </row>
    <row r="67" s="50" customFormat="1" ht="18.75" hidden="1" customHeight="1">
      <c r="A67" s="143"/>
      <c r="B67" s="143"/>
      <c r="C67" s="404" t="s">
        <v>1148</v>
      </c>
      <c r="D67" s="990"/>
      <c r="E67" s="355"/>
      <c r="F67" s="79"/>
      <c r="G67" s="914"/>
      <c r="H67" s="711"/>
      <c r="I67" s="177" t="s">
        <v>1149</v>
      </c>
      <c r="J67" s="235"/>
      <c r="K67" s="711"/>
      <c r="L67" s="842"/>
      <c r="M67" s="287"/>
      <c r="N67" s="791"/>
      <c r="O67" s="129"/>
      <c r="P67" s="129"/>
      <c r="AH67" s="50">
        <v>0</v>
      </c>
    </row>
    <row r="68" s="50" customFormat="1" ht="0.75" hidden="1" customHeight="1">
      <c r="A68" s="143"/>
      <c r="B68" s="143"/>
      <c r="C68" s="404" t="s">
        <v>1154</v>
      </c>
      <c r="D68" s="990"/>
      <c r="E68" s="355"/>
      <c r="F68" s="79"/>
      <c r="G68" s="989"/>
      <c r="H68" s="711"/>
      <c r="I68" s="177"/>
      <c r="J68" s="235"/>
      <c r="K68" s="711"/>
      <c r="L68" s="842"/>
      <c r="M68" s="287"/>
      <c r="N68" s="791"/>
      <c r="O68" s="129"/>
      <c r="P68" s="129"/>
      <c r="AH68" s="50">
        <v>0</v>
      </c>
    </row>
    <row r="69" s="50" customFormat="1" ht="18.75" hidden="1" customHeight="1">
      <c r="A69" s="143" t="s">
        <v>260</v>
      </c>
      <c r="B69" s="143" t="s">
        <v>261</v>
      </c>
      <c r="C69" s="404"/>
      <c r="D69" s="990"/>
      <c r="E69" s="355"/>
      <c r="F69" s="79" t="str">
        <f>INDEX(PT_DIFFERENTIATION_VTAR,MATCH(A69,PT_DIFFERENTIATION_VTAR_ID,0))</f>
        <v xml:space="preserve">Тариф на транспортировку горячей воды</v>
      </c>
      <c r="G69" s="914" t="str">
        <f>INDEX(PT_DIFFERENTIATION_NTAR,MATCH(B69,PT_DIFFERENTIATION_NTAR_ID,0))</f>
        <v/>
      </c>
      <c r="H69" s="426"/>
      <c r="I69" s="980"/>
      <c r="J69" s="981"/>
      <c r="K69" s="616"/>
      <c r="L69" s="426" t="s">
        <v>311</v>
      </c>
      <c r="M69" s="287"/>
      <c r="N69" s="791"/>
      <c r="O69" s="129"/>
      <c r="P69" s="129"/>
      <c r="AH69" s="50">
        <v>0</v>
      </c>
    </row>
    <row r="70" s="50" customFormat="1" ht="18.75" hidden="1" customHeight="1">
      <c r="A70" s="143"/>
      <c r="B70" s="143"/>
      <c r="C70" s="404" t="s">
        <v>1148</v>
      </c>
      <c r="D70" s="990"/>
      <c r="E70" s="355"/>
      <c r="F70" s="79"/>
      <c r="G70" s="914"/>
      <c r="H70" s="711"/>
      <c r="I70" s="177" t="s">
        <v>1149</v>
      </c>
      <c r="J70" s="235"/>
      <c r="K70" s="711"/>
      <c r="L70" s="842"/>
      <c r="M70" s="287"/>
      <c r="N70" s="791"/>
      <c r="O70" s="129"/>
      <c r="P70" s="129"/>
      <c r="AH70" s="50">
        <v>0</v>
      </c>
    </row>
    <row r="71" s="50" customFormat="1" ht="0.75" hidden="1" customHeight="1">
      <c r="A71" s="143"/>
      <c r="B71" s="143"/>
      <c r="C71" s="404" t="s">
        <v>1154</v>
      </c>
      <c r="D71" s="990"/>
      <c r="E71" s="355"/>
      <c r="F71" s="79"/>
      <c r="G71" s="989"/>
      <c r="H71" s="711"/>
      <c r="I71" s="177"/>
      <c r="J71" s="235"/>
      <c r="K71" s="711"/>
      <c r="L71" s="842"/>
      <c r="M71" s="287"/>
      <c r="N71" s="791"/>
      <c r="O71" s="129"/>
      <c r="P71" s="129"/>
      <c r="AH71" s="50">
        <v>0</v>
      </c>
    </row>
    <row r="72" s="50" customFormat="1" ht="18.75" hidden="1" customHeight="1">
      <c r="A72" s="143" t="s">
        <v>265</v>
      </c>
      <c r="B72" s="143" t="s">
        <v>266</v>
      </c>
      <c r="C72" s="404"/>
      <c r="D72" s="990"/>
      <c r="E72" s="355"/>
      <c r="F72" s="79" t="str">
        <f>INDEX(PT_DIFFERENTIATION_VTAR,MATCH(A72,PT_DIFFERENTIATION_VTAR_ID,0))</f>
        <v xml:space="preserve">Тариф на подключение (технологическое присоединение) к централизованной системе горячего водоснабжения</v>
      </c>
      <c r="G72" s="914" t="str">
        <f>INDEX(PT_DIFFERENTIATION_NTAR,MATCH(B72,PT_DIFFERENTIATION_NTAR_ID,0))</f>
        <v/>
      </c>
      <c r="H72" s="426"/>
      <c r="I72" s="980"/>
      <c r="J72" s="981"/>
      <c r="K72" s="616"/>
      <c r="L72" s="426" t="s">
        <v>311</v>
      </c>
      <c r="M72" s="287"/>
      <c r="N72" s="791"/>
      <c r="O72" s="129"/>
      <c r="P72" s="129"/>
      <c r="AH72" s="50">
        <v>0</v>
      </c>
    </row>
    <row r="73" s="50" customFormat="1" ht="18.75" hidden="1" customHeight="1">
      <c r="A73" s="143"/>
      <c r="B73" s="143"/>
      <c r="C73" s="404" t="s">
        <v>1148</v>
      </c>
      <c r="D73" s="990"/>
      <c r="E73" s="355"/>
      <c r="F73" s="79"/>
      <c r="G73" s="914"/>
      <c r="H73" s="711"/>
      <c r="I73" s="177" t="s">
        <v>1149</v>
      </c>
      <c r="J73" s="235"/>
      <c r="K73" s="711"/>
      <c r="L73" s="842"/>
      <c r="M73" s="287"/>
      <c r="N73" s="791"/>
      <c r="O73" s="129"/>
      <c r="P73" s="129"/>
      <c r="AH73" s="50">
        <v>0</v>
      </c>
    </row>
    <row r="74" s="50" customFormat="1" ht="0.75" hidden="1" customHeight="1">
      <c r="A74" s="143"/>
      <c r="B74" s="143"/>
      <c r="C74" s="404" t="s">
        <v>1154</v>
      </c>
      <c r="D74" s="990"/>
      <c r="E74" s="355"/>
      <c r="F74" s="79"/>
      <c r="G74" s="989"/>
      <c r="H74" s="711"/>
      <c r="I74" s="177"/>
      <c r="J74" s="235"/>
      <c r="K74" s="711"/>
      <c r="L74" s="842"/>
      <c r="M74" s="287"/>
      <c r="N74" s="791"/>
      <c r="O74" s="129"/>
      <c r="P74" s="129"/>
      <c r="AH74" s="50">
        <v>0</v>
      </c>
    </row>
    <row r="75" s="50" customFormat="1" ht="18.75" hidden="1" customHeight="1">
      <c r="A75" s="143" t="s">
        <v>270</v>
      </c>
      <c r="B75" s="143" t="s">
        <v>271</v>
      </c>
      <c r="C75" s="404"/>
      <c r="D75" s="990"/>
      <c r="E75" s="355"/>
      <c r="F75" s="79" t="str">
        <f>INDEX(PT_DIFFERENTIATION_VTAR,MATCH(A75,PT_DIFFERENTIATION_VTAR_ID,0))</f>
        <v xml:space="preserve">Тариф на водоотведение</v>
      </c>
      <c r="G75" s="914" t="str">
        <f>INDEX(PT_DIFFERENTIATION_NTAR,MATCH(B75,PT_DIFFERENTIATION_NTAR_ID,0))</f>
        <v/>
      </c>
      <c r="H75" s="426"/>
      <c r="I75" s="980"/>
      <c r="J75" s="981"/>
      <c r="K75" s="616"/>
      <c r="L75" s="426" t="s">
        <v>311</v>
      </c>
      <c r="M75" s="287"/>
      <c r="N75" s="791"/>
      <c r="O75" s="129"/>
      <c r="P75" s="129"/>
      <c r="AH75" s="50">
        <v>0</v>
      </c>
    </row>
    <row r="76" s="50" customFormat="1" ht="18.75" hidden="1" customHeight="1">
      <c r="A76" s="143"/>
      <c r="B76" s="143"/>
      <c r="C76" s="404" t="s">
        <v>1148</v>
      </c>
      <c r="D76" s="990"/>
      <c r="E76" s="355"/>
      <c r="F76" s="79"/>
      <c r="G76" s="914"/>
      <c r="H76" s="711"/>
      <c r="I76" s="177" t="s">
        <v>1149</v>
      </c>
      <c r="J76" s="235"/>
      <c r="K76" s="711"/>
      <c r="L76" s="842"/>
      <c r="M76" s="287"/>
      <c r="N76" s="791"/>
      <c r="O76" s="129"/>
      <c r="P76" s="129"/>
      <c r="AH76" s="50">
        <v>0</v>
      </c>
    </row>
    <row r="77" s="50" customFormat="1" ht="0.75" hidden="1" customHeight="1">
      <c r="A77" s="143"/>
      <c r="B77" s="143"/>
      <c r="C77" s="404" t="s">
        <v>1154</v>
      </c>
      <c r="D77" s="990"/>
      <c r="E77" s="355"/>
      <c r="F77" s="79"/>
      <c r="G77" s="989"/>
      <c r="H77" s="711"/>
      <c r="I77" s="177"/>
      <c r="J77" s="235"/>
      <c r="K77" s="711"/>
      <c r="L77" s="842"/>
      <c r="M77" s="287"/>
      <c r="N77" s="791"/>
      <c r="O77" s="129"/>
      <c r="P77" s="129"/>
      <c r="AH77" s="50">
        <v>0</v>
      </c>
    </row>
    <row r="78" s="50" customFormat="1" ht="18.75" hidden="1" customHeight="1">
      <c r="A78" s="143" t="s">
        <v>275</v>
      </c>
      <c r="B78" s="143" t="s">
        <v>276</v>
      </c>
      <c r="C78" s="404"/>
      <c r="D78" s="990"/>
      <c r="E78" s="355"/>
      <c r="F78" s="79" t="str">
        <f>INDEX(PT_DIFFERENTIATION_VTAR,MATCH(A78,PT_DIFFERENTIATION_VTAR_ID,0))</f>
        <v xml:space="preserve">Тариф на транспортировку сточных вод</v>
      </c>
      <c r="G78" s="914" t="str">
        <f>INDEX(PT_DIFFERENTIATION_NTAR,MATCH(B78,PT_DIFFERENTIATION_NTAR_ID,0))</f>
        <v/>
      </c>
      <c r="H78" s="426"/>
      <c r="I78" s="980"/>
      <c r="J78" s="981"/>
      <c r="K78" s="616"/>
      <c r="L78" s="426" t="s">
        <v>311</v>
      </c>
      <c r="M78" s="287"/>
      <c r="N78" s="791"/>
      <c r="O78" s="129"/>
      <c r="P78" s="129"/>
      <c r="AH78" s="50">
        <v>0</v>
      </c>
    </row>
    <row r="79" s="50" customFormat="1" ht="18.75" hidden="1" customHeight="1">
      <c r="A79" s="143"/>
      <c r="B79" s="143"/>
      <c r="C79" s="404" t="s">
        <v>1148</v>
      </c>
      <c r="D79" s="990"/>
      <c r="E79" s="355"/>
      <c r="F79" s="79"/>
      <c r="G79" s="914"/>
      <c r="H79" s="711"/>
      <c r="I79" s="177" t="s">
        <v>1149</v>
      </c>
      <c r="J79" s="235"/>
      <c r="K79" s="711"/>
      <c r="L79" s="842"/>
      <c r="M79" s="287"/>
      <c r="N79" s="791"/>
      <c r="O79" s="129"/>
      <c r="P79" s="129"/>
      <c r="AH79" s="50">
        <v>0</v>
      </c>
    </row>
    <row r="80" s="50" customFormat="1" ht="0.75" hidden="1" customHeight="1">
      <c r="A80" s="143"/>
      <c r="B80" s="143"/>
      <c r="C80" s="404" t="s">
        <v>1154</v>
      </c>
      <c r="D80" s="990"/>
      <c r="E80" s="355"/>
      <c r="F80" s="79"/>
      <c r="G80" s="989"/>
      <c r="H80" s="711"/>
      <c r="I80" s="177"/>
      <c r="J80" s="235"/>
      <c r="K80" s="711"/>
      <c r="L80" s="842"/>
      <c r="M80" s="287"/>
      <c r="N80" s="791"/>
      <c r="O80" s="129"/>
      <c r="P80" s="129"/>
      <c r="AH80" s="50">
        <v>0</v>
      </c>
    </row>
    <row r="81" s="50" customFormat="1" ht="18.75" hidden="1" customHeight="1">
      <c r="A81" s="143" t="s">
        <v>280</v>
      </c>
      <c r="B81" s="143" t="s">
        <v>281</v>
      </c>
      <c r="C81" s="404"/>
      <c r="D81" s="990"/>
      <c r="E81" s="355"/>
      <c r="F81" s="79" t="str">
        <f>INDEX(PT_DIFFERENTIATION_VTAR,MATCH(A81,PT_DIFFERENTIATION_VTAR_ID,0))</f>
        <v xml:space="preserve">Тариф на подключение (технологическое присоединение) к централизованной системе водоотведения</v>
      </c>
      <c r="G81" s="914" t="str">
        <f>INDEX(PT_DIFFERENTIATION_NTAR,MATCH(B81,PT_DIFFERENTIATION_NTAR_ID,0))</f>
        <v/>
      </c>
      <c r="H81" s="426"/>
      <c r="I81" s="980"/>
      <c r="J81" s="981"/>
      <c r="K81" s="616"/>
      <c r="L81" s="426" t="s">
        <v>311</v>
      </c>
      <c r="M81" s="287"/>
      <c r="N81" s="791"/>
      <c r="O81" s="129"/>
      <c r="P81" s="129"/>
      <c r="AH81" s="50">
        <v>0</v>
      </c>
    </row>
    <row r="82" s="50" customFormat="1" ht="18.75" hidden="1" customHeight="1">
      <c r="A82" s="143"/>
      <c r="B82" s="143"/>
      <c r="C82" s="404" t="s">
        <v>1148</v>
      </c>
      <c r="D82" s="990"/>
      <c r="E82" s="355"/>
      <c r="F82" s="79"/>
      <c r="G82" s="914"/>
      <c r="H82" s="711"/>
      <c r="I82" s="177" t="s">
        <v>1149</v>
      </c>
      <c r="J82" s="235"/>
      <c r="K82" s="711"/>
      <c r="L82" s="842"/>
      <c r="M82" s="287"/>
      <c r="N82" s="791"/>
      <c r="O82" s="129"/>
      <c r="P82" s="129"/>
      <c r="AH82" s="50">
        <v>0</v>
      </c>
    </row>
    <row r="83" s="50" customFormat="1" ht="1.05" customHeight="1">
      <c r="A83" s="143"/>
      <c r="B83" s="143"/>
      <c r="C83" s="404" t="s">
        <v>1154</v>
      </c>
      <c r="D83" s="990"/>
      <c r="E83" s="355"/>
      <c r="F83" s="79"/>
      <c r="G83" s="989"/>
      <c r="H83" s="711"/>
      <c r="I83" s="177"/>
      <c r="J83" s="235"/>
      <c r="K83" s="711"/>
      <c r="L83" s="842"/>
      <c r="M83" s="287"/>
      <c r="N83" s="791"/>
      <c r="O83" s="129"/>
      <c r="P83" s="129"/>
      <c r="AH83" s="50">
        <v>1</v>
      </c>
    </row>
    <row r="84" ht="19.949999999999999" customHeight="1">
      <c r="A84" s="143"/>
      <c r="B84" s="143"/>
      <c r="D84" s="548"/>
      <c r="E84" s="355" t="s">
        <v>110</v>
      </c>
      <c r="F84" s="840" t="str">
        <f>"Долгосрочные параметры регулирования (в случае если их установление предусмотрено выбранным методом регулирования тарифов в сфере "&amp;TEMPLATE_SPHERE_RUS&amp;")"</f>
        <v xml:space="preserve">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840"/>
      <c r="H84" s="840"/>
      <c r="I84" s="840"/>
      <c r="J84" s="840"/>
      <c r="K84" s="840"/>
      <c r="L84" s="840"/>
      <c r="M84" s="832"/>
      <c r="N84" s="791"/>
      <c r="AH84" s="50">
        <v>19</v>
      </c>
    </row>
    <row r="85" ht="35.649999999999999" customHeight="1">
      <c r="A85" s="143"/>
      <c r="B85" s="143"/>
      <c r="D85" s="548"/>
      <c r="E85" s="993"/>
      <c r="F85" s="246" t="s">
        <v>311</v>
      </c>
      <c r="G85" s="246" t="s">
        <v>311</v>
      </c>
      <c r="H85" s="424" t="s">
        <v>311</v>
      </c>
      <c r="I85" s="426"/>
      <c r="J85" s="246" t="s">
        <v>311</v>
      </c>
      <c r="K85" s="246" t="s">
        <v>311</v>
      </c>
      <c r="L85" s="768"/>
      <c r="M85" s="494" t="s">
        <v>1156</v>
      </c>
      <c r="N85" s="791"/>
      <c r="AH85" s="50">
        <v>34</v>
      </c>
    </row>
    <row r="86" ht="19.949999999999999" customHeight="1">
      <c r="A86" s="143"/>
      <c r="B86" s="143"/>
      <c r="D86" s="548"/>
      <c r="E86" s="355" t="s">
        <v>91</v>
      </c>
      <c r="F86" s="840" t="s">
        <v>1157</v>
      </c>
      <c r="G86" s="840"/>
      <c r="H86" s="840"/>
      <c r="I86" s="840"/>
      <c r="J86" s="840"/>
      <c r="K86" s="840"/>
      <c r="L86" s="840"/>
      <c r="M86" s="832"/>
      <c r="N86" s="791"/>
      <c r="AH86" s="50">
        <v>19</v>
      </c>
    </row>
    <row r="87" s="50" customFormat="1" ht="60.75" hidden="1" customHeight="1">
      <c r="A87" s="143" t="s">
        <v>155</v>
      </c>
      <c r="B87" s="143" t="s">
        <v>156</v>
      </c>
      <c r="C87" s="404"/>
      <c r="D87" s="990"/>
      <c r="E87" s="355"/>
      <c r="F87" s="79" t="str">
        <f>INDEX(PT_DIFFERENTIATION_VTAR,MATCH(A87,PT_DIFFERENTIATION_VTAR_ID,0))</f>
        <v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914" t="str">
        <f>INDEX(PT_DIFFERENTIATION_NTAR,MATCH(B87,PT_DIFFERENTIATION_NTAR_ID,0))</f>
        <v/>
      </c>
      <c r="H87" s="426"/>
      <c r="I87" s="980"/>
      <c r="J87" s="981"/>
      <c r="K87" s="442"/>
      <c r="L87" s="426" t="s">
        <v>311</v>
      </c>
      <c r="M87" s="28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 xml:space="preserve">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791"/>
      <c r="O87" s="129"/>
      <c r="P87" s="129"/>
      <c r="AH87" s="50">
        <v>0</v>
      </c>
    </row>
    <row r="88" s="50" customFormat="1" ht="18.75" hidden="1" customHeight="1">
      <c r="A88" s="143"/>
      <c r="B88" s="143"/>
      <c r="C88" s="404" t="s">
        <v>1150</v>
      </c>
      <c r="D88" s="990"/>
      <c r="E88" s="355"/>
      <c r="F88" s="79"/>
      <c r="G88" s="914"/>
      <c r="H88" s="711"/>
      <c r="I88" s="177" t="s">
        <v>1149</v>
      </c>
      <c r="J88" s="235"/>
      <c r="K88" s="711"/>
      <c r="L88" s="842"/>
      <c r="M88" s="287"/>
      <c r="N88" s="791"/>
      <c r="O88" s="129"/>
      <c r="P88" s="129"/>
      <c r="AH88" s="50">
        <v>0</v>
      </c>
    </row>
    <row r="89" s="50" customFormat="1" ht="0.75" hidden="1" customHeight="1">
      <c r="A89" s="143"/>
      <c r="B89" s="143"/>
      <c r="C89" s="404" t="s">
        <v>1158</v>
      </c>
      <c r="D89" s="990"/>
      <c r="E89" s="355"/>
      <c r="F89" s="79"/>
      <c r="G89" s="989"/>
      <c r="H89" s="711"/>
      <c r="I89" s="177"/>
      <c r="J89" s="235"/>
      <c r="K89" s="711"/>
      <c r="L89" s="842"/>
      <c r="M89" s="287"/>
      <c r="N89" s="791"/>
      <c r="O89" s="129"/>
      <c r="P89" s="129"/>
      <c r="AH89" s="50">
        <v>0</v>
      </c>
    </row>
    <row r="90" s="50" customFormat="1" ht="45" hidden="1" customHeight="1">
      <c r="A90" s="143" t="s">
        <v>161</v>
      </c>
      <c r="B90" s="143" t="s">
        <v>162</v>
      </c>
      <c r="C90" s="404"/>
      <c r="D90" s="990"/>
      <c r="E90" s="355"/>
      <c r="F90" s="79" t="str">
        <f>INDEX(PT_DIFFERENTIATION_VTAR,MATCH(A90,PT_DIFFERENTIATION_VTAR_ID,0))</f>
        <v xml:space="preserve">Тарифы на тепловую энергию (мощность), поставляемую теплоснабжающими организациями потребителям, другим теплоснабжающим организациям</v>
      </c>
      <c r="G90" s="914" t="str">
        <f>INDEX(PT_DIFFERENTIATION_NTAR,MATCH(B90,PT_DIFFERENTIATION_NTAR_ID,0))</f>
        <v/>
      </c>
      <c r="H90" s="426"/>
      <c r="I90" s="980"/>
      <c r="J90" s="981"/>
      <c r="K90" s="442"/>
      <c r="L90" s="426" t="s">
        <v>311</v>
      </c>
      <c r="M90" s="289"/>
      <c r="N90" s="791"/>
      <c r="O90" s="129"/>
      <c r="P90" s="129"/>
      <c r="AH90" s="50">
        <v>0</v>
      </c>
    </row>
    <row r="91" s="50" customFormat="1" ht="18.75" hidden="1" customHeight="1">
      <c r="A91" s="143"/>
      <c r="B91" s="143"/>
      <c r="C91" s="404" t="s">
        <v>1150</v>
      </c>
      <c r="D91" s="990"/>
      <c r="E91" s="355"/>
      <c r="F91" s="79"/>
      <c r="G91" s="914"/>
      <c r="H91" s="711"/>
      <c r="I91" s="177" t="s">
        <v>1149</v>
      </c>
      <c r="J91" s="235"/>
      <c r="K91" s="711"/>
      <c r="L91" s="842"/>
      <c r="M91" s="287"/>
      <c r="N91" s="791"/>
      <c r="O91" s="129"/>
      <c r="P91" s="129"/>
      <c r="AH91" s="50">
        <v>0</v>
      </c>
    </row>
    <row r="92" s="50" customFormat="1" ht="0.75" hidden="1" customHeight="1">
      <c r="A92" s="143"/>
      <c r="B92" s="143"/>
      <c r="C92" s="404" t="s">
        <v>1158</v>
      </c>
      <c r="D92" s="990"/>
      <c r="E92" s="355"/>
      <c r="F92" s="79"/>
      <c r="G92" s="989"/>
      <c r="H92" s="711"/>
      <c r="I92" s="177"/>
      <c r="J92" s="235"/>
      <c r="K92" s="711"/>
      <c r="L92" s="842"/>
      <c r="M92" s="976"/>
      <c r="N92" s="791"/>
      <c r="O92" s="129"/>
      <c r="P92" s="129"/>
      <c r="AH92" s="50">
        <v>0</v>
      </c>
    </row>
    <row r="93" s="50" customFormat="1" ht="45" hidden="1" customHeight="1">
      <c r="A93" s="143" t="s">
        <v>167</v>
      </c>
      <c r="B93" s="143" t="s">
        <v>168</v>
      </c>
      <c r="C93" s="404"/>
      <c r="D93" s="990"/>
      <c r="E93" s="355"/>
      <c r="F93" s="79" t="str">
        <f>INDEX(PT_DIFFERENTIATION_VTAR,MATCH(A93,PT_DIFFERENTIATION_VTAR_ID,0))</f>
        <v xml:space="preserve">Тарифы на теплоноситель, поставляемый теплоснабжающими организациями потребителям, другим теплоснабжающим организациям</v>
      </c>
      <c r="G93" s="914" t="str">
        <f>INDEX(PT_DIFFERENTIATION_NTAR,MATCH(B93,PT_DIFFERENTIATION_NTAR_ID,0))</f>
        <v/>
      </c>
      <c r="H93" s="426"/>
      <c r="I93" s="980"/>
      <c r="J93" s="981"/>
      <c r="K93" s="442"/>
      <c r="L93" s="426" t="s">
        <v>311</v>
      </c>
      <c r="M93" s="976"/>
      <c r="N93" s="791"/>
      <c r="O93" s="129"/>
      <c r="P93" s="129"/>
      <c r="AH93" s="50">
        <v>0</v>
      </c>
    </row>
    <row r="94" s="50" customFormat="1" ht="18.75" hidden="1" customHeight="1">
      <c r="A94" s="143"/>
      <c r="B94" s="143"/>
      <c r="C94" s="404" t="s">
        <v>1150</v>
      </c>
      <c r="D94" s="990"/>
      <c r="E94" s="355"/>
      <c r="F94" s="79"/>
      <c r="G94" s="914"/>
      <c r="H94" s="711"/>
      <c r="I94" s="177" t="s">
        <v>1149</v>
      </c>
      <c r="J94" s="235"/>
      <c r="K94" s="711"/>
      <c r="L94" s="842"/>
      <c r="M94" s="976"/>
      <c r="N94" s="791"/>
      <c r="O94" s="129"/>
      <c r="P94" s="129"/>
      <c r="AH94" s="50">
        <v>0</v>
      </c>
    </row>
    <row r="95" s="50" customFormat="1" ht="0.75" hidden="1" customHeight="1">
      <c r="A95" s="143"/>
      <c r="B95" s="143"/>
      <c r="C95" s="404" t="s">
        <v>1158</v>
      </c>
      <c r="D95" s="990"/>
      <c r="E95" s="355"/>
      <c r="F95" s="79"/>
      <c r="G95" s="989"/>
      <c r="H95" s="711"/>
      <c r="I95" s="177"/>
      <c r="J95" s="235"/>
      <c r="K95" s="711"/>
      <c r="L95" s="842"/>
      <c r="M95" s="976"/>
      <c r="N95" s="791"/>
      <c r="O95" s="129"/>
      <c r="P95" s="129"/>
      <c r="AH95" s="50">
        <v>0</v>
      </c>
    </row>
    <row r="96" s="50" customFormat="1" ht="45" hidden="1" customHeight="1">
      <c r="A96" s="143" t="s">
        <v>173</v>
      </c>
      <c r="B96" s="143" t="s">
        <v>174</v>
      </c>
      <c r="C96" s="404"/>
      <c r="D96" s="990"/>
      <c r="E96" s="355"/>
      <c r="F96" s="79" t="str">
        <f>INDEX(PT_DIFFERENTIATION_VTAR,MATCH(A96,PT_DIFFERENTIATION_VTAR_ID,0))</f>
        <v xml:space="preserve">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914" t="str">
        <f>INDEX(PT_DIFFERENTIATION_NTAR,MATCH(B96,PT_DIFFERENTIATION_NTAR_ID,0))</f>
        <v/>
      </c>
      <c r="H96" s="426"/>
      <c r="I96" s="980"/>
      <c r="J96" s="981"/>
      <c r="K96" s="442"/>
      <c r="L96" s="426" t="s">
        <v>311</v>
      </c>
      <c r="M96" s="976"/>
      <c r="N96" s="791"/>
      <c r="O96" s="129"/>
      <c r="P96" s="129"/>
      <c r="AH96" s="50">
        <v>0</v>
      </c>
    </row>
    <row r="97" s="50" customFormat="1" ht="18.75" hidden="1" customHeight="1">
      <c r="A97" s="143"/>
      <c r="B97" s="143"/>
      <c r="C97" s="404" t="s">
        <v>1150</v>
      </c>
      <c r="D97" s="990"/>
      <c r="E97" s="355"/>
      <c r="F97" s="79"/>
      <c r="G97" s="914"/>
      <c r="H97" s="711"/>
      <c r="I97" s="177" t="s">
        <v>1149</v>
      </c>
      <c r="J97" s="235"/>
      <c r="K97" s="711"/>
      <c r="L97" s="842"/>
      <c r="M97" s="976"/>
      <c r="N97" s="791"/>
      <c r="O97" s="129"/>
      <c r="P97" s="129"/>
      <c r="AH97" s="50">
        <v>0</v>
      </c>
    </row>
    <row r="98" s="50" customFormat="1" ht="0.75" hidden="1" customHeight="1">
      <c r="A98" s="143"/>
      <c r="B98" s="143"/>
      <c r="C98" s="404" t="s">
        <v>1158</v>
      </c>
      <c r="D98" s="990"/>
      <c r="E98" s="355"/>
      <c r="F98" s="79"/>
      <c r="G98" s="989"/>
      <c r="H98" s="711"/>
      <c r="I98" s="177"/>
      <c r="J98" s="235"/>
      <c r="K98" s="711"/>
      <c r="L98" s="842"/>
      <c r="M98" s="976"/>
      <c r="N98" s="791"/>
      <c r="O98" s="129"/>
      <c r="P98" s="129"/>
      <c r="AH98" s="50">
        <v>0</v>
      </c>
    </row>
    <row r="99" s="50" customFormat="1" ht="18.75" hidden="1" customHeight="1">
      <c r="A99" s="143" t="s">
        <v>179</v>
      </c>
      <c r="B99" s="143" t="s">
        <v>180</v>
      </c>
      <c r="C99" s="404"/>
      <c r="D99" s="990"/>
      <c r="E99" s="355"/>
      <c r="F99" s="79" t="str">
        <f>INDEX(PT_DIFFERENTIATION_VTAR,MATCH(A99,PT_DIFFERENTIATION_VTAR_ID,0))</f>
        <v xml:space="preserve">Тарифы на услуги по передаче тепловой энергии</v>
      </c>
      <c r="G99" s="914" t="str">
        <f>INDEX(PT_DIFFERENTIATION_NTAR,MATCH(B99,PT_DIFFERENTIATION_NTAR_ID,0))</f>
        <v/>
      </c>
      <c r="H99" s="426"/>
      <c r="I99" s="980"/>
      <c r="J99" s="981"/>
      <c r="K99" s="442"/>
      <c r="L99" s="426" t="s">
        <v>311</v>
      </c>
      <c r="M99" s="976"/>
      <c r="N99" s="791"/>
      <c r="O99" s="129"/>
      <c r="P99" s="129"/>
      <c r="AH99" s="50">
        <v>0</v>
      </c>
    </row>
    <row r="100" s="50" customFormat="1" ht="18.75" hidden="1" customHeight="1">
      <c r="A100" s="143"/>
      <c r="B100" s="143"/>
      <c r="C100" s="404" t="s">
        <v>1150</v>
      </c>
      <c r="D100" s="990"/>
      <c r="E100" s="355"/>
      <c r="F100" s="79"/>
      <c r="G100" s="914"/>
      <c r="H100" s="711"/>
      <c r="I100" s="177" t="s">
        <v>1149</v>
      </c>
      <c r="J100" s="235"/>
      <c r="K100" s="711"/>
      <c r="L100" s="842"/>
      <c r="M100" s="976"/>
      <c r="N100" s="791"/>
      <c r="O100" s="129"/>
      <c r="P100" s="129"/>
      <c r="AH100" s="50">
        <v>0</v>
      </c>
    </row>
    <row r="101" s="50" customFormat="1" ht="0.75" hidden="1" customHeight="1">
      <c r="A101" s="143"/>
      <c r="B101" s="143"/>
      <c r="C101" s="404" t="s">
        <v>1158</v>
      </c>
      <c r="D101" s="990"/>
      <c r="E101" s="355"/>
      <c r="F101" s="79"/>
      <c r="G101" s="989"/>
      <c r="H101" s="711"/>
      <c r="I101" s="177"/>
      <c r="J101" s="235"/>
      <c r="K101" s="711"/>
      <c r="L101" s="842"/>
      <c r="M101" s="976"/>
      <c r="N101" s="791"/>
      <c r="O101" s="129"/>
      <c r="P101" s="129"/>
      <c r="AH101" s="50">
        <v>0</v>
      </c>
    </row>
    <row r="102" s="50" customFormat="1" ht="18.75" hidden="1" customHeight="1">
      <c r="A102" s="143" t="s">
        <v>185</v>
      </c>
      <c r="B102" s="143" t="s">
        <v>186</v>
      </c>
      <c r="C102" s="404"/>
      <c r="D102" s="990"/>
      <c r="E102" s="355"/>
      <c r="F102" s="79" t="str">
        <f>INDEX(PT_DIFFERENTIATION_VTAR,MATCH(A102,PT_DIFFERENTIATION_VTAR_ID,0))</f>
        <v xml:space="preserve">Тарифы на услуги по передаче теплоносителя</v>
      </c>
      <c r="G102" s="914" t="str">
        <f>INDEX(PT_DIFFERENTIATION_NTAR,MATCH(B102,PT_DIFFERENTIATION_NTAR_ID,0))</f>
        <v/>
      </c>
      <c r="H102" s="426"/>
      <c r="I102" s="980"/>
      <c r="J102" s="981"/>
      <c r="K102" s="442"/>
      <c r="L102" s="426" t="s">
        <v>311</v>
      </c>
      <c r="M102" s="976"/>
      <c r="N102" s="791"/>
      <c r="O102" s="129"/>
      <c r="P102" s="129"/>
      <c r="AH102" s="50">
        <v>0</v>
      </c>
    </row>
    <row r="103" s="50" customFormat="1" ht="18.75" hidden="1" customHeight="1">
      <c r="A103" s="143"/>
      <c r="B103" s="143"/>
      <c r="C103" s="404" t="s">
        <v>1150</v>
      </c>
      <c r="D103" s="990"/>
      <c r="E103" s="355"/>
      <c r="F103" s="79"/>
      <c r="G103" s="914"/>
      <c r="H103" s="711"/>
      <c r="I103" s="177" t="s">
        <v>1149</v>
      </c>
      <c r="J103" s="235"/>
      <c r="K103" s="711"/>
      <c r="L103" s="842"/>
      <c r="M103" s="976"/>
      <c r="N103" s="791"/>
      <c r="O103" s="129"/>
      <c r="P103" s="129"/>
      <c r="AH103" s="50">
        <v>0</v>
      </c>
    </row>
    <row r="104" s="50" customFormat="1" ht="0.75" hidden="1" customHeight="1">
      <c r="A104" s="143"/>
      <c r="B104" s="143"/>
      <c r="C104" s="404" t="s">
        <v>1158</v>
      </c>
      <c r="D104" s="990"/>
      <c r="E104" s="355"/>
      <c r="F104" s="79"/>
      <c r="G104" s="989"/>
      <c r="H104" s="711"/>
      <c r="I104" s="177"/>
      <c r="J104" s="235"/>
      <c r="K104" s="711"/>
      <c r="L104" s="842"/>
      <c r="M104" s="976"/>
      <c r="N104" s="791"/>
      <c r="O104" s="129"/>
      <c r="P104" s="129"/>
      <c r="AH104" s="50">
        <v>0</v>
      </c>
    </row>
    <row r="105" s="50" customFormat="1" ht="18.75" hidden="1" customHeight="1">
      <c r="A105" s="143" t="s">
        <v>191</v>
      </c>
      <c r="B105" s="143" t="s">
        <v>192</v>
      </c>
      <c r="C105" s="404"/>
      <c r="D105" s="990"/>
      <c r="E105" s="355"/>
      <c r="F105" s="79" t="str">
        <f>INDEX(PT_DIFFERENTIATION_VTAR,MATCH(A105,PT_DIFFERENTIATION_VTAR_ID,0))</f>
        <v xml:space="preserve">Плата за услуги по поддержанию резервной тепловой мощности при отсутствии потребления тепловой энергии</v>
      </c>
      <c r="G105" s="914" t="str">
        <f>INDEX(PT_DIFFERENTIATION_NTAR,MATCH(B105,PT_DIFFERENTIATION_NTAR_ID,0))</f>
        <v/>
      </c>
      <c r="H105" s="426"/>
      <c r="I105" s="980"/>
      <c r="J105" s="981"/>
      <c r="K105" s="442"/>
      <c r="L105" s="426" t="s">
        <v>311</v>
      </c>
      <c r="M105" s="976"/>
      <c r="N105" s="791"/>
      <c r="O105" s="129"/>
      <c r="P105" s="129"/>
      <c r="AH105" s="50">
        <v>0</v>
      </c>
    </row>
    <row r="106" s="50" customFormat="1" ht="18.75" hidden="1" customHeight="1">
      <c r="A106" s="143"/>
      <c r="B106" s="143"/>
      <c r="C106" s="404" t="s">
        <v>1150</v>
      </c>
      <c r="D106" s="990"/>
      <c r="E106" s="355"/>
      <c r="F106" s="79"/>
      <c r="G106" s="914"/>
      <c r="H106" s="711"/>
      <c r="I106" s="177" t="s">
        <v>1149</v>
      </c>
      <c r="J106" s="235"/>
      <c r="K106" s="711"/>
      <c r="L106" s="842"/>
      <c r="M106" s="976"/>
      <c r="N106" s="791"/>
      <c r="O106" s="129"/>
      <c r="P106" s="129"/>
      <c r="AH106" s="50">
        <v>0</v>
      </c>
    </row>
    <row r="107" s="50" customFormat="1" ht="0.75" hidden="1" customHeight="1">
      <c r="A107" s="143"/>
      <c r="B107" s="143"/>
      <c r="C107" s="404" t="s">
        <v>1158</v>
      </c>
      <c r="D107" s="990"/>
      <c r="E107" s="355"/>
      <c r="F107" s="79"/>
      <c r="G107" s="989"/>
      <c r="H107" s="711"/>
      <c r="I107" s="177"/>
      <c r="J107" s="235"/>
      <c r="K107" s="711"/>
      <c r="L107" s="842"/>
      <c r="M107" s="976"/>
      <c r="N107" s="791"/>
      <c r="O107" s="129"/>
      <c r="P107" s="129"/>
      <c r="AH107" s="50">
        <v>0</v>
      </c>
    </row>
    <row r="108" s="50" customFormat="1" ht="18.75" hidden="1" customHeight="1">
      <c r="A108" s="143" t="s">
        <v>197</v>
      </c>
      <c r="B108" s="143" t="s">
        <v>198</v>
      </c>
      <c r="C108" s="404"/>
      <c r="D108" s="990"/>
      <c r="E108" s="355"/>
      <c r="F108" s="79" t="str">
        <f>INDEX(PT_DIFFERENTIATION_VTAR,MATCH(A108,PT_DIFFERENTIATION_VTAR_ID,0))</f>
        <v xml:space="preserve">Плата за подключение (технологическое присоединение) к системе теплоснабжения</v>
      </c>
      <c r="G108" s="914" t="str">
        <f>INDEX(PT_DIFFERENTIATION_NTAR,MATCH(B108,PT_DIFFERENTIATION_NTAR_ID,0))</f>
        <v/>
      </c>
      <c r="H108" s="426"/>
      <c r="I108" s="980"/>
      <c r="J108" s="981"/>
      <c r="K108" s="442"/>
      <c r="L108" s="426" t="s">
        <v>311</v>
      </c>
      <c r="M108" s="976"/>
      <c r="N108" s="791"/>
      <c r="O108" s="129"/>
      <c r="P108" s="129"/>
      <c r="AH108" s="50">
        <v>0</v>
      </c>
    </row>
    <row r="109" s="50" customFormat="1" ht="18.75" hidden="1" customHeight="1">
      <c r="A109" s="143"/>
      <c r="B109" s="143"/>
      <c r="C109" s="404" t="s">
        <v>1150</v>
      </c>
      <c r="D109" s="990"/>
      <c r="E109" s="355"/>
      <c r="F109" s="79"/>
      <c r="G109" s="914"/>
      <c r="H109" s="711"/>
      <c r="I109" s="177" t="s">
        <v>1149</v>
      </c>
      <c r="J109" s="235"/>
      <c r="K109" s="711"/>
      <c r="L109" s="842"/>
      <c r="M109" s="976"/>
      <c r="N109" s="791"/>
      <c r="O109" s="129"/>
      <c r="P109" s="129"/>
      <c r="AH109" s="50">
        <v>0</v>
      </c>
    </row>
    <row r="110" s="50" customFormat="1" ht="0.75" hidden="1" customHeight="1">
      <c r="A110" s="143"/>
      <c r="B110" s="143"/>
      <c r="C110" s="404" t="s">
        <v>1158</v>
      </c>
      <c r="D110" s="990"/>
      <c r="E110" s="355"/>
      <c r="F110" s="79"/>
      <c r="G110" s="989"/>
      <c r="H110" s="711"/>
      <c r="I110" s="177"/>
      <c r="J110" s="235"/>
      <c r="K110" s="711"/>
      <c r="L110" s="842"/>
      <c r="M110" s="976"/>
      <c r="N110" s="791"/>
      <c r="O110" s="129"/>
      <c r="P110" s="129"/>
      <c r="AH110" s="50">
        <v>0</v>
      </c>
    </row>
    <row r="111" s="50" customFormat="1" ht="18.75" hidden="1" customHeight="1">
      <c r="A111" s="143" t="s">
        <v>206</v>
      </c>
      <c r="B111" s="143" t="s">
        <v>207</v>
      </c>
      <c r="C111" s="404"/>
      <c r="D111" s="990"/>
      <c r="E111" s="355"/>
      <c r="F111" s="79" t="str">
        <f>INDEX(PT_DIFFERENTIATION_VTAR,MATCH(A111,PT_DIFFERENTIATION_VTAR_ID,0))</f>
        <v xml:space="preserve">Плата за подключение (технологическое присоединение) к системе теплоснабжения (индивидуальная)</v>
      </c>
      <c r="G111" s="914" t="str">
        <f>INDEX(PT_DIFFERENTIATION_NTAR,MATCH(B111,PT_DIFFERENTIATION_NTAR_ID,0))</f>
        <v xml:space="preserve">Плата за подключение теплопотребляющих установок общества с ограниченной ответственностью Специализированный застройщик «Эдельвейс-5» для осуществления подключения объекта капитального строительства: «Многоэтажная жилая застройка со встроенными помещениями нежилого назначения, расположенная в районе ул. Кизлярской, 18 в г. Владивостоке», к системе теплоснабжения АО "ДГК" в индивидуальном порядке.</v>
      </c>
      <c r="H111" s="426"/>
      <c r="I111" s="980"/>
      <c r="J111" s="981"/>
      <c r="K111" s="442"/>
      <c r="L111" s="426" t="s">
        <v>311</v>
      </c>
      <c r="M111" s="976"/>
      <c r="N111" s="791"/>
      <c r="O111" s="129"/>
      <c r="P111" s="129"/>
      <c r="AH111" s="50">
        <v>0</v>
      </c>
    </row>
    <row r="112" s="50" customFormat="1" ht="18.75" hidden="1" customHeight="1">
      <c r="A112" s="143"/>
      <c r="B112" s="143"/>
      <c r="C112" s="404" t="s">
        <v>1150</v>
      </c>
      <c r="D112" s="990"/>
      <c r="E112" s="355"/>
      <c r="F112" s="79"/>
      <c r="G112" s="914"/>
      <c r="H112" s="711"/>
      <c r="I112" s="177" t="s">
        <v>1149</v>
      </c>
      <c r="J112" s="235"/>
      <c r="K112" s="711"/>
      <c r="L112" s="842"/>
      <c r="M112" s="976"/>
      <c r="N112" s="791"/>
      <c r="O112" s="129"/>
      <c r="P112" s="129"/>
      <c r="AH112" s="50">
        <v>0</v>
      </c>
    </row>
    <row r="113" s="50" customFormat="1" ht="0.75" hidden="1" customHeight="1">
      <c r="A113" s="143"/>
      <c r="B113" s="143"/>
      <c r="C113" s="404" t="s">
        <v>1158</v>
      </c>
      <c r="D113" s="990"/>
      <c r="E113" s="355"/>
      <c r="F113" s="79"/>
      <c r="G113" s="989"/>
      <c r="H113" s="711"/>
      <c r="I113" s="177"/>
      <c r="J113" s="235"/>
      <c r="K113" s="711"/>
      <c r="L113" s="842"/>
      <c r="M113" s="976"/>
      <c r="N113" s="791"/>
      <c r="O113" s="129"/>
      <c r="P113" s="129"/>
      <c r="AH113" s="50">
        <v>0</v>
      </c>
    </row>
    <row r="114" s="50" customFormat="1" ht="18.75" hidden="1" customHeight="1">
      <c r="A114" s="143" t="s">
        <v>230</v>
      </c>
      <c r="B114" s="143" t="s">
        <v>231</v>
      </c>
      <c r="C114" s="404"/>
      <c r="D114" s="990"/>
      <c r="E114" s="355"/>
      <c r="F114" s="79" t="str">
        <f>INDEX(PT_DIFFERENTIATION_VTAR,MATCH(A114,PT_DIFFERENTIATION_VTAR_ID,0))</f>
        <v xml:space="preserve">Тариф на питьевую воду (питьевое водоснабжение)</v>
      </c>
      <c r="G114" s="914" t="str">
        <f>INDEX(PT_DIFFERENTIATION_NTAR,MATCH(B114,PT_DIFFERENTIATION_NTAR_ID,0))</f>
        <v/>
      </c>
      <c r="H114" s="426"/>
      <c r="I114" s="980"/>
      <c r="J114" s="981"/>
      <c r="K114" s="442"/>
      <c r="L114" s="426" t="s">
        <v>311</v>
      </c>
      <c r="M114" s="976"/>
      <c r="N114" s="791"/>
      <c r="O114" s="129"/>
      <c r="P114" s="129"/>
      <c r="AH114" s="50">
        <v>0</v>
      </c>
    </row>
    <row r="115" s="50" customFormat="1" ht="18.75" hidden="1" customHeight="1">
      <c r="A115" s="143"/>
      <c r="B115" s="143"/>
      <c r="C115" s="404" t="s">
        <v>1150</v>
      </c>
      <c r="D115" s="990"/>
      <c r="E115" s="355"/>
      <c r="F115" s="79"/>
      <c r="G115" s="914"/>
      <c r="H115" s="711"/>
      <c r="I115" s="177" t="s">
        <v>1149</v>
      </c>
      <c r="J115" s="235"/>
      <c r="K115" s="711"/>
      <c r="L115" s="842"/>
      <c r="M115" s="976"/>
      <c r="N115" s="791"/>
      <c r="O115" s="129"/>
      <c r="P115" s="129"/>
      <c r="AH115" s="50">
        <v>0</v>
      </c>
    </row>
    <row r="116" s="50" customFormat="1" ht="0.75" hidden="1" customHeight="1">
      <c r="A116" s="143"/>
      <c r="B116" s="143"/>
      <c r="C116" s="404" t="s">
        <v>1158</v>
      </c>
      <c r="D116" s="990"/>
      <c r="E116" s="355"/>
      <c r="F116" s="79"/>
      <c r="G116" s="989"/>
      <c r="H116" s="711"/>
      <c r="I116" s="177"/>
      <c r="J116" s="235"/>
      <c r="K116" s="711"/>
      <c r="L116" s="842"/>
      <c r="M116" s="976"/>
      <c r="N116" s="791"/>
      <c r="O116" s="129"/>
      <c r="P116" s="129"/>
      <c r="AH116" s="50">
        <v>0</v>
      </c>
    </row>
    <row r="117" s="50" customFormat="1" ht="18.75" hidden="1" customHeight="1">
      <c r="A117" s="143" t="s">
        <v>235</v>
      </c>
      <c r="B117" s="143" t="s">
        <v>236</v>
      </c>
      <c r="C117" s="404"/>
      <c r="D117" s="990"/>
      <c r="E117" s="355"/>
      <c r="F117" s="79" t="str">
        <f>INDEX(PT_DIFFERENTIATION_VTAR,MATCH(A117,PT_DIFFERENTIATION_VTAR_ID,0))</f>
        <v xml:space="preserve">Тариф на техническую воду</v>
      </c>
      <c r="G117" s="914" t="str">
        <f>INDEX(PT_DIFFERENTIATION_NTAR,MATCH(B117,PT_DIFFERENTIATION_NTAR_ID,0))</f>
        <v/>
      </c>
      <c r="H117" s="426"/>
      <c r="I117" s="980"/>
      <c r="J117" s="981"/>
      <c r="K117" s="442"/>
      <c r="L117" s="426" t="s">
        <v>311</v>
      </c>
      <c r="M117" s="976"/>
      <c r="N117" s="791"/>
      <c r="O117" s="129"/>
      <c r="P117" s="129"/>
      <c r="AH117" s="50">
        <v>0</v>
      </c>
    </row>
    <row r="118" s="50" customFormat="1" ht="18.75" hidden="1" customHeight="1">
      <c r="A118" s="143"/>
      <c r="B118" s="143"/>
      <c r="C118" s="404" t="s">
        <v>1150</v>
      </c>
      <c r="D118" s="990"/>
      <c r="E118" s="355"/>
      <c r="F118" s="79"/>
      <c r="G118" s="914"/>
      <c r="H118" s="711"/>
      <c r="I118" s="177" t="s">
        <v>1149</v>
      </c>
      <c r="J118" s="235"/>
      <c r="K118" s="711"/>
      <c r="L118" s="842"/>
      <c r="M118" s="976"/>
      <c r="N118" s="791"/>
      <c r="O118" s="129"/>
      <c r="P118" s="129"/>
      <c r="AH118" s="50">
        <v>0</v>
      </c>
    </row>
    <row r="119" s="50" customFormat="1" ht="0.75" hidden="1" customHeight="1">
      <c r="A119" s="143"/>
      <c r="B119" s="143"/>
      <c r="C119" s="404" t="s">
        <v>1158</v>
      </c>
      <c r="D119" s="990"/>
      <c r="E119" s="355"/>
      <c r="F119" s="79"/>
      <c r="G119" s="989"/>
      <c r="H119" s="711"/>
      <c r="I119" s="177"/>
      <c r="J119" s="235"/>
      <c r="K119" s="711"/>
      <c r="L119" s="842"/>
      <c r="M119" s="976"/>
      <c r="N119" s="791"/>
      <c r="O119" s="129"/>
      <c r="P119" s="129"/>
      <c r="AH119" s="50">
        <v>0</v>
      </c>
    </row>
    <row r="120" s="50" customFormat="1" ht="18.75" hidden="1" customHeight="1">
      <c r="A120" s="143" t="s">
        <v>240</v>
      </c>
      <c r="B120" s="143" t="s">
        <v>241</v>
      </c>
      <c r="C120" s="404"/>
      <c r="D120" s="990"/>
      <c r="E120" s="355"/>
      <c r="F120" s="79" t="str">
        <f>INDEX(PT_DIFFERENTIATION_VTAR,MATCH(A120,PT_DIFFERENTIATION_VTAR_ID,0))</f>
        <v xml:space="preserve">Тариф на транспортировку воды</v>
      </c>
      <c r="G120" s="914" t="str">
        <f>INDEX(PT_DIFFERENTIATION_NTAR,MATCH(B120,PT_DIFFERENTIATION_NTAR_ID,0))</f>
        <v/>
      </c>
      <c r="H120" s="426"/>
      <c r="I120" s="980"/>
      <c r="J120" s="981"/>
      <c r="K120" s="442"/>
      <c r="L120" s="426" t="s">
        <v>311</v>
      </c>
      <c r="M120" s="976"/>
      <c r="N120" s="791"/>
      <c r="O120" s="129"/>
      <c r="P120" s="129"/>
      <c r="AH120" s="50">
        <v>0</v>
      </c>
    </row>
    <row r="121" s="50" customFormat="1" ht="18.75" hidden="1" customHeight="1">
      <c r="A121" s="143"/>
      <c r="B121" s="143"/>
      <c r="C121" s="404" t="s">
        <v>1150</v>
      </c>
      <c r="D121" s="990"/>
      <c r="E121" s="355"/>
      <c r="F121" s="79"/>
      <c r="G121" s="914"/>
      <c r="H121" s="711"/>
      <c r="I121" s="177" t="s">
        <v>1149</v>
      </c>
      <c r="J121" s="235"/>
      <c r="K121" s="711"/>
      <c r="L121" s="842"/>
      <c r="M121" s="976"/>
      <c r="N121" s="791"/>
      <c r="O121" s="129"/>
      <c r="P121" s="129"/>
      <c r="AH121" s="50">
        <v>0</v>
      </c>
    </row>
    <row r="122" s="50" customFormat="1" ht="0.75" hidden="1" customHeight="1">
      <c r="A122" s="143"/>
      <c r="B122" s="143"/>
      <c r="C122" s="404" t="s">
        <v>1158</v>
      </c>
      <c r="D122" s="990"/>
      <c r="E122" s="355"/>
      <c r="F122" s="79"/>
      <c r="G122" s="989"/>
      <c r="H122" s="711"/>
      <c r="I122" s="177"/>
      <c r="J122" s="235"/>
      <c r="K122" s="711"/>
      <c r="L122" s="842"/>
      <c r="M122" s="976"/>
      <c r="N122" s="791"/>
      <c r="O122" s="129"/>
      <c r="P122" s="129"/>
      <c r="AH122" s="50">
        <v>0</v>
      </c>
    </row>
    <row r="123" s="50" customFormat="1" ht="18.75" hidden="1" customHeight="1">
      <c r="A123" s="143" t="s">
        <v>245</v>
      </c>
      <c r="B123" s="143" t="s">
        <v>246</v>
      </c>
      <c r="C123" s="404"/>
      <c r="D123" s="990"/>
      <c r="E123" s="355"/>
      <c r="F123" s="79" t="str">
        <f>INDEX(PT_DIFFERENTIATION_VTAR,MATCH(A123,PT_DIFFERENTIATION_VTAR_ID,0))</f>
        <v xml:space="preserve">Тариф на подвоз воды</v>
      </c>
      <c r="G123" s="914" t="str">
        <f>INDEX(PT_DIFFERENTIATION_NTAR,MATCH(B123,PT_DIFFERENTIATION_NTAR_ID,0))</f>
        <v/>
      </c>
      <c r="H123" s="426"/>
      <c r="I123" s="980"/>
      <c r="J123" s="981"/>
      <c r="K123" s="442"/>
      <c r="L123" s="426" t="s">
        <v>311</v>
      </c>
      <c r="M123" s="976"/>
      <c r="N123" s="791"/>
      <c r="O123" s="129"/>
      <c r="P123" s="129"/>
      <c r="AH123" s="50">
        <v>0</v>
      </c>
    </row>
    <row r="124" s="50" customFormat="1" ht="18.75" hidden="1" customHeight="1">
      <c r="A124" s="143"/>
      <c r="B124" s="143"/>
      <c r="C124" s="404" t="s">
        <v>1150</v>
      </c>
      <c r="D124" s="990"/>
      <c r="E124" s="355"/>
      <c r="F124" s="79"/>
      <c r="G124" s="914"/>
      <c r="H124" s="711"/>
      <c r="I124" s="177" t="s">
        <v>1149</v>
      </c>
      <c r="J124" s="235"/>
      <c r="K124" s="711"/>
      <c r="L124" s="842"/>
      <c r="M124" s="976"/>
      <c r="N124" s="791"/>
      <c r="O124" s="129"/>
      <c r="P124" s="129"/>
      <c r="AH124" s="50">
        <v>0</v>
      </c>
    </row>
    <row r="125" s="50" customFormat="1" ht="0.75" hidden="1" customHeight="1">
      <c r="A125" s="143"/>
      <c r="B125" s="143"/>
      <c r="C125" s="404" t="s">
        <v>1158</v>
      </c>
      <c r="D125" s="990"/>
      <c r="E125" s="355"/>
      <c r="F125" s="79"/>
      <c r="G125" s="989"/>
      <c r="H125" s="711"/>
      <c r="I125" s="177"/>
      <c r="J125" s="235"/>
      <c r="K125" s="711"/>
      <c r="L125" s="842"/>
      <c r="M125" s="976"/>
      <c r="N125" s="791"/>
      <c r="O125" s="129"/>
      <c r="P125" s="129"/>
      <c r="AH125" s="50">
        <v>0</v>
      </c>
    </row>
    <row r="126" s="50" customFormat="1" ht="18.75" hidden="1" customHeight="1">
      <c r="A126" s="143" t="s">
        <v>250</v>
      </c>
      <c r="B126" s="143" t="s">
        <v>251</v>
      </c>
      <c r="C126" s="404"/>
      <c r="D126" s="990"/>
      <c r="E126" s="355"/>
      <c r="F126" s="79" t="str">
        <f>INDEX(PT_DIFFERENTIATION_VTAR,MATCH(A126,PT_DIFFERENTIATION_VTAR_ID,0))</f>
        <v xml:space="preserve">Тариф на подключение (технологическое присоединение) к централизованной системе холодного водоснабжения</v>
      </c>
      <c r="G126" s="914" t="str">
        <f>INDEX(PT_DIFFERENTIATION_NTAR,MATCH(B126,PT_DIFFERENTIATION_NTAR_ID,0))</f>
        <v/>
      </c>
      <c r="H126" s="426"/>
      <c r="I126" s="980"/>
      <c r="J126" s="981"/>
      <c r="K126" s="442"/>
      <c r="L126" s="426" t="s">
        <v>311</v>
      </c>
      <c r="M126" s="976"/>
      <c r="N126" s="791"/>
      <c r="O126" s="129"/>
      <c r="P126" s="129"/>
      <c r="AH126" s="50">
        <v>0</v>
      </c>
    </row>
    <row r="127" s="50" customFormat="1" ht="18.75" hidden="1" customHeight="1">
      <c r="A127" s="143"/>
      <c r="B127" s="143"/>
      <c r="C127" s="404" t="s">
        <v>1150</v>
      </c>
      <c r="D127" s="990"/>
      <c r="E127" s="355"/>
      <c r="F127" s="79"/>
      <c r="G127" s="914"/>
      <c r="H127" s="711"/>
      <c r="I127" s="177" t="s">
        <v>1149</v>
      </c>
      <c r="J127" s="235"/>
      <c r="K127" s="711"/>
      <c r="L127" s="842"/>
      <c r="M127" s="976"/>
      <c r="N127" s="791"/>
      <c r="O127" s="129"/>
      <c r="P127" s="129"/>
      <c r="AH127" s="50">
        <v>0</v>
      </c>
    </row>
    <row r="128" s="50" customFormat="1" ht="0.75" hidden="1" customHeight="1">
      <c r="A128" s="143"/>
      <c r="B128" s="143"/>
      <c r="C128" s="404" t="s">
        <v>1158</v>
      </c>
      <c r="D128" s="990"/>
      <c r="E128" s="355"/>
      <c r="F128" s="79"/>
      <c r="G128" s="989"/>
      <c r="H128" s="711"/>
      <c r="I128" s="177"/>
      <c r="J128" s="235"/>
      <c r="K128" s="711"/>
      <c r="L128" s="842"/>
      <c r="M128" s="976"/>
      <c r="N128" s="791"/>
      <c r="O128" s="129"/>
      <c r="P128" s="129"/>
      <c r="AH128" s="50">
        <v>0</v>
      </c>
    </row>
    <row r="129" s="50" customFormat="1" ht="18.75" hidden="1" customHeight="1">
      <c r="A129" s="143" t="s">
        <v>255</v>
      </c>
      <c r="B129" s="143" t="s">
        <v>256</v>
      </c>
      <c r="C129" s="404"/>
      <c r="D129" s="990"/>
      <c r="E129" s="355"/>
      <c r="F129" s="79" t="str">
        <f>INDEX(PT_DIFFERENTIATION_VTAR,MATCH(A129,PT_DIFFERENTIATION_VTAR_ID,0))</f>
        <v xml:space="preserve">Тариф на горячую воду (горячее водоснабжение)</v>
      </c>
      <c r="G129" s="914" t="str">
        <f>INDEX(PT_DIFFERENTIATION_NTAR,MATCH(B129,PT_DIFFERENTIATION_NTAR_ID,0))</f>
        <v/>
      </c>
      <c r="H129" s="426"/>
      <c r="I129" s="980"/>
      <c r="J129" s="981"/>
      <c r="K129" s="442"/>
      <c r="L129" s="426" t="s">
        <v>311</v>
      </c>
      <c r="M129" s="976"/>
      <c r="N129" s="791"/>
      <c r="O129" s="129"/>
      <c r="P129" s="129"/>
      <c r="AH129" s="50">
        <v>0</v>
      </c>
    </row>
    <row r="130" s="50" customFormat="1" ht="18.75" hidden="1" customHeight="1">
      <c r="A130" s="143"/>
      <c r="B130" s="143"/>
      <c r="C130" s="404" t="s">
        <v>1150</v>
      </c>
      <c r="D130" s="990"/>
      <c r="E130" s="355"/>
      <c r="F130" s="79"/>
      <c r="G130" s="914"/>
      <c r="H130" s="711"/>
      <c r="I130" s="177" t="s">
        <v>1149</v>
      </c>
      <c r="J130" s="235"/>
      <c r="K130" s="711"/>
      <c r="L130" s="842"/>
      <c r="M130" s="976"/>
      <c r="N130" s="791"/>
      <c r="O130" s="129"/>
      <c r="P130" s="129"/>
      <c r="AH130" s="50">
        <v>0</v>
      </c>
    </row>
    <row r="131" s="50" customFormat="1" ht="0.75" hidden="1" customHeight="1">
      <c r="A131" s="143"/>
      <c r="B131" s="143"/>
      <c r="C131" s="404" t="s">
        <v>1158</v>
      </c>
      <c r="D131" s="990"/>
      <c r="E131" s="355"/>
      <c r="F131" s="79"/>
      <c r="G131" s="989"/>
      <c r="H131" s="711"/>
      <c r="I131" s="177"/>
      <c r="J131" s="235"/>
      <c r="K131" s="711"/>
      <c r="L131" s="842"/>
      <c r="M131" s="976"/>
      <c r="N131" s="791"/>
      <c r="O131" s="129"/>
      <c r="P131" s="129"/>
      <c r="AH131" s="50">
        <v>0</v>
      </c>
    </row>
    <row r="132" s="50" customFormat="1" ht="18.75" hidden="1" customHeight="1">
      <c r="A132" s="143" t="s">
        <v>260</v>
      </c>
      <c r="B132" s="143" t="s">
        <v>261</v>
      </c>
      <c r="C132" s="404"/>
      <c r="D132" s="990"/>
      <c r="E132" s="355"/>
      <c r="F132" s="79" t="str">
        <f>INDEX(PT_DIFFERENTIATION_VTAR,MATCH(A132,PT_DIFFERENTIATION_VTAR_ID,0))</f>
        <v xml:space="preserve">Тариф на транспортировку горячей воды</v>
      </c>
      <c r="G132" s="914" t="str">
        <f>INDEX(PT_DIFFERENTIATION_NTAR,MATCH(B132,PT_DIFFERENTIATION_NTAR_ID,0))</f>
        <v/>
      </c>
      <c r="H132" s="426"/>
      <c r="I132" s="980"/>
      <c r="J132" s="981"/>
      <c r="K132" s="442"/>
      <c r="L132" s="426" t="s">
        <v>311</v>
      </c>
      <c r="M132" s="976"/>
      <c r="N132" s="791"/>
      <c r="O132" s="129"/>
      <c r="P132" s="129"/>
      <c r="AH132" s="50">
        <v>0</v>
      </c>
    </row>
    <row r="133" s="50" customFormat="1" ht="18.75" hidden="1" customHeight="1">
      <c r="A133" s="143"/>
      <c r="B133" s="143"/>
      <c r="C133" s="404" t="s">
        <v>1150</v>
      </c>
      <c r="D133" s="990"/>
      <c r="E133" s="355"/>
      <c r="F133" s="79"/>
      <c r="G133" s="914"/>
      <c r="H133" s="711"/>
      <c r="I133" s="177" t="s">
        <v>1149</v>
      </c>
      <c r="J133" s="235"/>
      <c r="K133" s="711"/>
      <c r="L133" s="842"/>
      <c r="M133" s="976"/>
      <c r="N133" s="791"/>
      <c r="O133" s="129"/>
      <c r="P133" s="129"/>
      <c r="AH133" s="50">
        <v>0</v>
      </c>
    </row>
    <row r="134" s="50" customFormat="1" ht="0.75" hidden="1" customHeight="1">
      <c r="A134" s="143"/>
      <c r="B134" s="143"/>
      <c r="C134" s="404" t="s">
        <v>1158</v>
      </c>
      <c r="D134" s="990"/>
      <c r="E134" s="355"/>
      <c r="F134" s="79"/>
      <c r="G134" s="989"/>
      <c r="H134" s="711"/>
      <c r="I134" s="177"/>
      <c r="J134" s="235"/>
      <c r="K134" s="711"/>
      <c r="L134" s="842"/>
      <c r="M134" s="976"/>
      <c r="N134" s="791"/>
      <c r="O134" s="129"/>
      <c r="P134" s="129"/>
      <c r="AH134" s="50">
        <v>0</v>
      </c>
    </row>
    <row r="135" s="50" customFormat="1" ht="18.75" hidden="1" customHeight="1">
      <c r="A135" s="143" t="s">
        <v>265</v>
      </c>
      <c r="B135" s="143" t="s">
        <v>266</v>
      </c>
      <c r="C135" s="404"/>
      <c r="D135" s="990"/>
      <c r="E135" s="355"/>
      <c r="F135" s="79" t="str">
        <f>INDEX(PT_DIFFERENTIATION_VTAR,MATCH(A135,PT_DIFFERENTIATION_VTAR_ID,0))</f>
        <v xml:space="preserve">Тариф на подключение (технологическое присоединение) к централизованной системе горячего водоснабжения</v>
      </c>
      <c r="G135" s="914" t="str">
        <f>INDEX(PT_DIFFERENTIATION_NTAR,MATCH(B135,PT_DIFFERENTIATION_NTAR_ID,0))</f>
        <v/>
      </c>
      <c r="H135" s="426"/>
      <c r="I135" s="980"/>
      <c r="J135" s="981"/>
      <c r="K135" s="442"/>
      <c r="L135" s="426" t="s">
        <v>311</v>
      </c>
      <c r="M135" s="976"/>
      <c r="N135" s="791"/>
      <c r="O135" s="129"/>
      <c r="P135" s="129"/>
      <c r="AH135" s="50">
        <v>0</v>
      </c>
    </row>
    <row r="136" s="50" customFormat="1" ht="18.75" hidden="1" customHeight="1">
      <c r="A136" s="143"/>
      <c r="B136" s="143"/>
      <c r="C136" s="404" t="s">
        <v>1150</v>
      </c>
      <c r="D136" s="990"/>
      <c r="E136" s="355"/>
      <c r="F136" s="79"/>
      <c r="G136" s="914"/>
      <c r="H136" s="711"/>
      <c r="I136" s="177" t="s">
        <v>1149</v>
      </c>
      <c r="J136" s="235"/>
      <c r="K136" s="711"/>
      <c r="L136" s="842"/>
      <c r="M136" s="976"/>
      <c r="N136" s="791"/>
      <c r="O136" s="129"/>
      <c r="P136" s="129"/>
      <c r="AH136" s="50">
        <v>0</v>
      </c>
    </row>
    <row r="137" s="50" customFormat="1" ht="0.75" hidden="1" customHeight="1">
      <c r="A137" s="143"/>
      <c r="B137" s="143"/>
      <c r="C137" s="404" t="s">
        <v>1158</v>
      </c>
      <c r="D137" s="990"/>
      <c r="E137" s="355"/>
      <c r="F137" s="79"/>
      <c r="G137" s="989"/>
      <c r="H137" s="711"/>
      <c r="I137" s="177"/>
      <c r="J137" s="235"/>
      <c r="K137" s="711"/>
      <c r="L137" s="842"/>
      <c r="M137" s="976"/>
      <c r="N137" s="791"/>
      <c r="O137" s="129"/>
      <c r="P137" s="129"/>
      <c r="AH137" s="50">
        <v>0</v>
      </c>
    </row>
    <row r="138" s="50" customFormat="1" ht="18.75" hidden="1" customHeight="1">
      <c r="A138" s="143" t="s">
        <v>270</v>
      </c>
      <c r="B138" s="143" t="s">
        <v>271</v>
      </c>
      <c r="C138" s="404"/>
      <c r="D138" s="990"/>
      <c r="E138" s="355"/>
      <c r="F138" s="79" t="str">
        <f>INDEX(PT_DIFFERENTIATION_VTAR,MATCH(A138,PT_DIFFERENTIATION_VTAR_ID,0))</f>
        <v xml:space="preserve">Тариф на водоотведение</v>
      </c>
      <c r="G138" s="914" t="str">
        <f>INDEX(PT_DIFFERENTIATION_NTAR,MATCH(B138,PT_DIFFERENTIATION_NTAR_ID,0))</f>
        <v/>
      </c>
      <c r="H138" s="426"/>
      <c r="I138" s="980"/>
      <c r="J138" s="981"/>
      <c r="K138" s="442"/>
      <c r="L138" s="426" t="s">
        <v>311</v>
      </c>
      <c r="M138" s="976"/>
      <c r="N138" s="791"/>
      <c r="O138" s="129"/>
      <c r="P138" s="129"/>
      <c r="AH138" s="50">
        <v>0</v>
      </c>
    </row>
    <row r="139" s="50" customFormat="1" ht="18.75" hidden="1" customHeight="1">
      <c r="A139" s="143"/>
      <c r="B139" s="143"/>
      <c r="C139" s="404" t="s">
        <v>1150</v>
      </c>
      <c r="D139" s="990"/>
      <c r="E139" s="355"/>
      <c r="F139" s="79"/>
      <c r="G139" s="914"/>
      <c r="H139" s="711"/>
      <c r="I139" s="177" t="s">
        <v>1149</v>
      </c>
      <c r="J139" s="235"/>
      <c r="K139" s="711"/>
      <c r="L139" s="842"/>
      <c r="M139" s="976"/>
      <c r="N139" s="791"/>
      <c r="O139" s="129"/>
      <c r="P139" s="129"/>
      <c r="AH139" s="50">
        <v>0</v>
      </c>
    </row>
    <row r="140" s="50" customFormat="1" ht="0.75" hidden="1" customHeight="1">
      <c r="A140" s="143"/>
      <c r="B140" s="143"/>
      <c r="C140" s="404" t="s">
        <v>1158</v>
      </c>
      <c r="D140" s="990"/>
      <c r="E140" s="355"/>
      <c r="F140" s="79"/>
      <c r="G140" s="989"/>
      <c r="H140" s="711"/>
      <c r="I140" s="177"/>
      <c r="J140" s="235"/>
      <c r="K140" s="711"/>
      <c r="L140" s="842"/>
      <c r="M140" s="976"/>
      <c r="N140" s="791"/>
      <c r="O140" s="129"/>
      <c r="P140" s="129"/>
      <c r="AH140" s="50">
        <v>0</v>
      </c>
    </row>
    <row r="141" s="50" customFormat="1" ht="18.75" hidden="1" customHeight="1">
      <c r="A141" s="143" t="s">
        <v>275</v>
      </c>
      <c r="B141" s="143" t="s">
        <v>276</v>
      </c>
      <c r="C141" s="404"/>
      <c r="D141" s="990"/>
      <c r="E141" s="355"/>
      <c r="F141" s="79" t="str">
        <f>INDEX(PT_DIFFERENTIATION_VTAR,MATCH(A141,PT_DIFFERENTIATION_VTAR_ID,0))</f>
        <v xml:space="preserve">Тариф на транспортировку сточных вод</v>
      </c>
      <c r="G141" s="914" t="str">
        <f>INDEX(PT_DIFFERENTIATION_NTAR,MATCH(B141,PT_DIFFERENTIATION_NTAR_ID,0))</f>
        <v/>
      </c>
      <c r="H141" s="426"/>
      <c r="I141" s="980"/>
      <c r="J141" s="981"/>
      <c r="K141" s="442"/>
      <c r="L141" s="426" t="s">
        <v>311</v>
      </c>
      <c r="M141" s="976"/>
      <c r="N141" s="791"/>
      <c r="O141" s="129"/>
      <c r="P141" s="129"/>
      <c r="AH141" s="50">
        <v>0</v>
      </c>
    </row>
    <row r="142" s="50" customFormat="1" ht="18.75" hidden="1" customHeight="1">
      <c r="A142" s="143"/>
      <c r="B142" s="143"/>
      <c r="C142" s="404" t="s">
        <v>1150</v>
      </c>
      <c r="D142" s="990"/>
      <c r="E142" s="355"/>
      <c r="F142" s="79"/>
      <c r="G142" s="914"/>
      <c r="H142" s="711"/>
      <c r="I142" s="177" t="s">
        <v>1149</v>
      </c>
      <c r="J142" s="235"/>
      <c r="K142" s="711"/>
      <c r="L142" s="842"/>
      <c r="M142" s="976"/>
      <c r="N142" s="791"/>
      <c r="O142" s="129"/>
      <c r="P142" s="129"/>
      <c r="AH142" s="50">
        <v>0</v>
      </c>
    </row>
    <row r="143" s="50" customFormat="1" ht="0.75" hidden="1" customHeight="1">
      <c r="A143" s="143"/>
      <c r="B143" s="143"/>
      <c r="C143" s="404" t="s">
        <v>1158</v>
      </c>
      <c r="D143" s="990"/>
      <c r="E143" s="355"/>
      <c r="F143" s="79"/>
      <c r="G143" s="989"/>
      <c r="H143" s="711"/>
      <c r="I143" s="177"/>
      <c r="J143" s="235"/>
      <c r="K143" s="711"/>
      <c r="L143" s="842"/>
      <c r="M143" s="976"/>
      <c r="N143" s="791"/>
      <c r="O143" s="129"/>
      <c r="P143" s="129"/>
      <c r="AH143" s="50">
        <v>0</v>
      </c>
    </row>
    <row r="144" s="50" customFormat="1" ht="18.75" hidden="1" customHeight="1">
      <c r="A144" s="143" t="s">
        <v>280</v>
      </c>
      <c r="B144" s="143" t="s">
        <v>281</v>
      </c>
      <c r="C144" s="404"/>
      <c r="D144" s="990"/>
      <c r="E144" s="355"/>
      <c r="F144" s="79" t="str">
        <f>INDEX(PT_DIFFERENTIATION_VTAR,MATCH(A144,PT_DIFFERENTIATION_VTAR_ID,0))</f>
        <v xml:space="preserve">Тариф на подключение (технологическое присоединение) к централизованной системе водоотведения</v>
      </c>
      <c r="G144" s="914" t="str">
        <f>INDEX(PT_DIFFERENTIATION_NTAR,MATCH(B144,PT_DIFFERENTIATION_NTAR_ID,0))</f>
        <v/>
      </c>
      <c r="H144" s="426"/>
      <c r="I144" s="980"/>
      <c r="J144" s="981"/>
      <c r="K144" s="442"/>
      <c r="L144" s="426" t="s">
        <v>311</v>
      </c>
      <c r="M144" s="976"/>
      <c r="N144" s="791"/>
      <c r="O144" s="129"/>
      <c r="P144" s="129"/>
      <c r="AH144" s="50">
        <v>0</v>
      </c>
    </row>
    <row r="145" s="50" customFormat="1" ht="18.75" hidden="1" customHeight="1">
      <c r="A145" s="143"/>
      <c r="B145" s="143"/>
      <c r="C145" s="404" t="s">
        <v>1150</v>
      </c>
      <c r="D145" s="990"/>
      <c r="E145" s="355"/>
      <c r="F145" s="79"/>
      <c r="G145" s="914"/>
      <c r="H145" s="711"/>
      <c r="I145" s="177" t="s">
        <v>1149</v>
      </c>
      <c r="J145" s="235"/>
      <c r="K145" s="711"/>
      <c r="L145" s="842"/>
      <c r="M145" s="976"/>
      <c r="N145" s="791"/>
      <c r="O145" s="129"/>
      <c r="P145" s="129"/>
      <c r="AH145" s="50">
        <v>0</v>
      </c>
    </row>
    <row r="146" s="50" customFormat="1" ht="1.05" customHeight="1">
      <c r="A146" s="143"/>
      <c r="B146" s="143"/>
      <c r="C146" s="404" t="s">
        <v>1158</v>
      </c>
      <c r="D146" s="990"/>
      <c r="E146" s="355"/>
      <c r="F146" s="79"/>
      <c r="G146" s="989"/>
      <c r="H146" s="711"/>
      <c r="I146" s="177"/>
      <c r="J146" s="235"/>
      <c r="K146" s="711"/>
      <c r="L146" s="842"/>
      <c r="M146" s="976"/>
      <c r="N146" s="791"/>
      <c r="O146" s="129"/>
      <c r="P146" s="129"/>
      <c r="AH146" s="50">
        <v>1</v>
      </c>
    </row>
    <row r="147" ht="19.949999999999999" customHeight="1">
      <c r="A147" s="143"/>
      <c r="B147" s="143"/>
      <c r="D147" s="548"/>
      <c r="E147" s="355" t="s">
        <v>92</v>
      </c>
      <c r="F147" s="84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 xml:space="preserve">Годовой объем полезного отпуска тепловой энергии (теплоносителя)</v>
      </c>
      <c r="G147" s="840"/>
      <c r="H147" s="840"/>
      <c r="I147" s="840"/>
      <c r="J147" s="840"/>
      <c r="K147" s="840"/>
      <c r="L147" s="840"/>
      <c r="M147" s="832"/>
      <c r="N147" s="791"/>
      <c r="AH147" s="50">
        <v>19</v>
      </c>
    </row>
    <row r="148" s="50" customFormat="1" ht="60.75" hidden="1" customHeight="1">
      <c r="A148" s="143" t="s">
        <v>155</v>
      </c>
      <c r="B148" s="143" t="s">
        <v>156</v>
      </c>
      <c r="C148" s="404"/>
      <c r="D148" s="990"/>
      <c r="E148" s="355"/>
      <c r="F148" s="79" t="str">
        <f>INDEX(PT_DIFFERENTIATION_VTAR,MATCH(A148,PT_DIFFERENTIATION_VTAR_ID,0))</f>
        <v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914" t="str">
        <f>INDEX(PT_DIFFERENTIATION_NTAR,MATCH(B148,PT_DIFFERENTIATION_NTAR_ID,0))</f>
        <v/>
      </c>
      <c r="H148" s="426"/>
      <c r="I148" s="980"/>
      <c r="J148" s="981"/>
      <c r="K148" s="442"/>
      <c r="L148" s="426" t="s">
        <v>311</v>
      </c>
      <c r="M148" s="28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 xml:space="preserve">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791"/>
      <c r="O148" s="129"/>
      <c r="P148" s="129"/>
      <c r="AH148" s="50">
        <v>0</v>
      </c>
    </row>
    <row r="149" s="50" customFormat="1" ht="18.75" hidden="1" customHeight="1">
      <c r="A149" s="143"/>
      <c r="B149" s="143"/>
      <c r="C149" s="404" t="s">
        <v>1150</v>
      </c>
      <c r="D149" s="990"/>
      <c r="E149" s="355"/>
      <c r="F149" s="79"/>
      <c r="G149" s="914"/>
      <c r="H149" s="711"/>
      <c r="I149" s="177" t="s">
        <v>1149</v>
      </c>
      <c r="J149" s="235"/>
      <c r="K149" s="711"/>
      <c r="L149" s="842"/>
      <c r="M149" s="287"/>
      <c r="N149" s="791"/>
      <c r="O149" s="129"/>
      <c r="P149" s="129"/>
      <c r="AH149" s="50">
        <v>0</v>
      </c>
    </row>
    <row r="150" s="50" customFormat="1" ht="0.75" hidden="1" customHeight="1">
      <c r="A150" s="143"/>
      <c r="B150" s="143"/>
      <c r="C150" s="404" t="s">
        <v>1158</v>
      </c>
      <c r="D150" s="990"/>
      <c r="E150" s="355"/>
      <c r="F150" s="79"/>
      <c r="G150" s="989"/>
      <c r="H150" s="711"/>
      <c r="I150" s="177"/>
      <c r="J150" s="235"/>
      <c r="K150" s="711"/>
      <c r="L150" s="842"/>
      <c r="M150" s="287"/>
      <c r="N150" s="791"/>
      <c r="O150" s="129"/>
      <c r="P150" s="129"/>
      <c r="AH150" s="50">
        <v>0</v>
      </c>
    </row>
    <row r="151" s="50" customFormat="1" ht="45" hidden="1" customHeight="1">
      <c r="A151" s="143" t="s">
        <v>161</v>
      </c>
      <c r="B151" s="143" t="s">
        <v>162</v>
      </c>
      <c r="C151" s="404"/>
      <c r="D151" s="990"/>
      <c r="E151" s="355"/>
      <c r="F151" s="79" t="str">
        <f>INDEX(PT_DIFFERENTIATION_VTAR,MATCH(A151,PT_DIFFERENTIATION_VTAR_ID,0))</f>
        <v xml:space="preserve">Тарифы на тепловую энергию (мощность), поставляемую теплоснабжающими организациями потребителям, другим теплоснабжающим организациям</v>
      </c>
      <c r="G151" s="914" t="str">
        <f>INDEX(PT_DIFFERENTIATION_NTAR,MATCH(B151,PT_DIFFERENTIATION_NTAR_ID,0))</f>
        <v/>
      </c>
      <c r="H151" s="426"/>
      <c r="I151" s="980"/>
      <c r="J151" s="981"/>
      <c r="K151" s="442"/>
      <c r="L151" s="426" t="s">
        <v>311</v>
      </c>
      <c r="M151" s="289"/>
      <c r="N151" s="791"/>
      <c r="O151" s="129"/>
      <c r="P151" s="129"/>
      <c r="AH151" s="50">
        <v>0</v>
      </c>
    </row>
    <row r="152" s="50" customFormat="1" ht="18.75" hidden="1" customHeight="1">
      <c r="A152" s="143"/>
      <c r="B152" s="143"/>
      <c r="C152" s="404" t="s">
        <v>1150</v>
      </c>
      <c r="D152" s="990"/>
      <c r="E152" s="355"/>
      <c r="F152" s="79"/>
      <c r="G152" s="914"/>
      <c r="H152" s="711"/>
      <c r="I152" s="177" t="s">
        <v>1149</v>
      </c>
      <c r="J152" s="235"/>
      <c r="K152" s="711"/>
      <c r="L152" s="842"/>
      <c r="M152" s="287"/>
      <c r="N152" s="791"/>
      <c r="O152" s="129"/>
      <c r="P152" s="129"/>
      <c r="AH152" s="50">
        <v>0</v>
      </c>
    </row>
    <row r="153" s="50" customFormat="1" ht="0.75" hidden="1" customHeight="1">
      <c r="A153" s="143"/>
      <c r="B153" s="143"/>
      <c r="C153" s="404" t="s">
        <v>1158</v>
      </c>
      <c r="D153" s="990"/>
      <c r="E153" s="355"/>
      <c r="F153" s="79"/>
      <c r="G153" s="989"/>
      <c r="H153" s="711"/>
      <c r="I153" s="177"/>
      <c r="J153" s="235"/>
      <c r="K153" s="711"/>
      <c r="L153" s="842"/>
      <c r="M153" s="976"/>
      <c r="N153" s="791"/>
      <c r="O153" s="129"/>
      <c r="P153" s="129"/>
      <c r="AH153" s="50">
        <v>0</v>
      </c>
    </row>
    <row r="154" s="50" customFormat="1" ht="45" hidden="1" customHeight="1">
      <c r="A154" s="143" t="s">
        <v>167</v>
      </c>
      <c r="B154" s="143" t="s">
        <v>168</v>
      </c>
      <c r="C154" s="404"/>
      <c r="D154" s="990"/>
      <c r="E154" s="355"/>
      <c r="F154" s="79" t="str">
        <f>INDEX(PT_DIFFERENTIATION_VTAR,MATCH(A154,PT_DIFFERENTIATION_VTAR_ID,0))</f>
        <v xml:space="preserve">Тарифы на теплоноситель, поставляемый теплоснабжающими организациями потребителям, другим теплоснабжающим организациям</v>
      </c>
      <c r="G154" s="914" t="str">
        <f>INDEX(PT_DIFFERENTIATION_NTAR,MATCH(B154,PT_DIFFERENTIATION_NTAR_ID,0))</f>
        <v/>
      </c>
      <c r="H154" s="426"/>
      <c r="I154" s="980"/>
      <c r="J154" s="981"/>
      <c r="K154" s="442"/>
      <c r="L154" s="426" t="s">
        <v>311</v>
      </c>
      <c r="M154" s="976"/>
      <c r="N154" s="791"/>
      <c r="O154" s="129"/>
      <c r="P154" s="129"/>
      <c r="AH154" s="50">
        <v>0</v>
      </c>
    </row>
    <row r="155" s="50" customFormat="1" ht="18.75" hidden="1" customHeight="1">
      <c r="A155" s="143"/>
      <c r="B155" s="143"/>
      <c r="C155" s="404" t="s">
        <v>1150</v>
      </c>
      <c r="D155" s="990"/>
      <c r="E155" s="355"/>
      <c r="F155" s="79"/>
      <c r="G155" s="914"/>
      <c r="H155" s="711"/>
      <c r="I155" s="177" t="s">
        <v>1149</v>
      </c>
      <c r="J155" s="235"/>
      <c r="K155" s="711"/>
      <c r="L155" s="842"/>
      <c r="M155" s="976"/>
      <c r="N155" s="791"/>
      <c r="O155" s="129"/>
      <c r="P155" s="129"/>
      <c r="AH155" s="50">
        <v>0</v>
      </c>
    </row>
    <row r="156" s="50" customFormat="1" ht="0.75" hidden="1" customHeight="1">
      <c r="A156" s="143"/>
      <c r="B156" s="143"/>
      <c r="C156" s="404" t="s">
        <v>1158</v>
      </c>
      <c r="D156" s="990"/>
      <c r="E156" s="355"/>
      <c r="F156" s="79"/>
      <c r="G156" s="989"/>
      <c r="H156" s="711"/>
      <c r="I156" s="177"/>
      <c r="J156" s="235"/>
      <c r="K156" s="711"/>
      <c r="L156" s="842"/>
      <c r="M156" s="976"/>
      <c r="N156" s="791"/>
      <c r="O156" s="129"/>
      <c r="P156" s="129"/>
      <c r="AH156" s="50">
        <v>0</v>
      </c>
    </row>
    <row r="157" s="50" customFormat="1" ht="45" hidden="1" customHeight="1">
      <c r="A157" s="143" t="s">
        <v>173</v>
      </c>
      <c r="B157" s="143" t="s">
        <v>174</v>
      </c>
      <c r="C157" s="404"/>
      <c r="D157" s="990"/>
      <c r="E157" s="355"/>
      <c r="F157" s="79" t="str">
        <f>INDEX(PT_DIFFERENTIATION_VTAR,MATCH(A157,PT_DIFFERENTIATION_VTAR_ID,0))</f>
        <v xml:space="preserve">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914" t="str">
        <f>INDEX(PT_DIFFERENTIATION_NTAR,MATCH(B157,PT_DIFFERENTIATION_NTAR_ID,0))</f>
        <v/>
      </c>
      <c r="H157" s="426"/>
      <c r="I157" s="980"/>
      <c r="J157" s="981"/>
      <c r="K157" s="442"/>
      <c r="L157" s="426" t="s">
        <v>311</v>
      </c>
      <c r="M157" s="976"/>
      <c r="N157" s="791"/>
      <c r="O157" s="129"/>
      <c r="P157" s="129"/>
      <c r="AH157" s="50">
        <v>0</v>
      </c>
    </row>
    <row r="158" s="50" customFormat="1" ht="18.75" hidden="1" customHeight="1">
      <c r="A158" s="143"/>
      <c r="B158" s="143"/>
      <c r="C158" s="404" t="s">
        <v>1150</v>
      </c>
      <c r="D158" s="990"/>
      <c r="E158" s="355"/>
      <c r="F158" s="79"/>
      <c r="G158" s="914"/>
      <c r="H158" s="711"/>
      <c r="I158" s="177" t="s">
        <v>1149</v>
      </c>
      <c r="J158" s="235"/>
      <c r="K158" s="711"/>
      <c r="L158" s="842"/>
      <c r="M158" s="976"/>
      <c r="N158" s="791"/>
      <c r="O158" s="129"/>
      <c r="P158" s="129"/>
      <c r="AH158" s="50">
        <v>0</v>
      </c>
    </row>
    <row r="159" s="50" customFormat="1" ht="0.75" hidden="1" customHeight="1">
      <c r="A159" s="143"/>
      <c r="B159" s="143"/>
      <c r="C159" s="404" t="s">
        <v>1158</v>
      </c>
      <c r="D159" s="990"/>
      <c r="E159" s="355"/>
      <c r="F159" s="79"/>
      <c r="G159" s="989"/>
      <c r="H159" s="711"/>
      <c r="I159" s="177"/>
      <c r="J159" s="235"/>
      <c r="K159" s="711"/>
      <c r="L159" s="842"/>
      <c r="M159" s="976"/>
      <c r="N159" s="791"/>
      <c r="O159" s="129"/>
      <c r="P159" s="129"/>
      <c r="AH159" s="50">
        <v>0</v>
      </c>
    </row>
    <row r="160" s="50" customFormat="1" ht="18.75" hidden="1" customHeight="1">
      <c r="A160" s="143" t="s">
        <v>179</v>
      </c>
      <c r="B160" s="143" t="s">
        <v>180</v>
      </c>
      <c r="C160" s="404"/>
      <c r="D160" s="990"/>
      <c r="E160" s="355"/>
      <c r="F160" s="79" t="str">
        <f>INDEX(PT_DIFFERENTIATION_VTAR,MATCH(A160,PT_DIFFERENTIATION_VTAR_ID,0))</f>
        <v xml:space="preserve">Тарифы на услуги по передаче тепловой энергии</v>
      </c>
      <c r="G160" s="914" t="str">
        <f>INDEX(PT_DIFFERENTIATION_NTAR,MATCH(B160,PT_DIFFERENTIATION_NTAR_ID,0))</f>
        <v/>
      </c>
      <c r="H160" s="426"/>
      <c r="I160" s="980"/>
      <c r="J160" s="981"/>
      <c r="K160" s="442"/>
      <c r="L160" s="426" t="s">
        <v>311</v>
      </c>
      <c r="M160" s="976"/>
      <c r="N160" s="791"/>
      <c r="O160" s="129"/>
      <c r="P160" s="129"/>
      <c r="AH160" s="50">
        <v>0</v>
      </c>
    </row>
    <row r="161" s="50" customFormat="1" ht="18.75" hidden="1" customHeight="1">
      <c r="A161" s="143"/>
      <c r="B161" s="143"/>
      <c r="C161" s="404" t="s">
        <v>1150</v>
      </c>
      <c r="D161" s="990"/>
      <c r="E161" s="355"/>
      <c r="F161" s="79"/>
      <c r="G161" s="914"/>
      <c r="H161" s="711"/>
      <c r="I161" s="177" t="s">
        <v>1149</v>
      </c>
      <c r="J161" s="235"/>
      <c r="K161" s="711"/>
      <c r="L161" s="842"/>
      <c r="M161" s="976"/>
      <c r="N161" s="791"/>
      <c r="O161" s="129"/>
      <c r="P161" s="129"/>
      <c r="AH161" s="50">
        <v>0</v>
      </c>
    </row>
    <row r="162" s="50" customFormat="1" ht="0.75" hidden="1" customHeight="1">
      <c r="A162" s="143"/>
      <c r="B162" s="143"/>
      <c r="C162" s="404" t="s">
        <v>1158</v>
      </c>
      <c r="D162" s="990"/>
      <c r="E162" s="355"/>
      <c r="F162" s="79"/>
      <c r="G162" s="989"/>
      <c r="H162" s="711"/>
      <c r="I162" s="177"/>
      <c r="J162" s="235"/>
      <c r="K162" s="711"/>
      <c r="L162" s="842"/>
      <c r="M162" s="976"/>
      <c r="N162" s="791"/>
      <c r="O162" s="129"/>
      <c r="P162" s="129"/>
      <c r="AH162" s="50">
        <v>0</v>
      </c>
    </row>
    <row r="163" s="50" customFormat="1" ht="18.75" hidden="1" customHeight="1">
      <c r="A163" s="143" t="s">
        <v>185</v>
      </c>
      <c r="B163" s="143" t="s">
        <v>186</v>
      </c>
      <c r="C163" s="404"/>
      <c r="D163" s="990"/>
      <c r="E163" s="355"/>
      <c r="F163" s="79" t="str">
        <f>INDEX(PT_DIFFERENTIATION_VTAR,MATCH(A163,PT_DIFFERENTIATION_VTAR_ID,0))</f>
        <v xml:space="preserve">Тарифы на услуги по передаче теплоносителя</v>
      </c>
      <c r="G163" s="914" t="str">
        <f>INDEX(PT_DIFFERENTIATION_NTAR,MATCH(B163,PT_DIFFERENTIATION_NTAR_ID,0))</f>
        <v/>
      </c>
      <c r="H163" s="426"/>
      <c r="I163" s="980"/>
      <c r="J163" s="981"/>
      <c r="K163" s="442"/>
      <c r="L163" s="426" t="s">
        <v>311</v>
      </c>
      <c r="M163" s="976"/>
      <c r="N163" s="791"/>
      <c r="O163" s="129"/>
      <c r="P163" s="129"/>
      <c r="AH163" s="50">
        <v>0</v>
      </c>
    </row>
    <row r="164" s="50" customFormat="1" ht="18.75" hidden="1" customHeight="1">
      <c r="A164" s="143"/>
      <c r="B164" s="143"/>
      <c r="C164" s="404" t="s">
        <v>1150</v>
      </c>
      <c r="D164" s="990"/>
      <c r="E164" s="355"/>
      <c r="F164" s="79"/>
      <c r="G164" s="914"/>
      <c r="H164" s="711"/>
      <c r="I164" s="177" t="s">
        <v>1149</v>
      </c>
      <c r="J164" s="235"/>
      <c r="K164" s="711"/>
      <c r="L164" s="842"/>
      <c r="M164" s="976"/>
      <c r="N164" s="791"/>
      <c r="O164" s="129"/>
      <c r="P164" s="129"/>
      <c r="AH164" s="50">
        <v>0</v>
      </c>
    </row>
    <row r="165" s="50" customFormat="1" ht="0.75" hidden="1" customHeight="1">
      <c r="A165" s="143"/>
      <c r="B165" s="143"/>
      <c r="C165" s="404" t="s">
        <v>1158</v>
      </c>
      <c r="D165" s="990"/>
      <c r="E165" s="355"/>
      <c r="F165" s="79"/>
      <c r="G165" s="989"/>
      <c r="H165" s="711"/>
      <c r="I165" s="177"/>
      <c r="J165" s="235"/>
      <c r="K165" s="711"/>
      <c r="L165" s="842"/>
      <c r="M165" s="976"/>
      <c r="N165" s="791"/>
      <c r="O165" s="129"/>
      <c r="P165" s="129"/>
      <c r="AH165" s="50">
        <v>0</v>
      </c>
    </row>
    <row r="166" s="50" customFormat="1" ht="18.75" hidden="1" customHeight="1">
      <c r="A166" s="143" t="s">
        <v>191</v>
      </c>
      <c r="B166" s="143" t="s">
        <v>192</v>
      </c>
      <c r="C166" s="404"/>
      <c r="D166" s="990"/>
      <c r="E166" s="355"/>
      <c r="F166" s="79" t="str">
        <f>INDEX(PT_DIFFERENTIATION_VTAR,MATCH(A166,PT_DIFFERENTIATION_VTAR_ID,0))</f>
        <v xml:space="preserve">Плата за услуги по поддержанию резервной тепловой мощности при отсутствии потребления тепловой энергии</v>
      </c>
      <c r="G166" s="914" t="str">
        <f>INDEX(PT_DIFFERENTIATION_NTAR,MATCH(B166,PT_DIFFERENTIATION_NTAR_ID,0))</f>
        <v/>
      </c>
      <c r="H166" s="426"/>
      <c r="I166" s="980"/>
      <c r="J166" s="981"/>
      <c r="K166" s="442"/>
      <c r="L166" s="426" t="s">
        <v>311</v>
      </c>
      <c r="M166" s="976"/>
      <c r="N166" s="791"/>
      <c r="O166" s="129"/>
      <c r="P166" s="129"/>
      <c r="AH166" s="50">
        <v>0</v>
      </c>
    </row>
    <row r="167" s="50" customFormat="1" ht="18.75" hidden="1" customHeight="1">
      <c r="A167" s="143"/>
      <c r="B167" s="143"/>
      <c r="C167" s="404" t="s">
        <v>1150</v>
      </c>
      <c r="D167" s="990"/>
      <c r="E167" s="355"/>
      <c r="F167" s="79"/>
      <c r="G167" s="914"/>
      <c r="H167" s="711"/>
      <c r="I167" s="177" t="s">
        <v>1149</v>
      </c>
      <c r="J167" s="235"/>
      <c r="K167" s="711"/>
      <c r="L167" s="842"/>
      <c r="M167" s="976"/>
      <c r="N167" s="791"/>
      <c r="O167" s="129"/>
      <c r="P167" s="129"/>
      <c r="AH167" s="50">
        <v>0</v>
      </c>
    </row>
    <row r="168" s="50" customFormat="1" ht="0.75" hidden="1" customHeight="1">
      <c r="A168" s="143"/>
      <c r="B168" s="143"/>
      <c r="C168" s="404" t="s">
        <v>1158</v>
      </c>
      <c r="D168" s="990"/>
      <c r="E168" s="355"/>
      <c r="F168" s="79"/>
      <c r="G168" s="989"/>
      <c r="H168" s="711"/>
      <c r="I168" s="177"/>
      <c r="J168" s="235"/>
      <c r="K168" s="711"/>
      <c r="L168" s="842"/>
      <c r="M168" s="976"/>
      <c r="N168" s="791"/>
      <c r="O168" s="129"/>
      <c r="P168" s="129"/>
      <c r="AH168" s="50">
        <v>0</v>
      </c>
    </row>
    <row r="169" s="50" customFormat="1" ht="18.75" hidden="1" customHeight="1">
      <c r="A169" s="143" t="s">
        <v>197</v>
      </c>
      <c r="B169" s="143" t="s">
        <v>198</v>
      </c>
      <c r="C169" s="404"/>
      <c r="D169" s="990"/>
      <c r="E169" s="355"/>
      <c r="F169" s="79" t="str">
        <f>INDEX(PT_DIFFERENTIATION_VTAR,MATCH(A169,PT_DIFFERENTIATION_VTAR_ID,0))</f>
        <v xml:space="preserve">Плата за подключение (технологическое присоединение) к системе теплоснабжения</v>
      </c>
      <c r="G169" s="914" t="str">
        <f>INDEX(PT_DIFFERENTIATION_NTAR,MATCH(B169,PT_DIFFERENTIATION_NTAR_ID,0))</f>
        <v/>
      </c>
      <c r="H169" s="426"/>
      <c r="I169" s="980"/>
      <c r="J169" s="981"/>
      <c r="K169" s="442"/>
      <c r="L169" s="426" t="s">
        <v>311</v>
      </c>
      <c r="M169" s="976"/>
      <c r="N169" s="791"/>
      <c r="O169" s="129"/>
      <c r="P169" s="129"/>
      <c r="AH169" s="50">
        <v>0</v>
      </c>
    </row>
    <row r="170" s="50" customFormat="1" ht="18.75" hidden="1" customHeight="1">
      <c r="A170" s="143"/>
      <c r="B170" s="143"/>
      <c r="C170" s="404" t="s">
        <v>1150</v>
      </c>
      <c r="D170" s="990"/>
      <c r="E170" s="355"/>
      <c r="F170" s="79"/>
      <c r="G170" s="914"/>
      <c r="H170" s="711"/>
      <c r="I170" s="177" t="s">
        <v>1149</v>
      </c>
      <c r="J170" s="235"/>
      <c r="K170" s="711"/>
      <c r="L170" s="842"/>
      <c r="M170" s="976"/>
      <c r="N170" s="791"/>
      <c r="O170" s="129"/>
      <c r="P170" s="129"/>
      <c r="AH170" s="50">
        <v>0</v>
      </c>
    </row>
    <row r="171" s="50" customFormat="1" ht="0.75" hidden="1" customHeight="1">
      <c r="A171" s="143"/>
      <c r="B171" s="143"/>
      <c r="C171" s="404" t="s">
        <v>1158</v>
      </c>
      <c r="D171" s="990"/>
      <c r="E171" s="355"/>
      <c r="F171" s="79"/>
      <c r="G171" s="989"/>
      <c r="H171" s="711"/>
      <c r="I171" s="177"/>
      <c r="J171" s="235"/>
      <c r="K171" s="711"/>
      <c r="L171" s="842"/>
      <c r="M171" s="976"/>
      <c r="N171" s="791"/>
      <c r="O171" s="129"/>
      <c r="P171" s="129"/>
      <c r="AH171" s="50">
        <v>0</v>
      </c>
    </row>
    <row r="172" s="50" customFormat="1" ht="18.75" hidden="1" customHeight="1">
      <c r="A172" s="143" t="s">
        <v>206</v>
      </c>
      <c r="B172" s="143" t="s">
        <v>207</v>
      </c>
      <c r="C172" s="404"/>
      <c r="D172" s="990"/>
      <c r="E172" s="355"/>
      <c r="F172" s="79" t="str">
        <f>INDEX(PT_DIFFERENTIATION_VTAR,MATCH(A172,PT_DIFFERENTIATION_VTAR_ID,0))</f>
        <v xml:space="preserve">Плата за подключение (технологическое присоединение) к системе теплоснабжения (индивидуальная)</v>
      </c>
      <c r="G172" s="914" t="str">
        <f>INDEX(PT_DIFFERENTIATION_NTAR,MATCH(B172,PT_DIFFERENTIATION_NTAR_ID,0))</f>
        <v xml:space="preserve">Плата за подключение теплопотребляющих установок общества с ограниченной ответственностью Специализированный застройщик «Эдельвейс-5» для осуществления подключения объекта капитального строительства: «Многоэтажная жилая застройка со встроенными помещениями нежилого назначения, расположенная в районе ул. Кизлярской, 18 в г. Владивостоке», к системе теплоснабжения АО "ДГК" в индивидуальном порядке.</v>
      </c>
      <c r="H172" s="426"/>
      <c r="I172" s="980"/>
      <c r="J172" s="981"/>
      <c r="K172" s="442"/>
      <c r="L172" s="426" t="s">
        <v>311</v>
      </c>
      <c r="M172" s="976"/>
      <c r="N172" s="791"/>
      <c r="O172" s="129"/>
      <c r="P172" s="129"/>
      <c r="AH172" s="50">
        <v>0</v>
      </c>
    </row>
    <row r="173" s="50" customFormat="1" ht="18.75" hidden="1" customHeight="1">
      <c r="A173" s="143"/>
      <c r="B173" s="143"/>
      <c r="C173" s="404" t="s">
        <v>1150</v>
      </c>
      <c r="D173" s="990"/>
      <c r="E173" s="355"/>
      <c r="F173" s="79"/>
      <c r="G173" s="914"/>
      <c r="H173" s="711"/>
      <c r="I173" s="177" t="s">
        <v>1149</v>
      </c>
      <c r="J173" s="235"/>
      <c r="K173" s="711"/>
      <c r="L173" s="842"/>
      <c r="M173" s="976"/>
      <c r="N173" s="791"/>
      <c r="O173" s="129"/>
      <c r="P173" s="129"/>
      <c r="AH173" s="50">
        <v>0</v>
      </c>
    </row>
    <row r="174" s="50" customFormat="1" ht="0.75" hidden="1" customHeight="1">
      <c r="A174" s="143"/>
      <c r="B174" s="143"/>
      <c r="C174" s="404" t="s">
        <v>1158</v>
      </c>
      <c r="D174" s="990"/>
      <c r="E174" s="355"/>
      <c r="F174" s="79"/>
      <c r="G174" s="989"/>
      <c r="H174" s="711"/>
      <c r="I174" s="177"/>
      <c r="J174" s="235"/>
      <c r="K174" s="711"/>
      <c r="L174" s="842"/>
      <c r="M174" s="976"/>
      <c r="N174" s="791"/>
      <c r="O174" s="129"/>
      <c r="P174" s="129"/>
      <c r="AH174" s="50">
        <v>0</v>
      </c>
    </row>
    <row r="175" s="50" customFormat="1" ht="18.75" hidden="1" customHeight="1">
      <c r="A175" s="143" t="s">
        <v>230</v>
      </c>
      <c r="B175" s="143" t="s">
        <v>231</v>
      </c>
      <c r="C175" s="404"/>
      <c r="D175" s="990"/>
      <c r="E175" s="355"/>
      <c r="F175" s="79" t="str">
        <f>INDEX(PT_DIFFERENTIATION_VTAR,MATCH(A175,PT_DIFFERENTIATION_VTAR_ID,0))</f>
        <v xml:space="preserve">Тариф на питьевую воду (питьевое водоснабжение)</v>
      </c>
      <c r="G175" s="914" t="str">
        <f>INDEX(PT_DIFFERENTIATION_NTAR,MATCH(B175,PT_DIFFERENTIATION_NTAR_ID,0))</f>
        <v/>
      </c>
      <c r="H175" s="426"/>
      <c r="I175" s="980"/>
      <c r="J175" s="981"/>
      <c r="K175" s="442"/>
      <c r="L175" s="426" t="s">
        <v>311</v>
      </c>
      <c r="M175" s="976"/>
      <c r="N175" s="791"/>
      <c r="O175" s="129"/>
      <c r="P175" s="129"/>
      <c r="AH175" s="50">
        <v>0</v>
      </c>
    </row>
    <row r="176" s="50" customFormat="1" ht="18.75" hidden="1" customHeight="1">
      <c r="A176" s="143"/>
      <c r="B176" s="143"/>
      <c r="C176" s="404" t="s">
        <v>1150</v>
      </c>
      <c r="D176" s="990"/>
      <c r="E176" s="355"/>
      <c r="F176" s="79"/>
      <c r="G176" s="914"/>
      <c r="H176" s="711"/>
      <c r="I176" s="177" t="s">
        <v>1149</v>
      </c>
      <c r="J176" s="235"/>
      <c r="K176" s="711"/>
      <c r="L176" s="842"/>
      <c r="M176" s="976"/>
      <c r="N176" s="791"/>
      <c r="O176" s="129"/>
      <c r="P176" s="129"/>
      <c r="AH176" s="50">
        <v>0</v>
      </c>
    </row>
    <row r="177" s="50" customFormat="1" ht="0.75" hidden="1" customHeight="1">
      <c r="A177" s="143"/>
      <c r="B177" s="143"/>
      <c r="C177" s="404" t="s">
        <v>1158</v>
      </c>
      <c r="D177" s="990"/>
      <c r="E177" s="355"/>
      <c r="F177" s="79"/>
      <c r="G177" s="989"/>
      <c r="H177" s="711"/>
      <c r="I177" s="177"/>
      <c r="J177" s="235"/>
      <c r="K177" s="711"/>
      <c r="L177" s="842"/>
      <c r="M177" s="976"/>
      <c r="N177" s="791"/>
      <c r="O177" s="129"/>
      <c r="P177" s="129"/>
      <c r="AH177" s="50">
        <v>0</v>
      </c>
    </row>
    <row r="178" s="50" customFormat="1" ht="18.75" hidden="1" customHeight="1">
      <c r="A178" s="143" t="s">
        <v>235</v>
      </c>
      <c r="B178" s="143" t="s">
        <v>236</v>
      </c>
      <c r="C178" s="404"/>
      <c r="D178" s="990"/>
      <c r="E178" s="355"/>
      <c r="F178" s="79" t="str">
        <f>INDEX(PT_DIFFERENTIATION_VTAR,MATCH(A178,PT_DIFFERENTIATION_VTAR_ID,0))</f>
        <v xml:space="preserve">Тариф на техническую воду</v>
      </c>
      <c r="G178" s="914" t="str">
        <f>INDEX(PT_DIFFERENTIATION_NTAR,MATCH(B178,PT_DIFFERENTIATION_NTAR_ID,0))</f>
        <v/>
      </c>
      <c r="H178" s="426"/>
      <c r="I178" s="980"/>
      <c r="J178" s="981"/>
      <c r="K178" s="442"/>
      <c r="L178" s="426" t="s">
        <v>311</v>
      </c>
      <c r="M178" s="976"/>
      <c r="N178" s="791"/>
      <c r="O178" s="129"/>
      <c r="P178" s="129"/>
      <c r="AH178" s="50">
        <v>0</v>
      </c>
    </row>
    <row r="179" s="50" customFormat="1" ht="18.75" hidden="1" customHeight="1">
      <c r="A179" s="143"/>
      <c r="B179" s="143"/>
      <c r="C179" s="404" t="s">
        <v>1150</v>
      </c>
      <c r="D179" s="990"/>
      <c r="E179" s="355"/>
      <c r="F179" s="79"/>
      <c r="G179" s="914"/>
      <c r="H179" s="711"/>
      <c r="I179" s="177" t="s">
        <v>1149</v>
      </c>
      <c r="J179" s="235"/>
      <c r="K179" s="711"/>
      <c r="L179" s="842"/>
      <c r="M179" s="976"/>
      <c r="N179" s="791"/>
      <c r="O179" s="129"/>
      <c r="P179" s="129"/>
      <c r="AH179" s="50">
        <v>0</v>
      </c>
    </row>
    <row r="180" s="50" customFormat="1" ht="0.75" hidden="1" customHeight="1">
      <c r="A180" s="143"/>
      <c r="B180" s="143"/>
      <c r="C180" s="404" t="s">
        <v>1158</v>
      </c>
      <c r="D180" s="990"/>
      <c r="E180" s="355"/>
      <c r="F180" s="79"/>
      <c r="G180" s="989"/>
      <c r="H180" s="711"/>
      <c r="I180" s="177"/>
      <c r="J180" s="235"/>
      <c r="K180" s="711"/>
      <c r="L180" s="842"/>
      <c r="M180" s="976"/>
      <c r="N180" s="791"/>
      <c r="O180" s="129"/>
      <c r="P180" s="129"/>
      <c r="AH180" s="50">
        <v>0</v>
      </c>
    </row>
    <row r="181" s="50" customFormat="1" ht="18.75" hidden="1" customHeight="1">
      <c r="A181" s="143" t="s">
        <v>240</v>
      </c>
      <c r="B181" s="143" t="s">
        <v>241</v>
      </c>
      <c r="C181" s="404"/>
      <c r="D181" s="990"/>
      <c r="E181" s="355"/>
      <c r="F181" s="79" t="str">
        <f>INDEX(PT_DIFFERENTIATION_VTAR,MATCH(A181,PT_DIFFERENTIATION_VTAR_ID,0))</f>
        <v xml:space="preserve">Тариф на транспортировку воды</v>
      </c>
      <c r="G181" s="914" t="str">
        <f>INDEX(PT_DIFFERENTIATION_NTAR,MATCH(B181,PT_DIFFERENTIATION_NTAR_ID,0))</f>
        <v/>
      </c>
      <c r="H181" s="426"/>
      <c r="I181" s="980"/>
      <c r="J181" s="981"/>
      <c r="K181" s="442"/>
      <c r="L181" s="426" t="s">
        <v>311</v>
      </c>
      <c r="M181" s="976"/>
      <c r="N181" s="791"/>
      <c r="O181" s="129"/>
      <c r="P181" s="129"/>
      <c r="AH181" s="50">
        <v>0</v>
      </c>
    </row>
    <row r="182" s="50" customFormat="1" ht="18.75" hidden="1" customHeight="1">
      <c r="A182" s="143"/>
      <c r="B182" s="143"/>
      <c r="C182" s="404" t="s">
        <v>1150</v>
      </c>
      <c r="D182" s="990"/>
      <c r="E182" s="355"/>
      <c r="F182" s="79"/>
      <c r="G182" s="914"/>
      <c r="H182" s="711"/>
      <c r="I182" s="177" t="s">
        <v>1149</v>
      </c>
      <c r="J182" s="235"/>
      <c r="K182" s="711"/>
      <c r="L182" s="842"/>
      <c r="M182" s="976"/>
      <c r="N182" s="791"/>
      <c r="O182" s="129"/>
      <c r="P182" s="129"/>
      <c r="AH182" s="50">
        <v>0</v>
      </c>
    </row>
    <row r="183" s="50" customFormat="1" ht="0.75" hidden="1" customHeight="1">
      <c r="A183" s="143"/>
      <c r="B183" s="143"/>
      <c r="C183" s="404" t="s">
        <v>1158</v>
      </c>
      <c r="D183" s="990"/>
      <c r="E183" s="355"/>
      <c r="F183" s="79"/>
      <c r="G183" s="989"/>
      <c r="H183" s="711"/>
      <c r="I183" s="177"/>
      <c r="J183" s="235"/>
      <c r="K183" s="711"/>
      <c r="L183" s="842"/>
      <c r="M183" s="976"/>
      <c r="N183" s="791"/>
      <c r="O183" s="129"/>
      <c r="P183" s="129"/>
      <c r="AH183" s="50">
        <v>0</v>
      </c>
    </row>
    <row r="184" s="50" customFormat="1" ht="18.75" hidden="1" customHeight="1">
      <c r="A184" s="143" t="s">
        <v>245</v>
      </c>
      <c r="B184" s="143" t="s">
        <v>246</v>
      </c>
      <c r="C184" s="404"/>
      <c r="D184" s="990"/>
      <c r="E184" s="355"/>
      <c r="F184" s="79" t="str">
        <f>INDEX(PT_DIFFERENTIATION_VTAR,MATCH(A184,PT_DIFFERENTIATION_VTAR_ID,0))</f>
        <v xml:space="preserve">Тариф на подвоз воды</v>
      </c>
      <c r="G184" s="914" t="str">
        <f>INDEX(PT_DIFFERENTIATION_NTAR,MATCH(B184,PT_DIFFERENTIATION_NTAR_ID,0))</f>
        <v/>
      </c>
      <c r="H184" s="426"/>
      <c r="I184" s="980"/>
      <c r="J184" s="981"/>
      <c r="K184" s="442"/>
      <c r="L184" s="426" t="s">
        <v>311</v>
      </c>
      <c r="M184" s="976"/>
      <c r="N184" s="791"/>
      <c r="O184" s="129"/>
      <c r="P184" s="129"/>
      <c r="AH184" s="50">
        <v>0</v>
      </c>
    </row>
    <row r="185" s="50" customFormat="1" ht="18.75" hidden="1" customHeight="1">
      <c r="A185" s="143"/>
      <c r="B185" s="143"/>
      <c r="C185" s="404" t="s">
        <v>1150</v>
      </c>
      <c r="D185" s="990"/>
      <c r="E185" s="355"/>
      <c r="F185" s="79"/>
      <c r="G185" s="914"/>
      <c r="H185" s="711"/>
      <c r="I185" s="177" t="s">
        <v>1149</v>
      </c>
      <c r="J185" s="235"/>
      <c r="K185" s="711"/>
      <c r="L185" s="842"/>
      <c r="M185" s="976"/>
      <c r="N185" s="791"/>
      <c r="O185" s="129"/>
      <c r="P185" s="129"/>
      <c r="AH185" s="50">
        <v>0</v>
      </c>
    </row>
    <row r="186" s="50" customFormat="1" ht="0.75" hidden="1" customHeight="1">
      <c r="A186" s="143"/>
      <c r="B186" s="143"/>
      <c r="C186" s="404" t="s">
        <v>1158</v>
      </c>
      <c r="D186" s="990"/>
      <c r="E186" s="355"/>
      <c r="F186" s="79"/>
      <c r="G186" s="989"/>
      <c r="H186" s="711"/>
      <c r="I186" s="177"/>
      <c r="J186" s="235"/>
      <c r="K186" s="711"/>
      <c r="L186" s="842"/>
      <c r="M186" s="976"/>
      <c r="N186" s="791"/>
      <c r="O186" s="129"/>
      <c r="P186" s="129"/>
      <c r="AH186" s="50">
        <v>0</v>
      </c>
    </row>
    <row r="187" s="50" customFormat="1" ht="18.75" hidden="1" customHeight="1">
      <c r="A187" s="143" t="s">
        <v>250</v>
      </c>
      <c r="B187" s="143" t="s">
        <v>251</v>
      </c>
      <c r="C187" s="404"/>
      <c r="D187" s="990"/>
      <c r="E187" s="355"/>
      <c r="F187" s="79" t="str">
        <f>INDEX(PT_DIFFERENTIATION_VTAR,MATCH(A187,PT_DIFFERENTIATION_VTAR_ID,0))</f>
        <v xml:space="preserve">Тариф на подключение (технологическое присоединение) к централизованной системе холодного водоснабжения</v>
      </c>
      <c r="G187" s="914" t="str">
        <f>INDEX(PT_DIFFERENTIATION_NTAR,MATCH(B187,PT_DIFFERENTIATION_NTAR_ID,0))</f>
        <v/>
      </c>
      <c r="H187" s="426"/>
      <c r="I187" s="980"/>
      <c r="J187" s="981"/>
      <c r="K187" s="442"/>
      <c r="L187" s="426" t="s">
        <v>311</v>
      </c>
      <c r="M187" s="976"/>
      <c r="N187" s="791"/>
      <c r="O187" s="129"/>
      <c r="P187" s="129"/>
      <c r="AH187" s="50">
        <v>0</v>
      </c>
    </row>
    <row r="188" s="50" customFormat="1" ht="18.75" hidden="1" customHeight="1">
      <c r="A188" s="143"/>
      <c r="B188" s="143"/>
      <c r="C188" s="404" t="s">
        <v>1150</v>
      </c>
      <c r="D188" s="990"/>
      <c r="E188" s="355"/>
      <c r="F188" s="79"/>
      <c r="G188" s="914"/>
      <c r="H188" s="711"/>
      <c r="I188" s="177" t="s">
        <v>1149</v>
      </c>
      <c r="J188" s="235"/>
      <c r="K188" s="711"/>
      <c r="L188" s="842"/>
      <c r="M188" s="976"/>
      <c r="N188" s="791"/>
      <c r="O188" s="129"/>
      <c r="P188" s="129"/>
      <c r="AH188" s="50">
        <v>0</v>
      </c>
    </row>
    <row r="189" s="50" customFormat="1" ht="0.75" hidden="1" customHeight="1">
      <c r="A189" s="143"/>
      <c r="B189" s="143"/>
      <c r="C189" s="404" t="s">
        <v>1158</v>
      </c>
      <c r="D189" s="990"/>
      <c r="E189" s="355"/>
      <c r="F189" s="79"/>
      <c r="G189" s="989"/>
      <c r="H189" s="711"/>
      <c r="I189" s="177"/>
      <c r="J189" s="235"/>
      <c r="K189" s="711"/>
      <c r="L189" s="842"/>
      <c r="M189" s="976"/>
      <c r="N189" s="791"/>
      <c r="O189" s="129"/>
      <c r="P189" s="129"/>
      <c r="AH189" s="50">
        <v>0</v>
      </c>
    </row>
    <row r="190" s="50" customFormat="1" ht="18.75" hidden="1" customHeight="1">
      <c r="A190" s="143" t="s">
        <v>255</v>
      </c>
      <c r="B190" s="143" t="s">
        <v>256</v>
      </c>
      <c r="C190" s="404"/>
      <c r="D190" s="990"/>
      <c r="E190" s="355"/>
      <c r="F190" s="79" t="str">
        <f>INDEX(PT_DIFFERENTIATION_VTAR,MATCH(A190,PT_DIFFERENTIATION_VTAR_ID,0))</f>
        <v xml:space="preserve">Тариф на горячую воду (горячее водоснабжение)</v>
      </c>
      <c r="G190" s="914" t="str">
        <f>INDEX(PT_DIFFERENTIATION_NTAR,MATCH(B190,PT_DIFFERENTIATION_NTAR_ID,0))</f>
        <v/>
      </c>
      <c r="H190" s="426"/>
      <c r="I190" s="980"/>
      <c r="J190" s="981"/>
      <c r="K190" s="442"/>
      <c r="L190" s="426" t="s">
        <v>311</v>
      </c>
      <c r="M190" s="976"/>
      <c r="N190" s="791"/>
      <c r="O190" s="129"/>
      <c r="P190" s="129"/>
      <c r="AH190" s="50">
        <v>0</v>
      </c>
    </row>
    <row r="191" s="50" customFormat="1" ht="18.75" hidden="1" customHeight="1">
      <c r="A191" s="143"/>
      <c r="B191" s="143"/>
      <c r="C191" s="404" t="s">
        <v>1150</v>
      </c>
      <c r="D191" s="990"/>
      <c r="E191" s="355"/>
      <c r="F191" s="79"/>
      <c r="G191" s="914"/>
      <c r="H191" s="711"/>
      <c r="I191" s="177" t="s">
        <v>1149</v>
      </c>
      <c r="J191" s="235"/>
      <c r="K191" s="711"/>
      <c r="L191" s="842"/>
      <c r="M191" s="976"/>
      <c r="N191" s="791"/>
      <c r="O191" s="129"/>
      <c r="P191" s="129"/>
      <c r="AH191" s="50">
        <v>0</v>
      </c>
    </row>
    <row r="192" s="50" customFormat="1" ht="0.75" hidden="1" customHeight="1">
      <c r="A192" s="143"/>
      <c r="B192" s="143"/>
      <c r="C192" s="404" t="s">
        <v>1158</v>
      </c>
      <c r="D192" s="990"/>
      <c r="E192" s="355"/>
      <c r="F192" s="79"/>
      <c r="G192" s="989"/>
      <c r="H192" s="711"/>
      <c r="I192" s="177"/>
      <c r="J192" s="235"/>
      <c r="K192" s="711"/>
      <c r="L192" s="842"/>
      <c r="M192" s="976"/>
      <c r="N192" s="791"/>
      <c r="O192" s="129"/>
      <c r="P192" s="129"/>
      <c r="AH192" s="50">
        <v>0</v>
      </c>
    </row>
    <row r="193" s="50" customFormat="1" ht="18.75" hidden="1" customHeight="1">
      <c r="A193" s="143" t="s">
        <v>260</v>
      </c>
      <c r="B193" s="143" t="s">
        <v>261</v>
      </c>
      <c r="C193" s="404"/>
      <c r="D193" s="990"/>
      <c r="E193" s="355"/>
      <c r="F193" s="79" t="str">
        <f>INDEX(PT_DIFFERENTIATION_VTAR,MATCH(A193,PT_DIFFERENTIATION_VTAR_ID,0))</f>
        <v xml:space="preserve">Тариф на транспортировку горячей воды</v>
      </c>
      <c r="G193" s="914" t="str">
        <f>INDEX(PT_DIFFERENTIATION_NTAR,MATCH(B193,PT_DIFFERENTIATION_NTAR_ID,0))</f>
        <v/>
      </c>
      <c r="H193" s="426"/>
      <c r="I193" s="980"/>
      <c r="J193" s="981"/>
      <c r="K193" s="442"/>
      <c r="L193" s="426" t="s">
        <v>311</v>
      </c>
      <c r="M193" s="976"/>
      <c r="N193" s="791"/>
      <c r="O193" s="129"/>
      <c r="P193" s="129"/>
      <c r="AH193" s="50">
        <v>0</v>
      </c>
    </row>
    <row r="194" s="50" customFormat="1" ht="18.75" hidden="1" customHeight="1">
      <c r="A194" s="143"/>
      <c r="B194" s="143"/>
      <c r="C194" s="404" t="s">
        <v>1150</v>
      </c>
      <c r="D194" s="990"/>
      <c r="E194" s="355"/>
      <c r="F194" s="79"/>
      <c r="G194" s="914"/>
      <c r="H194" s="711"/>
      <c r="I194" s="177" t="s">
        <v>1149</v>
      </c>
      <c r="J194" s="235"/>
      <c r="K194" s="711"/>
      <c r="L194" s="842"/>
      <c r="M194" s="976"/>
      <c r="N194" s="791"/>
      <c r="O194" s="129"/>
      <c r="P194" s="129"/>
      <c r="AH194" s="50">
        <v>0</v>
      </c>
    </row>
    <row r="195" s="50" customFormat="1" ht="0.75" hidden="1" customHeight="1">
      <c r="A195" s="143"/>
      <c r="B195" s="143"/>
      <c r="C195" s="404" t="s">
        <v>1158</v>
      </c>
      <c r="D195" s="990"/>
      <c r="E195" s="355"/>
      <c r="F195" s="79"/>
      <c r="G195" s="989"/>
      <c r="H195" s="711"/>
      <c r="I195" s="177"/>
      <c r="J195" s="235"/>
      <c r="K195" s="711"/>
      <c r="L195" s="842"/>
      <c r="M195" s="976"/>
      <c r="N195" s="791"/>
      <c r="O195" s="129"/>
      <c r="P195" s="129"/>
      <c r="AH195" s="50">
        <v>0</v>
      </c>
    </row>
    <row r="196" s="50" customFormat="1" ht="18.75" hidden="1" customHeight="1">
      <c r="A196" s="143" t="s">
        <v>265</v>
      </c>
      <c r="B196" s="143" t="s">
        <v>266</v>
      </c>
      <c r="C196" s="404"/>
      <c r="D196" s="990"/>
      <c r="E196" s="355"/>
      <c r="F196" s="79" t="str">
        <f>INDEX(PT_DIFFERENTIATION_VTAR,MATCH(A196,PT_DIFFERENTIATION_VTAR_ID,0))</f>
        <v xml:space="preserve">Тариф на подключение (технологическое присоединение) к централизованной системе горячего водоснабжения</v>
      </c>
      <c r="G196" s="914" t="str">
        <f>INDEX(PT_DIFFERENTIATION_NTAR,MATCH(B196,PT_DIFFERENTIATION_NTAR_ID,0))</f>
        <v/>
      </c>
      <c r="H196" s="426"/>
      <c r="I196" s="980"/>
      <c r="J196" s="981"/>
      <c r="K196" s="442"/>
      <c r="L196" s="426" t="s">
        <v>311</v>
      </c>
      <c r="M196" s="976"/>
      <c r="N196" s="791"/>
      <c r="O196" s="129"/>
      <c r="P196" s="129"/>
      <c r="AH196" s="50">
        <v>0</v>
      </c>
    </row>
    <row r="197" s="50" customFormat="1" ht="18.75" hidden="1" customHeight="1">
      <c r="A197" s="143"/>
      <c r="B197" s="143"/>
      <c r="C197" s="404" t="s">
        <v>1150</v>
      </c>
      <c r="D197" s="990"/>
      <c r="E197" s="355"/>
      <c r="F197" s="79"/>
      <c r="G197" s="914"/>
      <c r="H197" s="711"/>
      <c r="I197" s="177" t="s">
        <v>1149</v>
      </c>
      <c r="J197" s="235"/>
      <c r="K197" s="711"/>
      <c r="L197" s="842"/>
      <c r="M197" s="976"/>
      <c r="N197" s="791"/>
      <c r="O197" s="129"/>
      <c r="P197" s="129"/>
      <c r="AH197" s="50">
        <v>0</v>
      </c>
    </row>
    <row r="198" s="50" customFormat="1" ht="0.75" hidden="1" customHeight="1">
      <c r="A198" s="143"/>
      <c r="B198" s="143"/>
      <c r="C198" s="404" t="s">
        <v>1158</v>
      </c>
      <c r="D198" s="990"/>
      <c r="E198" s="355"/>
      <c r="F198" s="79"/>
      <c r="G198" s="989"/>
      <c r="H198" s="711"/>
      <c r="I198" s="177"/>
      <c r="J198" s="235"/>
      <c r="K198" s="711"/>
      <c r="L198" s="842"/>
      <c r="M198" s="976"/>
      <c r="N198" s="791"/>
      <c r="O198" s="129"/>
      <c r="P198" s="129"/>
      <c r="AH198" s="50">
        <v>0</v>
      </c>
    </row>
    <row r="199" s="50" customFormat="1" ht="18.75" hidden="1" customHeight="1">
      <c r="A199" s="143" t="s">
        <v>270</v>
      </c>
      <c r="B199" s="143" t="s">
        <v>271</v>
      </c>
      <c r="C199" s="404"/>
      <c r="D199" s="990"/>
      <c r="E199" s="355"/>
      <c r="F199" s="79" t="str">
        <f>INDEX(PT_DIFFERENTIATION_VTAR,MATCH(A199,PT_DIFFERENTIATION_VTAR_ID,0))</f>
        <v xml:space="preserve">Тариф на водоотведение</v>
      </c>
      <c r="G199" s="914" t="str">
        <f>INDEX(PT_DIFFERENTIATION_NTAR,MATCH(B199,PT_DIFFERENTIATION_NTAR_ID,0))</f>
        <v/>
      </c>
      <c r="H199" s="426"/>
      <c r="I199" s="980"/>
      <c r="J199" s="981"/>
      <c r="K199" s="442"/>
      <c r="L199" s="426" t="s">
        <v>311</v>
      </c>
      <c r="M199" s="976"/>
      <c r="N199" s="791"/>
      <c r="O199" s="129"/>
      <c r="P199" s="129"/>
      <c r="AH199" s="50">
        <v>0</v>
      </c>
    </row>
    <row r="200" s="50" customFormat="1" ht="18.75" hidden="1" customHeight="1">
      <c r="A200" s="143"/>
      <c r="B200" s="143"/>
      <c r="C200" s="404" t="s">
        <v>1150</v>
      </c>
      <c r="D200" s="990"/>
      <c r="E200" s="355"/>
      <c r="F200" s="79"/>
      <c r="G200" s="914"/>
      <c r="H200" s="711"/>
      <c r="I200" s="177" t="s">
        <v>1149</v>
      </c>
      <c r="J200" s="235"/>
      <c r="K200" s="711"/>
      <c r="L200" s="842"/>
      <c r="M200" s="976"/>
      <c r="N200" s="791"/>
      <c r="O200" s="129"/>
      <c r="P200" s="129"/>
      <c r="AH200" s="50">
        <v>0</v>
      </c>
    </row>
    <row r="201" s="50" customFormat="1" ht="0.75" hidden="1" customHeight="1">
      <c r="A201" s="143"/>
      <c r="B201" s="143"/>
      <c r="C201" s="404" t="s">
        <v>1158</v>
      </c>
      <c r="D201" s="990"/>
      <c r="E201" s="355"/>
      <c r="F201" s="79"/>
      <c r="G201" s="989"/>
      <c r="H201" s="711"/>
      <c r="I201" s="177"/>
      <c r="J201" s="235"/>
      <c r="K201" s="711"/>
      <c r="L201" s="842"/>
      <c r="M201" s="976"/>
      <c r="N201" s="791"/>
      <c r="O201" s="129"/>
      <c r="P201" s="129"/>
      <c r="AH201" s="50">
        <v>0</v>
      </c>
    </row>
    <row r="202" s="50" customFormat="1" ht="18.75" hidden="1" customHeight="1">
      <c r="A202" s="143" t="s">
        <v>275</v>
      </c>
      <c r="B202" s="143" t="s">
        <v>276</v>
      </c>
      <c r="C202" s="404"/>
      <c r="D202" s="990"/>
      <c r="E202" s="355"/>
      <c r="F202" s="79" t="str">
        <f>INDEX(PT_DIFFERENTIATION_VTAR,MATCH(A202,PT_DIFFERENTIATION_VTAR_ID,0))</f>
        <v xml:space="preserve">Тариф на транспортировку сточных вод</v>
      </c>
      <c r="G202" s="914" t="str">
        <f>INDEX(PT_DIFFERENTIATION_NTAR,MATCH(B202,PT_DIFFERENTIATION_NTAR_ID,0))</f>
        <v/>
      </c>
      <c r="H202" s="426"/>
      <c r="I202" s="980"/>
      <c r="J202" s="981"/>
      <c r="K202" s="442"/>
      <c r="L202" s="426" t="s">
        <v>311</v>
      </c>
      <c r="M202" s="976"/>
      <c r="N202" s="791"/>
      <c r="O202" s="129"/>
      <c r="P202" s="129"/>
      <c r="AH202" s="50">
        <v>0</v>
      </c>
    </row>
    <row r="203" s="50" customFormat="1" ht="18.75" hidden="1" customHeight="1">
      <c r="A203" s="143"/>
      <c r="B203" s="143"/>
      <c r="C203" s="404" t="s">
        <v>1150</v>
      </c>
      <c r="D203" s="990"/>
      <c r="E203" s="355"/>
      <c r="F203" s="79"/>
      <c r="G203" s="914"/>
      <c r="H203" s="711"/>
      <c r="I203" s="177" t="s">
        <v>1149</v>
      </c>
      <c r="J203" s="235"/>
      <c r="K203" s="711"/>
      <c r="L203" s="842"/>
      <c r="M203" s="976"/>
      <c r="N203" s="791"/>
      <c r="O203" s="129"/>
      <c r="P203" s="129"/>
      <c r="AH203" s="50">
        <v>0</v>
      </c>
    </row>
    <row r="204" s="50" customFormat="1" ht="0.75" hidden="1" customHeight="1">
      <c r="A204" s="143"/>
      <c r="B204" s="143"/>
      <c r="C204" s="404" t="s">
        <v>1158</v>
      </c>
      <c r="D204" s="990"/>
      <c r="E204" s="355"/>
      <c r="F204" s="79"/>
      <c r="G204" s="989"/>
      <c r="H204" s="711"/>
      <c r="I204" s="177"/>
      <c r="J204" s="235"/>
      <c r="K204" s="711"/>
      <c r="L204" s="842"/>
      <c r="M204" s="976"/>
      <c r="N204" s="791"/>
      <c r="O204" s="129"/>
      <c r="P204" s="129"/>
      <c r="AH204" s="50">
        <v>0</v>
      </c>
    </row>
    <row r="205" s="50" customFormat="1" ht="18.75" hidden="1" customHeight="1">
      <c r="A205" s="143" t="s">
        <v>280</v>
      </c>
      <c r="B205" s="143" t="s">
        <v>281</v>
      </c>
      <c r="C205" s="404"/>
      <c r="D205" s="990"/>
      <c r="E205" s="355"/>
      <c r="F205" s="79" t="str">
        <f>INDEX(PT_DIFFERENTIATION_VTAR,MATCH(A205,PT_DIFFERENTIATION_VTAR_ID,0))</f>
        <v xml:space="preserve">Тариф на подключение (технологическое присоединение) к централизованной системе водоотведения</v>
      </c>
      <c r="G205" s="914" t="str">
        <f>INDEX(PT_DIFFERENTIATION_NTAR,MATCH(B205,PT_DIFFERENTIATION_NTAR_ID,0))</f>
        <v/>
      </c>
      <c r="H205" s="426"/>
      <c r="I205" s="980"/>
      <c r="J205" s="981"/>
      <c r="K205" s="442"/>
      <c r="L205" s="426" t="s">
        <v>311</v>
      </c>
      <c r="M205" s="976"/>
      <c r="N205" s="791"/>
      <c r="O205" s="129"/>
      <c r="P205" s="129"/>
      <c r="AH205" s="50">
        <v>0</v>
      </c>
    </row>
    <row r="206" s="50" customFormat="1" ht="18.75" hidden="1" customHeight="1">
      <c r="A206" s="143"/>
      <c r="B206" s="143"/>
      <c r="C206" s="404" t="s">
        <v>1150</v>
      </c>
      <c r="D206" s="990"/>
      <c r="E206" s="355"/>
      <c r="F206" s="79"/>
      <c r="G206" s="914"/>
      <c r="H206" s="711"/>
      <c r="I206" s="177" t="s">
        <v>1149</v>
      </c>
      <c r="J206" s="235"/>
      <c r="K206" s="711"/>
      <c r="L206" s="842"/>
      <c r="M206" s="976"/>
      <c r="N206" s="791"/>
      <c r="O206" s="129"/>
      <c r="P206" s="129"/>
      <c r="AH206" s="50">
        <v>0</v>
      </c>
    </row>
    <row r="207" s="50" customFormat="1" ht="1.05" customHeight="1">
      <c r="A207" s="143"/>
      <c r="B207" s="143"/>
      <c r="C207" s="404" t="s">
        <v>1158</v>
      </c>
      <c r="D207" s="990"/>
      <c r="E207" s="355"/>
      <c r="F207" s="79"/>
      <c r="G207" s="989"/>
      <c r="H207" s="711"/>
      <c r="I207" s="177"/>
      <c r="J207" s="235"/>
      <c r="K207" s="711"/>
      <c r="L207" s="842"/>
      <c r="M207" s="976"/>
      <c r="N207" s="791"/>
      <c r="O207" s="129"/>
      <c r="P207" s="129"/>
      <c r="AH207" s="50">
        <v>1</v>
      </c>
    </row>
    <row r="208" ht="27.300000000000001" customHeight="1">
      <c r="A208" s="143"/>
      <c r="B208" s="143"/>
      <c r="D208" s="548"/>
      <c r="E208" s="355" t="s">
        <v>111</v>
      </c>
      <c r="F208" s="84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 xml:space="preserve">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840"/>
      <c r="H208" s="840"/>
      <c r="I208" s="840"/>
      <c r="J208" s="840"/>
      <c r="K208" s="840"/>
      <c r="L208" s="840"/>
      <c r="M208" s="832"/>
      <c r="N208" s="791"/>
      <c r="AH208" s="50">
        <v>26</v>
      </c>
    </row>
    <row r="209" s="50" customFormat="1" ht="60.75" hidden="1" customHeight="1">
      <c r="A209" s="143" t="s">
        <v>155</v>
      </c>
      <c r="B209" s="143" t="s">
        <v>156</v>
      </c>
      <c r="C209" s="404"/>
      <c r="D209" s="990"/>
      <c r="E209" s="355"/>
      <c r="F209" s="79" t="str">
        <f>INDEX(PT_DIFFERENTIATION_VTAR,MATCH(A209,PT_DIFFERENTIATION_VTAR_ID,0))</f>
        <v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914" t="str">
        <f>INDEX(PT_DIFFERENTIATION_NTAR,MATCH(B209,PT_DIFFERENTIATION_NTAR_ID,0))</f>
        <v/>
      </c>
      <c r="H209" s="426"/>
      <c r="I209" s="980"/>
      <c r="J209" s="981"/>
      <c r="K209" s="442"/>
      <c r="L209" s="426" t="s">
        <v>311</v>
      </c>
      <c r="M209" s="28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 xml:space="preserve">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791"/>
      <c r="O209" s="129"/>
      <c r="P209" s="129"/>
      <c r="AH209" s="50">
        <v>0</v>
      </c>
    </row>
    <row r="210" s="50" customFormat="1" ht="18.75" hidden="1" customHeight="1">
      <c r="A210" s="143"/>
      <c r="B210" s="143"/>
      <c r="C210" s="404" t="s">
        <v>1150</v>
      </c>
      <c r="D210" s="990"/>
      <c r="E210" s="355"/>
      <c r="F210" s="79"/>
      <c r="G210" s="914"/>
      <c r="H210" s="711"/>
      <c r="I210" s="177" t="s">
        <v>1149</v>
      </c>
      <c r="J210" s="235"/>
      <c r="K210" s="711"/>
      <c r="L210" s="842"/>
      <c r="M210" s="287"/>
      <c r="N210" s="791"/>
      <c r="O210" s="129"/>
      <c r="P210" s="129"/>
      <c r="AH210" s="50">
        <v>0</v>
      </c>
    </row>
    <row r="211" s="50" customFormat="1" ht="0.75" hidden="1" customHeight="1">
      <c r="A211" s="143"/>
      <c r="B211" s="143"/>
      <c r="C211" s="404" t="s">
        <v>1158</v>
      </c>
      <c r="D211" s="990"/>
      <c r="E211" s="355"/>
      <c r="F211" s="79"/>
      <c r="G211" s="989"/>
      <c r="H211" s="711"/>
      <c r="I211" s="177"/>
      <c r="J211" s="235"/>
      <c r="K211" s="711"/>
      <c r="L211" s="842"/>
      <c r="M211" s="287"/>
      <c r="N211" s="791"/>
      <c r="O211" s="129"/>
      <c r="P211" s="129"/>
      <c r="AH211" s="50">
        <v>0</v>
      </c>
    </row>
    <row r="212" s="50" customFormat="1" ht="45" hidden="1" customHeight="1">
      <c r="A212" s="143" t="s">
        <v>161</v>
      </c>
      <c r="B212" s="143" t="s">
        <v>162</v>
      </c>
      <c r="C212" s="404"/>
      <c r="D212" s="990"/>
      <c r="E212" s="355"/>
      <c r="F212" s="79" t="str">
        <f>INDEX(PT_DIFFERENTIATION_VTAR,MATCH(A212,PT_DIFFERENTIATION_VTAR_ID,0))</f>
        <v xml:space="preserve">Тарифы на тепловую энергию (мощность), поставляемую теплоснабжающими организациями потребителям, другим теплоснабжающим организациям</v>
      </c>
      <c r="G212" s="914" t="str">
        <f>INDEX(PT_DIFFERENTIATION_NTAR,MATCH(B212,PT_DIFFERENTIATION_NTAR_ID,0))</f>
        <v/>
      </c>
      <c r="H212" s="426"/>
      <c r="I212" s="980"/>
      <c r="J212" s="981"/>
      <c r="K212" s="442"/>
      <c r="L212" s="426" t="s">
        <v>311</v>
      </c>
      <c r="M212" s="289"/>
      <c r="N212" s="791"/>
      <c r="O212" s="129"/>
      <c r="P212" s="129"/>
      <c r="AH212" s="50">
        <v>0</v>
      </c>
    </row>
    <row r="213" s="50" customFormat="1" ht="18.75" hidden="1" customHeight="1">
      <c r="A213" s="143"/>
      <c r="B213" s="143"/>
      <c r="C213" s="404" t="s">
        <v>1150</v>
      </c>
      <c r="D213" s="990"/>
      <c r="E213" s="355"/>
      <c r="F213" s="79"/>
      <c r="G213" s="914"/>
      <c r="H213" s="711"/>
      <c r="I213" s="177" t="s">
        <v>1149</v>
      </c>
      <c r="J213" s="235"/>
      <c r="K213" s="711"/>
      <c r="L213" s="842"/>
      <c r="M213" s="287"/>
      <c r="N213" s="791"/>
      <c r="O213" s="129"/>
      <c r="P213" s="129"/>
      <c r="AH213" s="50">
        <v>0</v>
      </c>
    </row>
    <row r="214" s="50" customFormat="1" ht="0.75" hidden="1" customHeight="1">
      <c r="A214" s="143"/>
      <c r="B214" s="143"/>
      <c r="C214" s="404" t="s">
        <v>1158</v>
      </c>
      <c r="D214" s="990"/>
      <c r="E214" s="355"/>
      <c r="F214" s="79"/>
      <c r="G214" s="989"/>
      <c r="H214" s="711"/>
      <c r="I214" s="177"/>
      <c r="J214" s="235"/>
      <c r="K214" s="711"/>
      <c r="L214" s="842"/>
      <c r="M214" s="976"/>
      <c r="N214" s="791"/>
      <c r="O214" s="129"/>
      <c r="P214" s="129"/>
      <c r="AH214" s="50">
        <v>0</v>
      </c>
    </row>
    <row r="215" s="50" customFormat="1" ht="45" hidden="1" customHeight="1">
      <c r="A215" s="143" t="s">
        <v>167</v>
      </c>
      <c r="B215" s="143" t="s">
        <v>168</v>
      </c>
      <c r="C215" s="404"/>
      <c r="D215" s="990"/>
      <c r="E215" s="355"/>
      <c r="F215" s="79" t="str">
        <f>INDEX(PT_DIFFERENTIATION_VTAR,MATCH(A215,PT_DIFFERENTIATION_VTAR_ID,0))</f>
        <v xml:space="preserve">Тарифы на теплоноситель, поставляемый теплоснабжающими организациями потребителям, другим теплоснабжающим организациям</v>
      </c>
      <c r="G215" s="914" t="str">
        <f>INDEX(PT_DIFFERENTIATION_NTAR,MATCH(B215,PT_DIFFERENTIATION_NTAR_ID,0))</f>
        <v/>
      </c>
      <c r="H215" s="426"/>
      <c r="I215" s="980"/>
      <c r="J215" s="981"/>
      <c r="K215" s="442"/>
      <c r="L215" s="426" t="s">
        <v>311</v>
      </c>
      <c r="M215" s="976"/>
      <c r="N215" s="791"/>
      <c r="O215" s="129"/>
      <c r="P215" s="129"/>
      <c r="AH215" s="50">
        <v>0</v>
      </c>
    </row>
    <row r="216" s="50" customFormat="1" ht="18.75" hidden="1" customHeight="1">
      <c r="A216" s="143"/>
      <c r="B216" s="143"/>
      <c r="C216" s="404" t="s">
        <v>1150</v>
      </c>
      <c r="D216" s="990"/>
      <c r="E216" s="355"/>
      <c r="F216" s="79"/>
      <c r="G216" s="914"/>
      <c r="H216" s="711"/>
      <c r="I216" s="177" t="s">
        <v>1149</v>
      </c>
      <c r="J216" s="235"/>
      <c r="K216" s="711"/>
      <c r="L216" s="842"/>
      <c r="M216" s="976"/>
      <c r="N216" s="791"/>
      <c r="O216" s="129"/>
      <c r="P216" s="129"/>
      <c r="AH216" s="50">
        <v>0</v>
      </c>
    </row>
    <row r="217" s="50" customFormat="1" ht="0.75" hidden="1" customHeight="1">
      <c r="A217" s="143"/>
      <c r="B217" s="143"/>
      <c r="C217" s="404" t="s">
        <v>1158</v>
      </c>
      <c r="D217" s="990"/>
      <c r="E217" s="355"/>
      <c r="F217" s="79"/>
      <c r="G217" s="989"/>
      <c r="H217" s="711"/>
      <c r="I217" s="177"/>
      <c r="J217" s="235"/>
      <c r="K217" s="711"/>
      <c r="L217" s="842"/>
      <c r="M217" s="976"/>
      <c r="N217" s="791"/>
      <c r="O217" s="129"/>
      <c r="P217" s="129"/>
      <c r="AH217" s="50">
        <v>0</v>
      </c>
    </row>
    <row r="218" s="50" customFormat="1" ht="45" hidden="1" customHeight="1">
      <c r="A218" s="143" t="s">
        <v>173</v>
      </c>
      <c r="B218" s="143" t="s">
        <v>174</v>
      </c>
      <c r="C218" s="404"/>
      <c r="D218" s="990"/>
      <c r="E218" s="355"/>
      <c r="F218" s="79" t="str">
        <f>INDEX(PT_DIFFERENTIATION_VTAR,MATCH(A218,PT_DIFFERENTIATION_VTAR_ID,0))</f>
        <v xml:space="preserve">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914" t="str">
        <f>INDEX(PT_DIFFERENTIATION_NTAR,MATCH(B218,PT_DIFFERENTIATION_NTAR_ID,0))</f>
        <v/>
      </c>
      <c r="H218" s="426"/>
      <c r="I218" s="980"/>
      <c r="J218" s="981"/>
      <c r="K218" s="442"/>
      <c r="L218" s="426" t="s">
        <v>311</v>
      </c>
      <c r="M218" s="976"/>
      <c r="N218" s="791"/>
      <c r="O218" s="129"/>
      <c r="P218" s="129"/>
      <c r="AH218" s="50">
        <v>0</v>
      </c>
    </row>
    <row r="219" s="50" customFormat="1" ht="18.75" hidden="1" customHeight="1">
      <c r="A219" s="143"/>
      <c r="B219" s="143"/>
      <c r="C219" s="404" t="s">
        <v>1150</v>
      </c>
      <c r="D219" s="990"/>
      <c r="E219" s="355"/>
      <c r="F219" s="79"/>
      <c r="G219" s="914"/>
      <c r="H219" s="711"/>
      <c r="I219" s="177" t="s">
        <v>1149</v>
      </c>
      <c r="J219" s="235"/>
      <c r="K219" s="711"/>
      <c r="L219" s="842"/>
      <c r="M219" s="976"/>
      <c r="N219" s="791"/>
      <c r="O219" s="129"/>
      <c r="P219" s="129"/>
      <c r="AH219" s="50">
        <v>0</v>
      </c>
    </row>
    <row r="220" s="50" customFormat="1" ht="0.75" hidden="1" customHeight="1">
      <c r="A220" s="143"/>
      <c r="B220" s="143"/>
      <c r="C220" s="404" t="s">
        <v>1158</v>
      </c>
      <c r="D220" s="990"/>
      <c r="E220" s="355"/>
      <c r="F220" s="79"/>
      <c r="G220" s="989"/>
      <c r="H220" s="711"/>
      <c r="I220" s="177"/>
      <c r="J220" s="235"/>
      <c r="K220" s="711"/>
      <c r="L220" s="842"/>
      <c r="M220" s="976"/>
      <c r="N220" s="791"/>
      <c r="O220" s="129"/>
      <c r="P220" s="129"/>
      <c r="AH220" s="50">
        <v>0</v>
      </c>
    </row>
    <row r="221" s="50" customFormat="1" ht="18.75" hidden="1" customHeight="1">
      <c r="A221" s="143" t="s">
        <v>179</v>
      </c>
      <c r="B221" s="143" t="s">
        <v>180</v>
      </c>
      <c r="C221" s="404"/>
      <c r="D221" s="990"/>
      <c r="E221" s="355"/>
      <c r="F221" s="79" t="str">
        <f>INDEX(PT_DIFFERENTIATION_VTAR,MATCH(A221,PT_DIFFERENTIATION_VTAR_ID,0))</f>
        <v xml:space="preserve">Тарифы на услуги по передаче тепловой энергии</v>
      </c>
      <c r="G221" s="914" t="str">
        <f>INDEX(PT_DIFFERENTIATION_NTAR,MATCH(B221,PT_DIFFERENTIATION_NTAR_ID,0))</f>
        <v/>
      </c>
      <c r="H221" s="426"/>
      <c r="I221" s="980"/>
      <c r="J221" s="981"/>
      <c r="K221" s="442"/>
      <c r="L221" s="426" t="s">
        <v>311</v>
      </c>
      <c r="M221" s="976"/>
      <c r="N221" s="791"/>
      <c r="O221" s="129"/>
      <c r="P221" s="129"/>
      <c r="AH221" s="50">
        <v>0</v>
      </c>
    </row>
    <row r="222" s="50" customFormat="1" ht="18.75" hidden="1" customHeight="1">
      <c r="A222" s="143"/>
      <c r="B222" s="143"/>
      <c r="C222" s="404" t="s">
        <v>1150</v>
      </c>
      <c r="D222" s="990"/>
      <c r="E222" s="355"/>
      <c r="F222" s="79"/>
      <c r="G222" s="914"/>
      <c r="H222" s="711"/>
      <c r="I222" s="177" t="s">
        <v>1149</v>
      </c>
      <c r="J222" s="235"/>
      <c r="K222" s="711"/>
      <c r="L222" s="842"/>
      <c r="M222" s="976"/>
      <c r="N222" s="791"/>
      <c r="O222" s="129"/>
      <c r="P222" s="129"/>
      <c r="AH222" s="50">
        <v>0</v>
      </c>
    </row>
    <row r="223" s="50" customFormat="1" ht="0.75" hidden="1" customHeight="1">
      <c r="A223" s="143"/>
      <c r="B223" s="143"/>
      <c r="C223" s="404" t="s">
        <v>1158</v>
      </c>
      <c r="D223" s="990"/>
      <c r="E223" s="355"/>
      <c r="F223" s="79"/>
      <c r="G223" s="989"/>
      <c r="H223" s="711"/>
      <c r="I223" s="177"/>
      <c r="J223" s="235"/>
      <c r="K223" s="711"/>
      <c r="L223" s="842"/>
      <c r="M223" s="976"/>
      <c r="N223" s="791"/>
      <c r="O223" s="129"/>
      <c r="P223" s="129"/>
      <c r="AH223" s="50">
        <v>0</v>
      </c>
    </row>
    <row r="224" s="50" customFormat="1" ht="18.75" hidden="1" customHeight="1">
      <c r="A224" s="143" t="s">
        <v>185</v>
      </c>
      <c r="B224" s="143" t="s">
        <v>186</v>
      </c>
      <c r="C224" s="404"/>
      <c r="D224" s="990"/>
      <c r="E224" s="355"/>
      <c r="F224" s="79" t="str">
        <f>INDEX(PT_DIFFERENTIATION_VTAR,MATCH(A224,PT_DIFFERENTIATION_VTAR_ID,0))</f>
        <v xml:space="preserve">Тарифы на услуги по передаче теплоносителя</v>
      </c>
      <c r="G224" s="914" t="str">
        <f>INDEX(PT_DIFFERENTIATION_NTAR,MATCH(B224,PT_DIFFERENTIATION_NTAR_ID,0))</f>
        <v/>
      </c>
      <c r="H224" s="426"/>
      <c r="I224" s="980"/>
      <c r="J224" s="981"/>
      <c r="K224" s="442"/>
      <c r="L224" s="426" t="s">
        <v>311</v>
      </c>
      <c r="M224" s="976"/>
      <c r="N224" s="791"/>
      <c r="O224" s="129"/>
      <c r="P224" s="129"/>
      <c r="AH224" s="50">
        <v>0</v>
      </c>
    </row>
    <row r="225" s="50" customFormat="1" ht="18.75" hidden="1" customHeight="1">
      <c r="A225" s="143"/>
      <c r="B225" s="143"/>
      <c r="C225" s="404" t="s">
        <v>1150</v>
      </c>
      <c r="D225" s="990"/>
      <c r="E225" s="355"/>
      <c r="F225" s="79"/>
      <c r="G225" s="914"/>
      <c r="H225" s="711"/>
      <c r="I225" s="177" t="s">
        <v>1149</v>
      </c>
      <c r="J225" s="235"/>
      <c r="K225" s="711"/>
      <c r="L225" s="842"/>
      <c r="M225" s="976"/>
      <c r="N225" s="791"/>
      <c r="O225" s="129"/>
      <c r="P225" s="129"/>
      <c r="AH225" s="50">
        <v>0</v>
      </c>
    </row>
    <row r="226" s="50" customFormat="1" ht="0.75" hidden="1" customHeight="1">
      <c r="A226" s="143"/>
      <c r="B226" s="143"/>
      <c r="C226" s="404" t="s">
        <v>1158</v>
      </c>
      <c r="D226" s="990"/>
      <c r="E226" s="355"/>
      <c r="F226" s="79"/>
      <c r="G226" s="989"/>
      <c r="H226" s="711"/>
      <c r="I226" s="177"/>
      <c r="J226" s="235"/>
      <c r="K226" s="711"/>
      <c r="L226" s="842"/>
      <c r="M226" s="976"/>
      <c r="N226" s="791"/>
      <c r="O226" s="129"/>
      <c r="P226" s="129"/>
      <c r="AH226" s="50">
        <v>0</v>
      </c>
    </row>
    <row r="227" s="50" customFormat="1" ht="18.75" hidden="1" customHeight="1">
      <c r="A227" s="143" t="s">
        <v>191</v>
      </c>
      <c r="B227" s="143" t="s">
        <v>192</v>
      </c>
      <c r="C227" s="404"/>
      <c r="D227" s="990"/>
      <c r="E227" s="355"/>
      <c r="F227" s="79" t="str">
        <f>INDEX(PT_DIFFERENTIATION_VTAR,MATCH(A227,PT_DIFFERENTIATION_VTAR_ID,0))</f>
        <v xml:space="preserve">Плата за услуги по поддержанию резервной тепловой мощности при отсутствии потребления тепловой энергии</v>
      </c>
      <c r="G227" s="914" t="str">
        <f>INDEX(PT_DIFFERENTIATION_NTAR,MATCH(B227,PT_DIFFERENTIATION_NTAR_ID,0))</f>
        <v/>
      </c>
      <c r="H227" s="426"/>
      <c r="I227" s="980"/>
      <c r="J227" s="981"/>
      <c r="K227" s="442"/>
      <c r="L227" s="426" t="s">
        <v>311</v>
      </c>
      <c r="M227" s="976"/>
      <c r="N227" s="791"/>
      <c r="O227" s="129"/>
      <c r="P227" s="129"/>
      <c r="AH227" s="50">
        <v>0</v>
      </c>
    </row>
    <row r="228" s="50" customFormat="1" ht="18.75" hidden="1" customHeight="1">
      <c r="A228" s="143"/>
      <c r="B228" s="143"/>
      <c r="C228" s="404" t="s">
        <v>1150</v>
      </c>
      <c r="D228" s="990"/>
      <c r="E228" s="355"/>
      <c r="F228" s="79"/>
      <c r="G228" s="914"/>
      <c r="H228" s="711"/>
      <c r="I228" s="177" t="s">
        <v>1149</v>
      </c>
      <c r="J228" s="235"/>
      <c r="K228" s="711"/>
      <c r="L228" s="842"/>
      <c r="M228" s="976"/>
      <c r="N228" s="791"/>
      <c r="O228" s="129"/>
      <c r="P228" s="129"/>
      <c r="AH228" s="50">
        <v>0</v>
      </c>
    </row>
    <row r="229" s="50" customFormat="1" ht="0.75" hidden="1" customHeight="1">
      <c r="A229" s="143"/>
      <c r="B229" s="143"/>
      <c r="C229" s="404" t="s">
        <v>1158</v>
      </c>
      <c r="D229" s="990"/>
      <c r="E229" s="355"/>
      <c r="F229" s="79"/>
      <c r="G229" s="989"/>
      <c r="H229" s="711"/>
      <c r="I229" s="177"/>
      <c r="J229" s="235"/>
      <c r="K229" s="711"/>
      <c r="L229" s="842"/>
      <c r="M229" s="976"/>
      <c r="N229" s="791"/>
      <c r="O229" s="129"/>
      <c r="P229" s="129"/>
      <c r="AH229" s="50">
        <v>0</v>
      </c>
    </row>
    <row r="230" s="50" customFormat="1" ht="18.75" hidden="1" customHeight="1">
      <c r="A230" s="143" t="s">
        <v>197</v>
      </c>
      <c r="B230" s="143" t="s">
        <v>198</v>
      </c>
      <c r="C230" s="404"/>
      <c r="D230" s="990"/>
      <c r="E230" s="355"/>
      <c r="F230" s="79" t="str">
        <f>INDEX(PT_DIFFERENTIATION_VTAR,MATCH(A230,PT_DIFFERENTIATION_VTAR_ID,0))</f>
        <v xml:space="preserve">Плата за подключение (технологическое присоединение) к системе теплоснабжения</v>
      </c>
      <c r="G230" s="914" t="str">
        <f>INDEX(PT_DIFFERENTIATION_NTAR,MATCH(B230,PT_DIFFERENTIATION_NTAR_ID,0))</f>
        <v/>
      </c>
      <c r="H230" s="426"/>
      <c r="I230" s="980"/>
      <c r="J230" s="981"/>
      <c r="K230" s="442"/>
      <c r="L230" s="426" t="s">
        <v>311</v>
      </c>
      <c r="M230" s="976"/>
      <c r="N230" s="791"/>
      <c r="O230" s="129"/>
      <c r="P230" s="129"/>
      <c r="AH230" s="50">
        <v>0</v>
      </c>
    </row>
    <row r="231" s="50" customFormat="1" ht="18.75" hidden="1" customHeight="1">
      <c r="A231" s="143"/>
      <c r="B231" s="143"/>
      <c r="C231" s="404" t="s">
        <v>1150</v>
      </c>
      <c r="D231" s="990"/>
      <c r="E231" s="355"/>
      <c r="F231" s="79"/>
      <c r="G231" s="914"/>
      <c r="H231" s="711"/>
      <c r="I231" s="177" t="s">
        <v>1149</v>
      </c>
      <c r="J231" s="235"/>
      <c r="K231" s="711"/>
      <c r="L231" s="842"/>
      <c r="M231" s="976"/>
      <c r="N231" s="791"/>
      <c r="O231" s="129"/>
      <c r="P231" s="129"/>
      <c r="AH231" s="50">
        <v>0</v>
      </c>
    </row>
    <row r="232" s="50" customFormat="1" ht="0.75" hidden="1" customHeight="1">
      <c r="A232" s="143"/>
      <c r="B232" s="143"/>
      <c r="C232" s="404" t="s">
        <v>1158</v>
      </c>
      <c r="D232" s="990"/>
      <c r="E232" s="355"/>
      <c r="F232" s="79"/>
      <c r="G232" s="989"/>
      <c r="H232" s="711"/>
      <c r="I232" s="177"/>
      <c r="J232" s="235"/>
      <c r="K232" s="711"/>
      <c r="L232" s="842"/>
      <c r="M232" s="976"/>
      <c r="N232" s="791"/>
      <c r="O232" s="129"/>
      <c r="P232" s="129"/>
      <c r="AH232" s="50">
        <v>0</v>
      </c>
    </row>
    <row r="233" s="50" customFormat="1" ht="18.75" hidden="1" customHeight="1">
      <c r="A233" s="143" t="s">
        <v>206</v>
      </c>
      <c r="B233" s="143" t="s">
        <v>207</v>
      </c>
      <c r="C233" s="404"/>
      <c r="D233" s="990"/>
      <c r="E233" s="355"/>
      <c r="F233" s="79" t="str">
        <f>INDEX(PT_DIFFERENTIATION_VTAR,MATCH(A233,PT_DIFFERENTIATION_VTAR_ID,0))</f>
        <v xml:space="preserve">Плата за подключение (технологическое присоединение) к системе теплоснабжения (индивидуальная)</v>
      </c>
      <c r="G233" s="914" t="str">
        <f>INDEX(PT_DIFFERENTIATION_NTAR,MATCH(B233,PT_DIFFERENTIATION_NTAR_ID,0))</f>
        <v xml:space="preserve">Плата за подключение теплопотребляющих установок общества с ограниченной ответственностью Специализированный застройщик «Эдельвейс-5» для осуществления подключения объекта капитального строительства: «Многоэтажная жилая застройка со встроенными помещениями нежилого назначения, расположенная в районе ул. Кизлярской, 18 в г. Владивостоке», к системе теплоснабжения АО "ДГК" в индивидуальном порядке.</v>
      </c>
      <c r="H233" s="426"/>
      <c r="I233" s="980"/>
      <c r="J233" s="981"/>
      <c r="K233" s="442"/>
      <c r="L233" s="426" t="s">
        <v>311</v>
      </c>
      <c r="M233" s="976"/>
      <c r="N233" s="791"/>
      <c r="O233" s="129"/>
      <c r="P233" s="129"/>
      <c r="AH233" s="50">
        <v>0</v>
      </c>
    </row>
    <row r="234" s="50" customFormat="1" ht="18.75" hidden="1" customHeight="1">
      <c r="A234" s="143"/>
      <c r="B234" s="143"/>
      <c r="C234" s="404" t="s">
        <v>1150</v>
      </c>
      <c r="D234" s="990"/>
      <c r="E234" s="355"/>
      <c r="F234" s="79"/>
      <c r="G234" s="914"/>
      <c r="H234" s="711"/>
      <c r="I234" s="177" t="s">
        <v>1149</v>
      </c>
      <c r="J234" s="235"/>
      <c r="K234" s="711"/>
      <c r="L234" s="842"/>
      <c r="M234" s="976"/>
      <c r="N234" s="791"/>
      <c r="O234" s="129"/>
      <c r="P234" s="129"/>
      <c r="AH234" s="50">
        <v>0</v>
      </c>
    </row>
    <row r="235" s="50" customFormat="1" ht="0.75" hidden="1" customHeight="1">
      <c r="A235" s="143"/>
      <c r="B235" s="143"/>
      <c r="C235" s="404" t="s">
        <v>1158</v>
      </c>
      <c r="D235" s="990"/>
      <c r="E235" s="355"/>
      <c r="F235" s="79"/>
      <c r="G235" s="989"/>
      <c r="H235" s="711"/>
      <c r="I235" s="177"/>
      <c r="J235" s="235"/>
      <c r="K235" s="711"/>
      <c r="L235" s="842"/>
      <c r="M235" s="976"/>
      <c r="N235" s="791"/>
      <c r="O235" s="129"/>
      <c r="P235" s="129"/>
      <c r="AH235" s="50">
        <v>0</v>
      </c>
    </row>
    <row r="236" s="50" customFormat="1" ht="18.75" hidden="1" customHeight="1">
      <c r="A236" s="143" t="s">
        <v>230</v>
      </c>
      <c r="B236" s="143" t="s">
        <v>231</v>
      </c>
      <c r="C236" s="404"/>
      <c r="D236" s="990"/>
      <c r="E236" s="355"/>
      <c r="F236" s="79" t="str">
        <f>INDEX(PT_DIFFERENTIATION_VTAR,MATCH(A236,PT_DIFFERENTIATION_VTAR_ID,0))</f>
        <v xml:space="preserve">Тариф на питьевую воду (питьевое водоснабжение)</v>
      </c>
      <c r="G236" s="914" t="str">
        <f>INDEX(PT_DIFFERENTIATION_NTAR,MATCH(B236,PT_DIFFERENTIATION_NTAR_ID,0))</f>
        <v/>
      </c>
      <c r="H236" s="426"/>
      <c r="I236" s="980"/>
      <c r="J236" s="981"/>
      <c r="K236" s="442"/>
      <c r="L236" s="426" t="s">
        <v>311</v>
      </c>
      <c r="M236" s="976"/>
      <c r="N236" s="791"/>
      <c r="O236" s="129"/>
      <c r="P236" s="129"/>
      <c r="AH236" s="50">
        <v>0</v>
      </c>
    </row>
    <row r="237" s="50" customFormat="1" ht="18.75" hidden="1" customHeight="1">
      <c r="A237" s="143"/>
      <c r="B237" s="143"/>
      <c r="C237" s="404" t="s">
        <v>1150</v>
      </c>
      <c r="D237" s="990"/>
      <c r="E237" s="355"/>
      <c r="F237" s="79"/>
      <c r="G237" s="914"/>
      <c r="H237" s="711"/>
      <c r="I237" s="177" t="s">
        <v>1149</v>
      </c>
      <c r="J237" s="235"/>
      <c r="K237" s="711"/>
      <c r="L237" s="842"/>
      <c r="M237" s="976"/>
      <c r="N237" s="791"/>
      <c r="O237" s="129"/>
      <c r="P237" s="129"/>
      <c r="AH237" s="50">
        <v>0</v>
      </c>
    </row>
    <row r="238" s="50" customFormat="1" ht="0.75" hidden="1" customHeight="1">
      <c r="A238" s="143"/>
      <c r="B238" s="143"/>
      <c r="C238" s="404" t="s">
        <v>1158</v>
      </c>
      <c r="D238" s="990"/>
      <c r="E238" s="355"/>
      <c r="F238" s="79"/>
      <c r="G238" s="989"/>
      <c r="H238" s="711"/>
      <c r="I238" s="177"/>
      <c r="J238" s="235"/>
      <c r="K238" s="711"/>
      <c r="L238" s="842"/>
      <c r="M238" s="976"/>
      <c r="N238" s="791"/>
      <c r="O238" s="129"/>
      <c r="P238" s="129"/>
      <c r="AH238" s="50">
        <v>0</v>
      </c>
    </row>
    <row r="239" s="50" customFormat="1" ht="18.75" hidden="1" customHeight="1">
      <c r="A239" s="143" t="s">
        <v>235</v>
      </c>
      <c r="B239" s="143" t="s">
        <v>236</v>
      </c>
      <c r="C239" s="404"/>
      <c r="D239" s="990"/>
      <c r="E239" s="355"/>
      <c r="F239" s="79" t="str">
        <f>INDEX(PT_DIFFERENTIATION_VTAR,MATCH(A239,PT_DIFFERENTIATION_VTAR_ID,0))</f>
        <v xml:space="preserve">Тариф на техническую воду</v>
      </c>
      <c r="G239" s="914" t="str">
        <f>INDEX(PT_DIFFERENTIATION_NTAR,MATCH(B239,PT_DIFFERENTIATION_NTAR_ID,0))</f>
        <v/>
      </c>
      <c r="H239" s="426"/>
      <c r="I239" s="980"/>
      <c r="J239" s="981"/>
      <c r="K239" s="442"/>
      <c r="L239" s="426" t="s">
        <v>311</v>
      </c>
      <c r="M239" s="976"/>
      <c r="N239" s="791"/>
      <c r="O239" s="129"/>
      <c r="P239" s="129"/>
      <c r="AH239" s="50">
        <v>0</v>
      </c>
    </row>
    <row r="240" s="50" customFormat="1" ht="18.75" hidden="1" customHeight="1">
      <c r="A240" s="143"/>
      <c r="B240" s="143"/>
      <c r="C240" s="404" t="s">
        <v>1150</v>
      </c>
      <c r="D240" s="990"/>
      <c r="E240" s="355"/>
      <c r="F240" s="79"/>
      <c r="G240" s="914"/>
      <c r="H240" s="711"/>
      <c r="I240" s="177" t="s">
        <v>1149</v>
      </c>
      <c r="J240" s="235"/>
      <c r="K240" s="711"/>
      <c r="L240" s="842"/>
      <c r="M240" s="976"/>
      <c r="N240" s="791"/>
      <c r="O240" s="129"/>
      <c r="P240" s="129"/>
      <c r="AH240" s="50">
        <v>0</v>
      </c>
    </row>
    <row r="241" s="50" customFormat="1" ht="0.75" hidden="1" customHeight="1">
      <c r="A241" s="143"/>
      <c r="B241" s="143"/>
      <c r="C241" s="404" t="s">
        <v>1158</v>
      </c>
      <c r="D241" s="990"/>
      <c r="E241" s="355"/>
      <c r="F241" s="79"/>
      <c r="G241" s="989"/>
      <c r="H241" s="711"/>
      <c r="I241" s="177"/>
      <c r="J241" s="235"/>
      <c r="K241" s="711"/>
      <c r="L241" s="842"/>
      <c r="M241" s="976"/>
      <c r="N241" s="791"/>
      <c r="O241" s="129"/>
      <c r="P241" s="129"/>
      <c r="AH241" s="50">
        <v>0</v>
      </c>
    </row>
    <row r="242" s="50" customFormat="1" ht="18.75" hidden="1" customHeight="1">
      <c r="A242" s="143" t="s">
        <v>240</v>
      </c>
      <c r="B242" s="143" t="s">
        <v>241</v>
      </c>
      <c r="C242" s="404"/>
      <c r="D242" s="990"/>
      <c r="E242" s="355"/>
      <c r="F242" s="79" t="str">
        <f>INDEX(PT_DIFFERENTIATION_VTAR,MATCH(A242,PT_DIFFERENTIATION_VTAR_ID,0))</f>
        <v xml:space="preserve">Тариф на транспортировку воды</v>
      </c>
      <c r="G242" s="914" t="str">
        <f>INDEX(PT_DIFFERENTIATION_NTAR,MATCH(B242,PT_DIFFERENTIATION_NTAR_ID,0))</f>
        <v/>
      </c>
      <c r="H242" s="426"/>
      <c r="I242" s="980"/>
      <c r="J242" s="981"/>
      <c r="K242" s="442"/>
      <c r="L242" s="426" t="s">
        <v>311</v>
      </c>
      <c r="M242" s="976"/>
      <c r="N242" s="791"/>
      <c r="O242" s="129"/>
      <c r="P242" s="129"/>
      <c r="AH242" s="50">
        <v>0</v>
      </c>
    </row>
    <row r="243" s="50" customFormat="1" ht="18.75" hidden="1" customHeight="1">
      <c r="A243" s="143"/>
      <c r="B243" s="143"/>
      <c r="C243" s="404" t="s">
        <v>1150</v>
      </c>
      <c r="D243" s="990"/>
      <c r="E243" s="355"/>
      <c r="F243" s="79"/>
      <c r="G243" s="914"/>
      <c r="H243" s="711"/>
      <c r="I243" s="177" t="s">
        <v>1149</v>
      </c>
      <c r="J243" s="235"/>
      <c r="K243" s="711"/>
      <c r="L243" s="842"/>
      <c r="M243" s="976"/>
      <c r="N243" s="791"/>
      <c r="O243" s="129"/>
      <c r="P243" s="129"/>
      <c r="AH243" s="50">
        <v>0</v>
      </c>
    </row>
    <row r="244" s="50" customFormat="1" ht="0.75" hidden="1" customHeight="1">
      <c r="A244" s="143"/>
      <c r="B244" s="143"/>
      <c r="C244" s="404" t="s">
        <v>1158</v>
      </c>
      <c r="D244" s="990"/>
      <c r="E244" s="355"/>
      <c r="F244" s="79"/>
      <c r="G244" s="989"/>
      <c r="H244" s="711"/>
      <c r="I244" s="177"/>
      <c r="J244" s="235"/>
      <c r="K244" s="711"/>
      <c r="L244" s="842"/>
      <c r="M244" s="976"/>
      <c r="N244" s="791"/>
      <c r="O244" s="129"/>
      <c r="P244" s="129"/>
      <c r="AH244" s="50">
        <v>0</v>
      </c>
    </row>
    <row r="245" s="50" customFormat="1" ht="18.75" hidden="1" customHeight="1">
      <c r="A245" s="143" t="s">
        <v>245</v>
      </c>
      <c r="B245" s="143" t="s">
        <v>246</v>
      </c>
      <c r="C245" s="404"/>
      <c r="D245" s="990"/>
      <c r="E245" s="355"/>
      <c r="F245" s="79" t="str">
        <f>INDEX(PT_DIFFERENTIATION_VTAR,MATCH(A245,PT_DIFFERENTIATION_VTAR_ID,0))</f>
        <v xml:space="preserve">Тариф на подвоз воды</v>
      </c>
      <c r="G245" s="914" t="str">
        <f>INDEX(PT_DIFFERENTIATION_NTAR,MATCH(B245,PT_DIFFERENTIATION_NTAR_ID,0))</f>
        <v/>
      </c>
      <c r="H245" s="426"/>
      <c r="I245" s="980"/>
      <c r="J245" s="981"/>
      <c r="K245" s="442"/>
      <c r="L245" s="426" t="s">
        <v>311</v>
      </c>
      <c r="M245" s="976"/>
      <c r="N245" s="791"/>
      <c r="O245" s="129"/>
      <c r="P245" s="129"/>
      <c r="AH245" s="50">
        <v>0</v>
      </c>
    </row>
    <row r="246" s="50" customFormat="1" ht="18.75" hidden="1" customHeight="1">
      <c r="A246" s="143"/>
      <c r="B246" s="143"/>
      <c r="C246" s="404" t="s">
        <v>1150</v>
      </c>
      <c r="D246" s="990"/>
      <c r="E246" s="355"/>
      <c r="F246" s="79"/>
      <c r="G246" s="914"/>
      <c r="H246" s="711"/>
      <c r="I246" s="177" t="s">
        <v>1149</v>
      </c>
      <c r="J246" s="235"/>
      <c r="K246" s="711"/>
      <c r="L246" s="842"/>
      <c r="M246" s="976"/>
      <c r="N246" s="791"/>
      <c r="O246" s="129"/>
      <c r="P246" s="129"/>
      <c r="AH246" s="50">
        <v>0</v>
      </c>
    </row>
    <row r="247" s="50" customFormat="1" ht="0.75" hidden="1" customHeight="1">
      <c r="A247" s="143"/>
      <c r="B247" s="143"/>
      <c r="C247" s="404" t="s">
        <v>1158</v>
      </c>
      <c r="D247" s="990"/>
      <c r="E247" s="355"/>
      <c r="F247" s="79"/>
      <c r="G247" s="989"/>
      <c r="H247" s="711"/>
      <c r="I247" s="177"/>
      <c r="J247" s="235"/>
      <c r="K247" s="711"/>
      <c r="L247" s="842"/>
      <c r="M247" s="976"/>
      <c r="N247" s="791"/>
      <c r="O247" s="129"/>
      <c r="P247" s="129"/>
      <c r="AH247" s="50">
        <v>0</v>
      </c>
    </row>
    <row r="248" s="50" customFormat="1" ht="18.75" hidden="1" customHeight="1">
      <c r="A248" s="143" t="s">
        <v>250</v>
      </c>
      <c r="B248" s="143" t="s">
        <v>251</v>
      </c>
      <c r="C248" s="404"/>
      <c r="D248" s="990"/>
      <c r="E248" s="355"/>
      <c r="F248" s="79" t="str">
        <f>INDEX(PT_DIFFERENTIATION_VTAR,MATCH(A248,PT_DIFFERENTIATION_VTAR_ID,0))</f>
        <v xml:space="preserve">Тариф на подключение (технологическое присоединение) к централизованной системе холодного водоснабжения</v>
      </c>
      <c r="G248" s="914" t="str">
        <f>INDEX(PT_DIFFERENTIATION_NTAR,MATCH(B248,PT_DIFFERENTIATION_NTAR_ID,0))</f>
        <v/>
      </c>
      <c r="H248" s="426"/>
      <c r="I248" s="980"/>
      <c r="J248" s="981"/>
      <c r="K248" s="442"/>
      <c r="L248" s="426" t="s">
        <v>311</v>
      </c>
      <c r="M248" s="976"/>
      <c r="N248" s="791"/>
      <c r="O248" s="129"/>
      <c r="P248" s="129"/>
      <c r="AH248" s="50">
        <v>0</v>
      </c>
    </row>
    <row r="249" s="50" customFormat="1" ht="18.75" hidden="1" customHeight="1">
      <c r="A249" s="143"/>
      <c r="B249" s="143"/>
      <c r="C249" s="404" t="s">
        <v>1150</v>
      </c>
      <c r="D249" s="990"/>
      <c r="E249" s="355"/>
      <c r="F249" s="79"/>
      <c r="G249" s="914"/>
      <c r="H249" s="711"/>
      <c r="I249" s="177" t="s">
        <v>1149</v>
      </c>
      <c r="J249" s="235"/>
      <c r="K249" s="711"/>
      <c r="L249" s="842"/>
      <c r="M249" s="976"/>
      <c r="N249" s="791"/>
      <c r="O249" s="129"/>
      <c r="P249" s="129"/>
      <c r="AH249" s="50">
        <v>0</v>
      </c>
    </row>
    <row r="250" s="50" customFormat="1" ht="0.75" hidden="1" customHeight="1">
      <c r="A250" s="143"/>
      <c r="B250" s="143"/>
      <c r="C250" s="404" t="s">
        <v>1158</v>
      </c>
      <c r="D250" s="990"/>
      <c r="E250" s="355"/>
      <c r="F250" s="79"/>
      <c r="G250" s="989"/>
      <c r="H250" s="711"/>
      <c r="I250" s="177"/>
      <c r="J250" s="235"/>
      <c r="K250" s="711"/>
      <c r="L250" s="842"/>
      <c r="M250" s="976"/>
      <c r="N250" s="791"/>
      <c r="O250" s="129"/>
      <c r="P250" s="129"/>
      <c r="AH250" s="50">
        <v>0</v>
      </c>
    </row>
    <row r="251" s="50" customFormat="1" ht="18.75" hidden="1" customHeight="1">
      <c r="A251" s="143" t="s">
        <v>255</v>
      </c>
      <c r="B251" s="143" t="s">
        <v>256</v>
      </c>
      <c r="C251" s="404"/>
      <c r="D251" s="990"/>
      <c r="E251" s="355"/>
      <c r="F251" s="79" t="str">
        <f>INDEX(PT_DIFFERENTIATION_VTAR,MATCH(A251,PT_DIFFERENTIATION_VTAR_ID,0))</f>
        <v xml:space="preserve">Тариф на горячую воду (горячее водоснабжение)</v>
      </c>
      <c r="G251" s="914" t="str">
        <f>INDEX(PT_DIFFERENTIATION_NTAR,MATCH(B251,PT_DIFFERENTIATION_NTAR_ID,0))</f>
        <v/>
      </c>
      <c r="H251" s="426"/>
      <c r="I251" s="980"/>
      <c r="J251" s="981"/>
      <c r="K251" s="442"/>
      <c r="L251" s="426" t="s">
        <v>311</v>
      </c>
      <c r="M251" s="976"/>
      <c r="N251" s="791"/>
      <c r="O251" s="129"/>
      <c r="P251" s="129"/>
      <c r="AH251" s="50">
        <v>0</v>
      </c>
    </row>
    <row r="252" s="50" customFormat="1" ht="18.75" hidden="1" customHeight="1">
      <c r="A252" s="143"/>
      <c r="B252" s="143"/>
      <c r="C252" s="404" t="s">
        <v>1150</v>
      </c>
      <c r="D252" s="990"/>
      <c r="E252" s="355"/>
      <c r="F252" s="79"/>
      <c r="G252" s="914"/>
      <c r="H252" s="711"/>
      <c r="I252" s="177" t="s">
        <v>1149</v>
      </c>
      <c r="J252" s="235"/>
      <c r="K252" s="711"/>
      <c r="L252" s="842"/>
      <c r="M252" s="976"/>
      <c r="N252" s="791"/>
      <c r="O252" s="129"/>
      <c r="P252" s="129"/>
      <c r="AH252" s="50">
        <v>0</v>
      </c>
    </row>
    <row r="253" s="50" customFormat="1" ht="0.75" hidden="1" customHeight="1">
      <c r="A253" s="143"/>
      <c r="B253" s="143"/>
      <c r="C253" s="404" t="s">
        <v>1158</v>
      </c>
      <c r="D253" s="990"/>
      <c r="E253" s="355"/>
      <c r="F253" s="79"/>
      <c r="G253" s="989"/>
      <c r="H253" s="711"/>
      <c r="I253" s="177"/>
      <c r="J253" s="235"/>
      <c r="K253" s="711"/>
      <c r="L253" s="842"/>
      <c r="M253" s="976"/>
      <c r="N253" s="791"/>
      <c r="O253" s="129"/>
      <c r="P253" s="129"/>
      <c r="AH253" s="50">
        <v>0</v>
      </c>
    </row>
    <row r="254" s="50" customFormat="1" ht="18.75" hidden="1" customHeight="1">
      <c r="A254" s="143" t="s">
        <v>260</v>
      </c>
      <c r="B254" s="143" t="s">
        <v>261</v>
      </c>
      <c r="C254" s="404"/>
      <c r="D254" s="990"/>
      <c r="E254" s="355"/>
      <c r="F254" s="79" t="str">
        <f>INDEX(PT_DIFFERENTIATION_VTAR,MATCH(A254,PT_DIFFERENTIATION_VTAR_ID,0))</f>
        <v xml:space="preserve">Тариф на транспортировку горячей воды</v>
      </c>
      <c r="G254" s="914" t="str">
        <f>INDEX(PT_DIFFERENTIATION_NTAR,MATCH(B254,PT_DIFFERENTIATION_NTAR_ID,0))</f>
        <v/>
      </c>
      <c r="H254" s="426"/>
      <c r="I254" s="980"/>
      <c r="J254" s="981"/>
      <c r="K254" s="442"/>
      <c r="L254" s="426" t="s">
        <v>311</v>
      </c>
      <c r="M254" s="976"/>
      <c r="N254" s="791"/>
      <c r="O254" s="129"/>
      <c r="P254" s="129"/>
      <c r="AH254" s="50">
        <v>0</v>
      </c>
    </row>
    <row r="255" s="50" customFormat="1" ht="18.75" hidden="1" customHeight="1">
      <c r="A255" s="143"/>
      <c r="B255" s="143"/>
      <c r="C255" s="404" t="s">
        <v>1150</v>
      </c>
      <c r="D255" s="990"/>
      <c r="E255" s="355"/>
      <c r="F255" s="79"/>
      <c r="G255" s="914"/>
      <c r="H255" s="711"/>
      <c r="I255" s="177" t="s">
        <v>1149</v>
      </c>
      <c r="J255" s="235"/>
      <c r="K255" s="711"/>
      <c r="L255" s="842"/>
      <c r="M255" s="976"/>
      <c r="N255" s="791"/>
      <c r="O255" s="129"/>
      <c r="P255" s="129"/>
      <c r="AH255" s="50">
        <v>0</v>
      </c>
    </row>
    <row r="256" s="50" customFormat="1" ht="0.75" hidden="1" customHeight="1">
      <c r="A256" s="143"/>
      <c r="B256" s="143"/>
      <c r="C256" s="404" t="s">
        <v>1158</v>
      </c>
      <c r="D256" s="990"/>
      <c r="E256" s="355"/>
      <c r="F256" s="79"/>
      <c r="G256" s="989"/>
      <c r="H256" s="711"/>
      <c r="I256" s="177"/>
      <c r="J256" s="235"/>
      <c r="K256" s="711"/>
      <c r="L256" s="842"/>
      <c r="M256" s="976"/>
      <c r="N256" s="791"/>
      <c r="O256" s="129"/>
      <c r="P256" s="129"/>
      <c r="AH256" s="50">
        <v>0</v>
      </c>
    </row>
    <row r="257" s="50" customFormat="1" ht="18.75" hidden="1" customHeight="1">
      <c r="A257" s="143" t="s">
        <v>265</v>
      </c>
      <c r="B257" s="143" t="s">
        <v>266</v>
      </c>
      <c r="C257" s="404"/>
      <c r="D257" s="990"/>
      <c r="E257" s="355"/>
      <c r="F257" s="79" t="str">
        <f>INDEX(PT_DIFFERENTIATION_VTAR,MATCH(A257,PT_DIFFERENTIATION_VTAR_ID,0))</f>
        <v xml:space="preserve">Тариф на подключение (технологическое присоединение) к централизованной системе горячего водоснабжения</v>
      </c>
      <c r="G257" s="914" t="str">
        <f>INDEX(PT_DIFFERENTIATION_NTAR,MATCH(B257,PT_DIFFERENTIATION_NTAR_ID,0))</f>
        <v/>
      </c>
      <c r="H257" s="426"/>
      <c r="I257" s="980"/>
      <c r="J257" s="981"/>
      <c r="K257" s="442"/>
      <c r="L257" s="426" t="s">
        <v>311</v>
      </c>
      <c r="M257" s="976"/>
      <c r="N257" s="791"/>
      <c r="O257" s="129"/>
      <c r="P257" s="129"/>
      <c r="AH257" s="50">
        <v>0</v>
      </c>
    </row>
    <row r="258" s="50" customFormat="1" ht="18.75" hidden="1" customHeight="1">
      <c r="A258" s="143"/>
      <c r="B258" s="143"/>
      <c r="C258" s="404" t="s">
        <v>1150</v>
      </c>
      <c r="D258" s="990"/>
      <c r="E258" s="355"/>
      <c r="F258" s="79"/>
      <c r="G258" s="914"/>
      <c r="H258" s="711"/>
      <c r="I258" s="177" t="s">
        <v>1149</v>
      </c>
      <c r="J258" s="235"/>
      <c r="K258" s="711"/>
      <c r="L258" s="842"/>
      <c r="M258" s="976"/>
      <c r="N258" s="791"/>
      <c r="O258" s="129"/>
      <c r="P258" s="129"/>
      <c r="AH258" s="50">
        <v>0</v>
      </c>
    </row>
    <row r="259" s="50" customFormat="1" ht="0.75" hidden="1" customHeight="1">
      <c r="A259" s="143"/>
      <c r="B259" s="143"/>
      <c r="C259" s="404" t="s">
        <v>1158</v>
      </c>
      <c r="D259" s="990"/>
      <c r="E259" s="355"/>
      <c r="F259" s="79"/>
      <c r="G259" s="989"/>
      <c r="H259" s="711"/>
      <c r="I259" s="177"/>
      <c r="J259" s="235"/>
      <c r="K259" s="711"/>
      <c r="L259" s="842"/>
      <c r="M259" s="976"/>
      <c r="N259" s="791"/>
      <c r="O259" s="129"/>
      <c r="P259" s="129"/>
      <c r="AH259" s="50">
        <v>0</v>
      </c>
    </row>
    <row r="260" s="50" customFormat="1" ht="18.75" hidden="1" customHeight="1">
      <c r="A260" s="143" t="s">
        <v>270</v>
      </c>
      <c r="B260" s="143" t="s">
        <v>271</v>
      </c>
      <c r="C260" s="404"/>
      <c r="D260" s="990"/>
      <c r="E260" s="355"/>
      <c r="F260" s="79" t="str">
        <f>INDEX(PT_DIFFERENTIATION_VTAR,MATCH(A260,PT_DIFFERENTIATION_VTAR_ID,0))</f>
        <v xml:space="preserve">Тариф на водоотведение</v>
      </c>
      <c r="G260" s="914" t="str">
        <f>INDEX(PT_DIFFERENTIATION_NTAR,MATCH(B260,PT_DIFFERENTIATION_NTAR_ID,0))</f>
        <v/>
      </c>
      <c r="H260" s="426"/>
      <c r="I260" s="980"/>
      <c r="J260" s="981"/>
      <c r="K260" s="442"/>
      <c r="L260" s="426" t="s">
        <v>311</v>
      </c>
      <c r="M260" s="976"/>
      <c r="N260" s="791"/>
      <c r="O260" s="129"/>
      <c r="P260" s="129"/>
      <c r="AH260" s="50">
        <v>0</v>
      </c>
    </row>
    <row r="261" s="50" customFormat="1" ht="18.75" hidden="1" customHeight="1">
      <c r="A261" s="143"/>
      <c r="B261" s="143"/>
      <c r="C261" s="404" t="s">
        <v>1150</v>
      </c>
      <c r="D261" s="990"/>
      <c r="E261" s="355"/>
      <c r="F261" s="79"/>
      <c r="G261" s="914"/>
      <c r="H261" s="711"/>
      <c r="I261" s="177" t="s">
        <v>1149</v>
      </c>
      <c r="J261" s="235"/>
      <c r="K261" s="711"/>
      <c r="L261" s="842"/>
      <c r="M261" s="976"/>
      <c r="N261" s="791"/>
      <c r="O261" s="129"/>
      <c r="P261" s="129"/>
      <c r="AH261" s="50">
        <v>0</v>
      </c>
    </row>
    <row r="262" s="50" customFormat="1" ht="0.75" hidden="1" customHeight="1">
      <c r="A262" s="143"/>
      <c r="B262" s="143"/>
      <c r="C262" s="404" t="s">
        <v>1158</v>
      </c>
      <c r="D262" s="990"/>
      <c r="E262" s="355"/>
      <c r="F262" s="79"/>
      <c r="G262" s="989"/>
      <c r="H262" s="711"/>
      <c r="I262" s="177"/>
      <c r="J262" s="235"/>
      <c r="K262" s="711"/>
      <c r="L262" s="842"/>
      <c r="M262" s="976"/>
      <c r="N262" s="791"/>
      <c r="O262" s="129"/>
      <c r="P262" s="129"/>
      <c r="AH262" s="50">
        <v>0</v>
      </c>
    </row>
    <row r="263" s="50" customFormat="1" ht="18.75" hidden="1" customHeight="1">
      <c r="A263" s="143" t="s">
        <v>275</v>
      </c>
      <c r="B263" s="143" t="s">
        <v>276</v>
      </c>
      <c r="C263" s="404"/>
      <c r="D263" s="990"/>
      <c r="E263" s="355"/>
      <c r="F263" s="79" t="str">
        <f>INDEX(PT_DIFFERENTIATION_VTAR,MATCH(A263,PT_DIFFERENTIATION_VTAR_ID,0))</f>
        <v xml:space="preserve">Тариф на транспортировку сточных вод</v>
      </c>
      <c r="G263" s="914" t="str">
        <f>INDEX(PT_DIFFERENTIATION_NTAR,MATCH(B263,PT_DIFFERENTIATION_NTAR_ID,0))</f>
        <v/>
      </c>
      <c r="H263" s="426"/>
      <c r="I263" s="980"/>
      <c r="J263" s="981"/>
      <c r="K263" s="442"/>
      <c r="L263" s="426" t="s">
        <v>311</v>
      </c>
      <c r="M263" s="976"/>
      <c r="N263" s="791"/>
      <c r="O263" s="129"/>
      <c r="P263" s="129"/>
      <c r="AH263" s="50">
        <v>0</v>
      </c>
    </row>
    <row r="264" s="50" customFormat="1" ht="18.75" hidden="1" customHeight="1">
      <c r="A264" s="143"/>
      <c r="B264" s="143"/>
      <c r="C264" s="404" t="s">
        <v>1150</v>
      </c>
      <c r="D264" s="990"/>
      <c r="E264" s="355"/>
      <c r="F264" s="79"/>
      <c r="G264" s="914"/>
      <c r="H264" s="711"/>
      <c r="I264" s="177" t="s">
        <v>1149</v>
      </c>
      <c r="J264" s="235"/>
      <c r="K264" s="711"/>
      <c r="L264" s="842"/>
      <c r="M264" s="976"/>
      <c r="N264" s="791"/>
      <c r="O264" s="129"/>
      <c r="P264" s="129"/>
      <c r="AH264" s="50">
        <v>0</v>
      </c>
    </row>
    <row r="265" s="50" customFormat="1" ht="0.75" hidden="1" customHeight="1">
      <c r="A265" s="143"/>
      <c r="B265" s="143"/>
      <c r="C265" s="404" t="s">
        <v>1158</v>
      </c>
      <c r="D265" s="990"/>
      <c r="E265" s="355"/>
      <c r="F265" s="79"/>
      <c r="G265" s="989"/>
      <c r="H265" s="711"/>
      <c r="I265" s="177"/>
      <c r="J265" s="235"/>
      <c r="K265" s="711"/>
      <c r="L265" s="842"/>
      <c r="M265" s="976"/>
      <c r="N265" s="791"/>
      <c r="O265" s="129"/>
      <c r="P265" s="129"/>
      <c r="AH265" s="50">
        <v>0</v>
      </c>
    </row>
    <row r="266" s="50" customFormat="1" ht="18.75" hidden="1" customHeight="1">
      <c r="A266" s="143" t="s">
        <v>280</v>
      </c>
      <c r="B266" s="143" t="s">
        <v>281</v>
      </c>
      <c r="C266" s="404"/>
      <c r="D266" s="990"/>
      <c r="E266" s="355"/>
      <c r="F266" s="79" t="str">
        <f>INDEX(PT_DIFFERENTIATION_VTAR,MATCH(A266,PT_DIFFERENTIATION_VTAR_ID,0))</f>
        <v xml:space="preserve">Тариф на подключение (технологическое присоединение) к централизованной системе водоотведения</v>
      </c>
      <c r="G266" s="914" t="str">
        <f>INDEX(PT_DIFFERENTIATION_NTAR,MATCH(B266,PT_DIFFERENTIATION_NTAR_ID,0))</f>
        <v/>
      </c>
      <c r="H266" s="426"/>
      <c r="I266" s="980"/>
      <c r="J266" s="981"/>
      <c r="K266" s="442"/>
      <c r="L266" s="426" t="s">
        <v>311</v>
      </c>
      <c r="M266" s="976"/>
      <c r="N266" s="791"/>
      <c r="O266" s="129"/>
      <c r="P266" s="129"/>
      <c r="AH266" s="50">
        <v>0</v>
      </c>
    </row>
    <row r="267" s="50" customFormat="1" ht="18.75" hidden="1" customHeight="1">
      <c r="A267" s="143"/>
      <c r="B267" s="143"/>
      <c r="C267" s="404" t="s">
        <v>1150</v>
      </c>
      <c r="D267" s="990"/>
      <c r="E267" s="355"/>
      <c r="F267" s="79"/>
      <c r="G267" s="914"/>
      <c r="H267" s="711"/>
      <c r="I267" s="177" t="s">
        <v>1149</v>
      </c>
      <c r="J267" s="235"/>
      <c r="K267" s="711"/>
      <c r="L267" s="842"/>
      <c r="M267" s="976"/>
      <c r="N267" s="791"/>
      <c r="O267" s="129"/>
      <c r="P267" s="129"/>
      <c r="AH267" s="50">
        <v>0</v>
      </c>
    </row>
    <row r="268" s="50" customFormat="1" ht="1.05" customHeight="1">
      <c r="A268" s="143"/>
      <c r="B268" s="143"/>
      <c r="C268" s="404" t="s">
        <v>1158</v>
      </c>
      <c r="D268" s="990"/>
      <c r="E268" s="355"/>
      <c r="F268" s="79"/>
      <c r="G268" s="989"/>
      <c r="H268" s="711"/>
      <c r="I268" s="177"/>
      <c r="J268" s="235"/>
      <c r="K268" s="711"/>
      <c r="L268" s="842"/>
      <c r="M268" s="976"/>
      <c r="N268" s="791"/>
      <c r="O268" s="129"/>
      <c r="P268" s="129"/>
      <c r="AH268" s="50">
        <v>1</v>
      </c>
    </row>
    <row r="269" ht="27.300000000000001" customHeight="1">
      <c r="A269" s="143"/>
      <c r="B269" s="143"/>
      <c r="D269" s="548"/>
      <c r="E269" s="355" t="s">
        <v>93</v>
      </c>
      <c r="F269" s="84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 xml:space="preserve">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840"/>
      <c r="H269" s="840"/>
      <c r="I269" s="840"/>
      <c r="J269" s="840"/>
      <c r="K269" s="840"/>
      <c r="L269" s="840"/>
      <c r="M269" s="832"/>
      <c r="N269" s="791"/>
      <c r="AH269" s="50">
        <v>26</v>
      </c>
    </row>
    <row r="270" s="50" customFormat="1" ht="60.75" hidden="1" customHeight="1">
      <c r="A270" s="143" t="s">
        <v>155</v>
      </c>
      <c r="B270" s="143" t="s">
        <v>156</v>
      </c>
      <c r="C270" s="404"/>
      <c r="D270" s="990"/>
      <c r="E270" s="355"/>
      <c r="F270" s="79" t="str">
        <f>INDEX(PT_DIFFERENTIATION_VTAR,MATCH(A270,PT_DIFFERENTIATION_VTAR_ID,0))</f>
        <v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914" t="str">
        <f>INDEX(PT_DIFFERENTIATION_NTAR,MATCH(B270,PT_DIFFERENTIATION_NTAR_ID,0))</f>
        <v/>
      </c>
      <c r="H270" s="426"/>
      <c r="I270" s="980"/>
      <c r="J270" s="981"/>
      <c r="K270" s="442"/>
      <c r="L270" s="426" t="s">
        <v>311</v>
      </c>
      <c r="M270" s="28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 xml:space="preserve">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791"/>
      <c r="O270" s="129"/>
      <c r="P270" s="129"/>
      <c r="AH270" s="50">
        <v>0</v>
      </c>
    </row>
    <row r="271" s="50" customFormat="1" ht="18.75" hidden="1" customHeight="1">
      <c r="A271" s="143"/>
      <c r="B271" s="143"/>
      <c r="C271" s="404" t="s">
        <v>1150</v>
      </c>
      <c r="D271" s="990"/>
      <c r="E271" s="355"/>
      <c r="F271" s="79"/>
      <c r="G271" s="914"/>
      <c r="H271" s="711"/>
      <c r="I271" s="177" t="s">
        <v>1149</v>
      </c>
      <c r="J271" s="235"/>
      <c r="K271" s="711"/>
      <c r="L271" s="842"/>
      <c r="M271" s="287"/>
      <c r="N271" s="791"/>
      <c r="O271" s="129"/>
      <c r="P271" s="129"/>
      <c r="AH271" s="50">
        <v>0</v>
      </c>
    </row>
    <row r="272" s="50" customFormat="1" ht="0.75" hidden="1" customHeight="1">
      <c r="A272" s="143"/>
      <c r="B272" s="143"/>
      <c r="C272" s="404" t="s">
        <v>1158</v>
      </c>
      <c r="D272" s="990"/>
      <c r="E272" s="355"/>
      <c r="F272" s="79"/>
      <c r="G272" s="989"/>
      <c r="H272" s="711"/>
      <c r="I272" s="177"/>
      <c r="J272" s="235"/>
      <c r="K272" s="711"/>
      <c r="L272" s="842"/>
      <c r="M272" s="287"/>
      <c r="N272" s="791"/>
      <c r="O272" s="129"/>
      <c r="P272" s="129"/>
      <c r="AH272" s="50">
        <v>0</v>
      </c>
    </row>
    <row r="273" s="50" customFormat="1" ht="45" hidden="1" customHeight="1">
      <c r="A273" s="143" t="s">
        <v>161</v>
      </c>
      <c r="B273" s="143" t="s">
        <v>162</v>
      </c>
      <c r="C273" s="404"/>
      <c r="D273" s="990"/>
      <c r="E273" s="355"/>
      <c r="F273" s="79" t="str">
        <f>INDEX(PT_DIFFERENTIATION_VTAR,MATCH(A273,PT_DIFFERENTIATION_VTAR_ID,0))</f>
        <v xml:space="preserve">Тарифы на тепловую энергию (мощность), поставляемую теплоснабжающими организациями потребителям, другим теплоснабжающим организациям</v>
      </c>
      <c r="G273" s="914" t="str">
        <f>INDEX(PT_DIFFERENTIATION_NTAR,MATCH(B273,PT_DIFFERENTIATION_NTAR_ID,0))</f>
        <v/>
      </c>
      <c r="H273" s="426"/>
      <c r="I273" s="980"/>
      <c r="J273" s="981"/>
      <c r="K273" s="442"/>
      <c r="L273" s="426" t="s">
        <v>311</v>
      </c>
      <c r="M273" s="289"/>
      <c r="N273" s="791"/>
      <c r="O273" s="129"/>
      <c r="P273" s="129"/>
      <c r="AH273" s="50">
        <v>0</v>
      </c>
    </row>
    <row r="274" s="50" customFormat="1" ht="18.75" hidden="1" customHeight="1">
      <c r="A274" s="143"/>
      <c r="B274" s="143"/>
      <c r="C274" s="404" t="s">
        <v>1150</v>
      </c>
      <c r="D274" s="990"/>
      <c r="E274" s="355"/>
      <c r="F274" s="79"/>
      <c r="G274" s="914"/>
      <c r="H274" s="711"/>
      <c r="I274" s="177" t="s">
        <v>1149</v>
      </c>
      <c r="J274" s="235"/>
      <c r="K274" s="711"/>
      <c r="L274" s="842"/>
      <c r="M274" s="287"/>
      <c r="N274" s="791"/>
      <c r="O274" s="129"/>
      <c r="P274" s="129"/>
      <c r="AH274" s="50">
        <v>0</v>
      </c>
    </row>
    <row r="275" s="50" customFormat="1" ht="0.75" hidden="1" customHeight="1">
      <c r="A275" s="143"/>
      <c r="B275" s="143"/>
      <c r="C275" s="404" t="s">
        <v>1158</v>
      </c>
      <c r="D275" s="990"/>
      <c r="E275" s="355"/>
      <c r="F275" s="79"/>
      <c r="G275" s="989"/>
      <c r="H275" s="711"/>
      <c r="I275" s="177"/>
      <c r="J275" s="235"/>
      <c r="K275" s="711"/>
      <c r="L275" s="842"/>
      <c r="M275" s="976"/>
      <c r="N275" s="791"/>
      <c r="O275" s="129"/>
      <c r="P275" s="129"/>
      <c r="AH275" s="50">
        <v>0</v>
      </c>
    </row>
    <row r="276" s="50" customFormat="1" ht="45" hidden="1" customHeight="1">
      <c r="A276" s="143" t="s">
        <v>167</v>
      </c>
      <c r="B276" s="143" t="s">
        <v>168</v>
      </c>
      <c r="C276" s="404"/>
      <c r="D276" s="990"/>
      <c r="E276" s="355"/>
      <c r="F276" s="79" t="str">
        <f>INDEX(PT_DIFFERENTIATION_VTAR,MATCH(A276,PT_DIFFERENTIATION_VTAR_ID,0))</f>
        <v xml:space="preserve">Тарифы на теплоноситель, поставляемый теплоснабжающими организациями потребителям, другим теплоснабжающим организациям</v>
      </c>
      <c r="G276" s="914" t="str">
        <f>INDEX(PT_DIFFERENTIATION_NTAR,MATCH(B276,PT_DIFFERENTIATION_NTAR_ID,0))</f>
        <v/>
      </c>
      <c r="H276" s="426"/>
      <c r="I276" s="980"/>
      <c r="J276" s="981"/>
      <c r="K276" s="442"/>
      <c r="L276" s="426" t="s">
        <v>311</v>
      </c>
      <c r="M276" s="976"/>
      <c r="N276" s="791"/>
      <c r="O276" s="129"/>
      <c r="P276" s="129"/>
      <c r="AH276" s="50">
        <v>0</v>
      </c>
    </row>
    <row r="277" s="50" customFormat="1" ht="18.75" hidden="1" customHeight="1">
      <c r="A277" s="143"/>
      <c r="B277" s="143"/>
      <c r="C277" s="404" t="s">
        <v>1150</v>
      </c>
      <c r="D277" s="990"/>
      <c r="E277" s="355"/>
      <c r="F277" s="79"/>
      <c r="G277" s="914"/>
      <c r="H277" s="711"/>
      <c r="I277" s="177" t="s">
        <v>1149</v>
      </c>
      <c r="J277" s="235"/>
      <c r="K277" s="711"/>
      <c r="L277" s="842"/>
      <c r="M277" s="976"/>
      <c r="N277" s="791"/>
      <c r="O277" s="129"/>
      <c r="P277" s="129"/>
      <c r="AH277" s="50">
        <v>0</v>
      </c>
    </row>
    <row r="278" s="50" customFormat="1" ht="0.75" hidden="1" customHeight="1">
      <c r="A278" s="143"/>
      <c r="B278" s="143"/>
      <c r="C278" s="404" t="s">
        <v>1158</v>
      </c>
      <c r="D278" s="990"/>
      <c r="E278" s="355"/>
      <c r="F278" s="79"/>
      <c r="G278" s="989"/>
      <c r="H278" s="711"/>
      <c r="I278" s="177"/>
      <c r="J278" s="235"/>
      <c r="K278" s="711"/>
      <c r="L278" s="842"/>
      <c r="M278" s="976"/>
      <c r="N278" s="791"/>
      <c r="O278" s="129"/>
      <c r="P278" s="129"/>
      <c r="AH278" s="50">
        <v>0</v>
      </c>
    </row>
    <row r="279" s="50" customFormat="1" ht="45" hidden="1" customHeight="1">
      <c r="A279" s="143" t="s">
        <v>173</v>
      </c>
      <c r="B279" s="143" t="s">
        <v>174</v>
      </c>
      <c r="C279" s="404"/>
      <c r="D279" s="990"/>
      <c r="E279" s="355"/>
      <c r="F279" s="79" t="str">
        <f>INDEX(PT_DIFFERENTIATION_VTAR,MATCH(A279,PT_DIFFERENTIATION_VTAR_ID,0))</f>
        <v xml:space="preserve">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914" t="str">
        <f>INDEX(PT_DIFFERENTIATION_NTAR,MATCH(B279,PT_DIFFERENTIATION_NTAR_ID,0))</f>
        <v/>
      </c>
      <c r="H279" s="426"/>
      <c r="I279" s="980"/>
      <c r="J279" s="981"/>
      <c r="K279" s="442"/>
      <c r="L279" s="426" t="s">
        <v>311</v>
      </c>
      <c r="M279" s="976"/>
      <c r="N279" s="791"/>
      <c r="O279" s="129"/>
      <c r="P279" s="129"/>
      <c r="AH279" s="50">
        <v>0</v>
      </c>
    </row>
    <row r="280" s="50" customFormat="1" ht="18.75" hidden="1" customHeight="1">
      <c r="A280" s="143"/>
      <c r="B280" s="143"/>
      <c r="C280" s="404" t="s">
        <v>1150</v>
      </c>
      <c r="D280" s="990"/>
      <c r="E280" s="355"/>
      <c r="F280" s="79"/>
      <c r="G280" s="914"/>
      <c r="H280" s="711"/>
      <c r="I280" s="177" t="s">
        <v>1149</v>
      </c>
      <c r="J280" s="235"/>
      <c r="K280" s="711"/>
      <c r="L280" s="842"/>
      <c r="M280" s="976"/>
      <c r="N280" s="791"/>
      <c r="O280" s="129"/>
      <c r="P280" s="129"/>
      <c r="AH280" s="50">
        <v>0</v>
      </c>
    </row>
    <row r="281" s="50" customFormat="1" ht="0.75" hidden="1" customHeight="1">
      <c r="A281" s="143"/>
      <c r="B281" s="143"/>
      <c r="C281" s="404" t="s">
        <v>1158</v>
      </c>
      <c r="D281" s="990"/>
      <c r="E281" s="355"/>
      <c r="F281" s="79"/>
      <c r="G281" s="989"/>
      <c r="H281" s="711"/>
      <c r="I281" s="177"/>
      <c r="J281" s="235"/>
      <c r="K281" s="711"/>
      <c r="L281" s="842"/>
      <c r="M281" s="976"/>
      <c r="N281" s="791"/>
      <c r="O281" s="129"/>
      <c r="P281" s="129"/>
      <c r="AH281" s="50">
        <v>0</v>
      </c>
    </row>
    <row r="282" s="50" customFormat="1" ht="18.75" hidden="1" customHeight="1">
      <c r="A282" s="143" t="s">
        <v>179</v>
      </c>
      <c r="B282" s="143" t="s">
        <v>180</v>
      </c>
      <c r="C282" s="404"/>
      <c r="D282" s="990"/>
      <c r="E282" s="355"/>
      <c r="F282" s="79" t="str">
        <f>INDEX(PT_DIFFERENTIATION_VTAR,MATCH(A282,PT_DIFFERENTIATION_VTAR_ID,0))</f>
        <v xml:space="preserve">Тарифы на услуги по передаче тепловой энергии</v>
      </c>
      <c r="G282" s="914" t="str">
        <f>INDEX(PT_DIFFERENTIATION_NTAR,MATCH(B282,PT_DIFFERENTIATION_NTAR_ID,0))</f>
        <v/>
      </c>
      <c r="H282" s="426"/>
      <c r="I282" s="980"/>
      <c r="J282" s="981"/>
      <c r="K282" s="442"/>
      <c r="L282" s="426" t="s">
        <v>311</v>
      </c>
      <c r="M282" s="976"/>
      <c r="N282" s="791"/>
      <c r="O282" s="129"/>
      <c r="P282" s="129"/>
      <c r="AH282" s="50">
        <v>0</v>
      </c>
    </row>
    <row r="283" s="50" customFormat="1" ht="18.75" hidden="1" customHeight="1">
      <c r="A283" s="143"/>
      <c r="B283" s="143"/>
      <c r="C283" s="404" t="s">
        <v>1150</v>
      </c>
      <c r="D283" s="990"/>
      <c r="E283" s="355"/>
      <c r="F283" s="79"/>
      <c r="G283" s="914"/>
      <c r="H283" s="711"/>
      <c r="I283" s="177" t="s">
        <v>1149</v>
      </c>
      <c r="J283" s="235"/>
      <c r="K283" s="711"/>
      <c r="L283" s="842"/>
      <c r="M283" s="976"/>
      <c r="N283" s="791"/>
      <c r="O283" s="129"/>
      <c r="P283" s="129"/>
      <c r="AH283" s="50">
        <v>0</v>
      </c>
    </row>
    <row r="284" s="50" customFormat="1" ht="0.75" hidden="1" customHeight="1">
      <c r="A284" s="143"/>
      <c r="B284" s="143"/>
      <c r="C284" s="404" t="s">
        <v>1158</v>
      </c>
      <c r="D284" s="990"/>
      <c r="E284" s="355"/>
      <c r="F284" s="79"/>
      <c r="G284" s="989"/>
      <c r="H284" s="711"/>
      <c r="I284" s="177"/>
      <c r="J284" s="235"/>
      <c r="K284" s="711"/>
      <c r="L284" s="842"/>
      <c r="M284" s="976"/>
      <c r="N284" s="791"/>
      <c r="O284" s="129"/>
      <c r="P284" s="129"/>
      <c r="AH284" s="50">
        <v>0</v>
      </c>
    </row>
    <row r="285" s="50" customFormat="1" ht="18.75" hidden="1" customHeight="1">
      <c r="A285" s="143" t="s">
        <v>185</v>
      </c>
      <c r="B285" s="143" t="s">
        <v>186</v>
      </c>
      <c r="C285" s="404"/>
      <c r="D285" s="990"/>
      <c r="E285" s="355"/>
      <c r="F285" s="79" t="str">
        <f>INDEX(PT_DIFFERENTIATION_VTAR,MATCH(A285,PT_DIFFERENTIATION_VTAR_ID,0))</f>
        <v xml:space="preserve">Тарифы на услуги по передаче теплоносителя</v>
      </c>
      <c r="G285" s="914" t="str">
        <f>INDEX(PT_DIFFERENTIATION_NTAR,MATCH(B285,PT_DIFFERENTIATION_NTAR_ID,0))</f>
        <v/>
      </c>
      <c r="H285" s="426"/>
      <c r="I285" s="980"/>
      <c r="J285" s="981"/>
      <c r="K285" s="442"/>
      <c r="L285" s="426" t="s">
        <v>311</v>
      </c>
      <c r="M285" s="976"/>
      <c r="N285" s="791"/>
      <c r="O285" s="129"/>
      <c r="P285" s="129"/>
      <c r="AH285" s="50">
        <v>0</v>
      </c>
    </row>
    <row r="286" s="50" customFormat="1" ht="18.75" hidden="1" customHeight="1">
      <c r="A286" s="143"/>
      <c r="B286" s="143"/>
      <c r="C286" s="404" t="s">
        <v>1150</v>
      </c>
      <c r="D286" s="990"/>
      <c r="E286" s="355"/>
      <c r="F286" s="79"/>
      <c r="G286" s="914"/>
      <c r="H286" s="711"/>
      <c r="I286" s="177" t="s">
        <v>1149</v>
      </c>
      <c r="J286" s="235"/>
      <c r="K286" s="711"/>
      <c r="L286" s="842"/>
      <c r="M286" s="976"/>
      <c r="N286" s="791"/>
      <c r="O286" s="129"/>
      <c r="P286" s="129"/>
      <c r="AH286" s="50">
        <v>0</v>
      </c>
    </row>
    <row r="287" s="50" customFormat="1" ht="0.75" hidden="1" customHeight="1">
      <c r="A287" s="143"/>
      <c r="B287" s="143"/>
      <c r="C287" s="404" t="s">
        <v>1158</v>
      </c>
      <c r="D287" s="990"/>
      <c r="E287" s="355"/>
      <c r="F287" s="79"/>
      <c r="G287" s="989"/>
      <c r="H287" s="711"/>
      <c r="I287" s="177"/>
      <c r="J287" s="235"/>
      <c r="K287" s="711"/>
      <c r="L287" s="842"/>
      <c r="M287" s="976"/>
      <c r="N287" s="791"/>
      <c r="O287" s="129"/>
      <c r="P287" s="129"/>
      <c r="AH287" s="50">
        <v>0</v>
      </c>
    </row>
    <row r="288" s="50" customFormat="1" ht="18.75" hidden="1" customHeight="1">
      <c r="A288" s="143" t="s">
        <v>191</v>
      </c>
      <c r="B288" s="143" t="s">
        <v>192</v>
      </c>
      <c r="C288" s="404"/>
      <c r="D288" s="990"/>
      <c r="E288" s="355"/>
      <c r="F288" s="79" t="str">
        <f>INDEX(PT_DIFFERENTIATION_VTAR,MATCH(A288,PT_DIFFERENTIATION_VTAR_ID,0))</f>
        <v xml:space="preserve">Плата за услуги по поддержанию резервной тепловой мощности при отсутствии потребления тепловой энергии</v>
      </c>
      <c r="G288" s="914" t="str">
        <f>INDEX(PT_DIFFERENTIATION_NTAR,MATCH(B288,PT_DIFFERENTIATION_NTAR_ID,0))</f>
        <v/>
      </c>
      <c r="H288" s="426"/>
      <c r="I288" s="980"/>
      <c r="J288" s="981"/>
      <c r="K288" s="442"/>
      <c r="L288" s="426" t="s">
        <v>311</v>
      </c>
      <c r="M288" s="976"/>
      <c r="N288" s="791"/>
      <c r="O288" s="129"/>
      <c r="P288" s="129"/>
      <c r="AH288" s="50">
        <v>0</v>
      </c>
    </row>
    <row r="289" s="50" customFormat="1" ht="18.75" hidden="1" customHeight="1">
      <c r="A289" s="143"/>
      <c r="B289" s="143"/>
      <c r="C289" s="404" t="s">
        <v>1150</v>
      </c>
      <c r="D289" s="990"/>
      <c r="E289" s="355"/>
      <c r="F289" s="79"/>
      <c r="G289" s="914"/>
      <c r="H289" s="711"/>
      <c r="I289" s="177" t="s">
        <v>1149</v>
      </c>
      <c r="J289" s="235"/>
      <c r="K289" s="711"/>
      <c r="L289" s="842"/>
      <c r="M289" s="976"/>
      <c r="N289" s="791"/>
      <c r="O289" s="129"/>
      <c r="P289" s="129"/>
      <c r="AH289" s="50">
        <v>0</v>
      </c>
    </row>
    <row r="290" s="50" customFormat="1" ht="0.75" hidden="1" customHeight="1">
      <c r="A290" s="143"/>
      <c r="B290" s="143"/>
      <c r="C290" s="404" t="s">
        <v>1158</v>
      </c>
      <c r="D290" s="990"/>
      <c r="E290" s="355"/>
      <c r="F290" s="79"/>
      <c r="G290" s="989"/>
      <c r="H290" s="711"/>
      <c r="I290" s="177"/>
      <c r="J290" s="235"/>
      <c r="K290" s="711"/>
      <c r="L290" s="842"/>
      <c r="M290" s="976"/>
      <c r="N290" s="791"/>
      <c r="O290" s="129"/>
      <c r="P290" s="129"/>
      <c r="AH290" s="50">
        <v>0</v>
      </c>
    </row>
    <row r="291" s="50" customFormat="1" ht="18.75" hidden="1" customHeight="1">
      <c r="A291" s="143" t="s">
        <v>197</v>
      </c>
      <c r="B291" s="143" t="s">
        <v>198</v>
      </c>
      <c r="C291" s="404"/>
      <c r="D291" s="990"/>
      <c r="E291" s="355"/>
      <c r="F291" s="79" t="str">
        <f>INDEX(PT_DIFFERENTIATION_VTAR,MATCH(A291,PT_DIFFERENTIATION_VTAR_ID,0))</f>
        <v xml:space="preserve">Плата за подключение (технологическое присоединение) к системе теплоснабжения</v>
      </c>
      <c r="G291" s="914" t="str">
        <f>INDEX(PT_DIFFERENTIATION_NTAR,MATCH(B291,PT_DIFFERENTIATION_NTAR_ID,0))</f>
        <v/>
      </c>
      <c r="H291" s="426"/>
      <c r="I291" s="980"/>
      <c r="J291" s="981"/>
      <c r="K291" s="442"/>
      <c r="L291" s="426" t="s">
        <v>311</v>
      </c>
      <c r="M291" s="976"/>
      <c r="N291" s="791"/>
      <c r="O291" s="129"/>
      <c r="P291" s="129"/>
      <c r="AH291" s="50">
        <v>0</v>
      </c>
    </row>
    <row r="292" s="50" customFormat="1" ht="18.75" hidden="1" customHeight="1">
      <c r="A292" s="143"/>
      <c r="B292" s="143"/>
      <c r="C292" s="404" t="s">
        <v>1150</v>
      </c>
      <c r="D292" s="990"/>
      <c r="E292" s="355"/>
      <c r="F292" s="79"/>
      <c r="G292" s="914"/>
      <c r="H292" s="711"/>
      <c r="I292" s="177" t="s">
        <v>1149</v>
      </c>
      <c r="J292" s="235"/>
      <c r="K292" s="711"/>
      <c r="L292" s="842"/>
      <c r="M292" s="976"/>
      <c r="N292" s="791"/>
      <c r="O292" s="129"/>
      <c r="P292" s="129"/>
      <c r="AH292" s="50">
        <v>0</v>
      </c>
    </row>
    <row r="293" s="50" customFormat="1" ht="0.75" hidden="1" customHeight="1">
      <c r="A293" s="143"/>
      <c r="B293" s="143"/>
      <c r="C293" s="404" t="s">
        <v>1158</v>
      </c>
      <c r="D293" s="990"/>
      <c r="E293" s="355"/>
      <c r="F293" s="79"/>
      <c r="G293" s="989"/>
      <c r="H293" s="711"/>
      <c r="I293" s="177"/>
      <c r="J293" s="235"/>
      <c r="K293" s="711"/>
      <c r="L293" s="842"/>
      <c r="M293" s="976"/>
      <c r="N293" s="791"/>
      <c r="O293" s="129"/>
      <c r="P293" s="129"/>
      <c r="AH293" s="50">
        <v>0</v>
      </c>
    </row>
    <row r="294" s="50" customFormat="1" ht="18.75" hidden="1" customHeight="1">
      <c r="A294" s="143" t="s">
        <v>206</v>
      </c>
      <c r="B294" s="143" t="s">
        <v>207</v>
      </c>
      <c r="C294" s="404"/>
      <c r="D294" s="990"/>
      <c r="E294" s="355"/>
      <c r="F294" s="79" t="str">
        <f>INDEX(PT_DIFFERENTIATION_VTAR,MATCH(A294,PT_DIFFERENTIATION_VTAR_ID,0))</f>
        <v xml:space="preserve">Плата за подключение (технологическое присоединение) к системе теплоснабжения (индивидуальная)</v>
      </c>
      <c r="G294" s="914" t="str">
        <f>INDEX(PT_DIFFERENTIATION_NTAR,MATCH(B294,PT_DIFFERENTIATION_NTAR_ID,0))</f>
        <v xml:space="preserve">Плата за подключение теплопотребляющих установок общества с ограниченной ответственностью Специализированный застройщик «Эдельвейс-5» для осуществления подключения объекта капитального строительства: «Многоэтажная жилая застройка со встроенными помещениями нежилого назначения, расположенная в районе ул. Кизлярской, 18 в г. Владивостоке», к системе теплоснабжения АО "ДГК" в индивидуальном порядке.</v>
      </c>
      <c r="H294" s="426"/>
      <c r="I294" s="980"/>
      <c r="J294" s="981"/>
      <c r="K294" s="442"/>
      <c r="L294" s="426" t="s">
        <v>311</v>
      </c>
      <c r="M294" s="976"/>
      <c r="N294" s="791"/>
      <c r="O294" s="129"/>
      <c r="P294" s="129"/>
      <c r="AH294" s="50">
        <v>0</v>
      </c>
    </row>
    <row r="295" s="50" customFormat="1" ht="18.75" hidden="1" customHeight="1">
      <c r="A295" s="143"/>
      <c r="B295" s="143"/>
      <c r="C295" s="404" t="s">
        <v>1150</v>
      </c>
      <c r="D295" s="990"/>
      <c r="E295" s="355"/>
      <c r="F295" s="79"/>
      <c r="G295" s="914"/>
      <c r="H295" s="711"/>
      <c r="I295" s="177" t="s">
        <v>1149</v>
      </c>
      <c r="J295" s="235"/>
      <c r="K295" s="711"/>
      <c r="L295" s="842"/>
      <c r="M295" s="976"/>
      <c r="N295" s="791"/>
      <c r="O295" s="129"/>
      <c r="P295" s="129"/>
      <c r="AH295" s="50">
        <v>0</v>
      </c>
    </row>
    <row r="296" s="50" customFormat="1" ht="0.75" hidden="1" customHeight="1">
      <c r="A296" s="143"/>
      <c r="B296" s="143"/>
      <c r="C296" s="404" t="s">
        <v>1158</v>
      </c>
      <c r="D296" s="990"/>
      <c r="E296" s="355"/>
      <c r="F296" s="79"/>
      <c r="G296" s="989"/>
      <c r="H296" s="711"/>
      <c r="I296" s="177"/>
      <c r="J296" s="235"/>
      <c r="K296" s="711"/>
      <c r="L296" s="842"/>
      <c r="M296" s="976"/>
      <c r="N296" s="791"/>
      <c r="O296" s="129"/>
      <c r="P296" s="129"/>
      <c r="AH296" s="50">
        <v>0</v>
      </c>
    </row>
    <row r="297" s="50" customFormat="1" ht="18.75" hidden="1" customHeight="1">
      <c r="A297" s="143" t="s">
        <v>230</v>
      </c>
      <c r="B297" s="143" t="s">
        <v>231</v>
      </c>
      <c r="C297" s="404"/>
      <c r="D297" s="990"/>
      <c r="E297" s="355"/>
      <c r="F297" s="79" t="str">
        <f>INDEX(PT_DIFFERENTIATION_VTAR,MATCH(A297,PT_DIFFERENTIATION_VTAR_ID,0))</f>
        <v xml:space="preserve">Тариф на питьевую воду (питьевое водоснабжение)</v>
      </c>
      <c r="G297" s="914" t="str">
        <f>INDEX(PT_DIFFERENTIATION_NTAR,MATCH(B297,PT_DIFFERENTIATION_NTAR_ID,0))</f>
        <v/>
      </c>
      <c r="H297" s="426"/>
      <c r="I297" s="980"/>
      <c r="J297" s="981"/>
      <c r="K297" s="442"/>
      <c r="L297" s="426" t="s">
        <v>311</v>
      </c>
      <c r="M297" s="976"/>
      <c r="N297" s="791"/>
      <c r="O297" s="129"/>
      <c r="P297" s="129"/>
      <c r="AH297" s="50">
        <v>0</v>
      </c>
    </row>
    <row r="298" s="50" customFormat="1" ht="18.75" hidden="1" customHeight="1">
      <c r="A298" s="143"/>
      <c r="B298" s="143"/>
      <c r="C298" s="404" t="s">
        <v>1150</v>
      </c>
      <c r="D298" s="990"/>
      <c r="E298" s="355"/>
      <c r="F298" s="79"/>
      <c r="G298" s="914"/>
      <c r="H298" s="711"/>
      <c r="I298" s="177" t="s">
        <v>1149</v>
      </c>
      <c r="J298" s="235"/>
      <c r="K298" s="711"/>
      <c r="L298" s="842"/>
      <c r="M298" s="976"/>
      <c r="N298" s="791"/>
      <c r="O298" s="129"/>
      <c r="P298" s="129"/>
      <c r="AH298" s="50">
        <v>0</v>
      </c>
    </row>
    <row r="299" s="50" customFormat="1" ht="0.75" hidden="1" customHeight="1">
      <c r="A299" s="143"/>
      <c r="B299" s="143"/>
      <c r="C299" s="404" t="s">
        <v>1158</v>
      </c>
      <c r="D299" s="990"/>
      <c r="E299" s="355"/>
      <c r="F299" s="79"/>
      <c r="G299" s="989"/>
      <c r="H299" s="711"/>
      <c r="I299" s="177"/>
      <c r="J299" s="235"/>
      <c r="K299" s="711"/>
      <c r="L299" s="842"/>
      <c r="M299" s="976"/>
      <c r="N299" s="791"/>
      <c r="O299" s="129"/>
      <c r="P299" s="129"/>
      <c r="AH299" s="50">
        <v>0</v>
      </c>
    </row>
    <row r="300" s="50" customFormat="1" ht="18.75" hidden="1" customHeight="1">
      <c r="A300" s="143" t="s">
        <v>235</v>
      </c>
      <c r="B300" s="143" t="s">
        <v>236</v>
      </c>
      <c r="C300" s="404"/>
      <c r="D300" s="990"/>
      <c r="E300" s="355"/>
      <c r="F300" s="79" t="str">
        <f>INDEX(PT_DIFFERENTIATION_VTAR,MATCH(A300,PT_DIFFERENTIATION_VTAR_ID,0))</f>
        <v xml:space="preserve">Тариф на техническую воду</v>
      </c>
      <c r="G300" s="914" t="str">
        <f>INDEX(PT_DIFFERENTIATION_NTAR,MATCH(B300,PT_DIFFERENTIATION_NTAR_ID,0))</f>
        <v/>
      </c>
      <c r="H300" s="426"/>
      <c r="I300" s="980"/>
      <c r="J300" s="981"/>
      <c r="K300" s="442"/>
      <c r="L300" s="426" t="s">
        <v>311</v>
      </c>
      <c r="M300" s="976"/>
      <c r="N300" s="791"/>
      <c r="O300" s="129"/>
      <c r="P300" s="129"/>
      <c r="AH300" s="50">
        <v>0</v>
      </c>
    </row>
    <row r="301" s="50" customFormat="1" ht="18.75" hidden="1" customHeight="1">
      <c r="A301" s="143"/>
      <c r="B301" s="143"/>
      <c r="C301" s="404" t="s">
        <v>1150</v>
      </c>
      <c r="D301" s="990"/>
      <c r="E301" s="355"/>
      <c r="F301" s="79"/>
      <c r="G301" s="914"/>
      <c r="H301" s="711"/>
      <c r="I301" s="177" t="s">
        <v>1149</v>
      </c>
      <c r="J301" s="235"/>
      <c r="K301" s="711"/>
      <c r="L301" s="842"/>
      <c r="M301" s="976"/>
      <c r="N301" s="791"/>
      <c r="O301" s="129"/>
      <c r="P301" s="129"/>
      <c r="AH301" s="50">
        <v>0</v>
      </c>
    </row>
    <row r="302" s="50" customFormat="1" ht="0.75" hidden="1" customHeight="1">
      <c r="A302" s="143"/>
      <c r="B302" s="143"/>
      <c r="C302" s="404" t="s">
        <v>1158</v>
      </c>
      <c r="D302" s="990"/>
      <c r="E302" s="355"/>
      <c r="F302" s="79"/>
      <c r="G302" s="989"/>
      <c r="H302" s="711"/>
      <c r="I302" s="177"/>
      <c r="J302" s="235"/>
      <c r="K302" s="711"/>
      <c r="L302" s="842"/>
      <c r="M302" s="976"/>
      <c r="N302" s="791"/>
      <c r="O302" s="129"/>
      <c r="P302" s="129"/>
      <c r="AH302" s="50">
        <v>0</v>
      </c>
    </row>
    <row r="303" s="50" customFormat="1" ht="18.75" hidden="1" customHeight="1">
      <c r="A303" s="143" t="s">
        <v>240</v>
      </c>
      <c r="B303" s="143" t="s">
        <v>241</v>
      </c>
      <c r="C303" s="404"/>
      <c r="D303" s="990"/>
      <c r="E303" s="355"/>
      <c r="F303" s="79" t="str">
        <f>INDEX(PT_DIFFERENTIATION_VTAR,MATCH(A303,PT_DIFFERENTIATION_VTAR_ID,0))</f>
        <v xml:space="preserve">Тариф на транспортировку воды</v>
      </c>
      <c r="G303" s="914" t="str">
        <f>INDEX(PT_DIFFERENTIATION_NTAR,MATCH(B303,PT_DIFFERENTIATION_NTAR_ID,0))</f>
        <v/>
      </c>
      <c r="H303" s="426"/>
      <c r="I303" s="980"/>
      <c r="J303" s="981"/>
      <c r="K303" s="442"/>
      <c r="L303" s="426" t="s">
        <v>311</v>
      </c>
      <c r="M303" s="976"/>
      <c r="N303" s="791"/>
      <c r="O303" s="129"/>
      <c r="P303" s="129"/>
      <c r="AH303" s="50">
        <v>0</v>
      </c>
    </row>
    <row r="304" s="50" customFormat="1" ht="18.75" hidden="1" customHeight="1">
      <c r="A304" s="143"/>
      <c r="B304" s="143"/>
      <c r="C304" s="404" t="s">
        <v>1150</v>
      </c>
      <c r="D304" s="990"/>
      <c r="E304" s="355"/>
      <c r="F304" s="79"/>
      <c r="G304" s="914"/>
      <c r="H304" s="711"/>
      <c r="I304" s="177" t="s">
        <v>1149</v>
      </c>
      <c r="J304" s="235"/>
      <c r="K304" s="711"/>
      <c r="L304" s="842"/>
      <c r="M304" s="976"/>
      <c r="N304" s="791"/>
      <c r="O304" s="129"/>
      <c r="P304" s="129"/>
      <c r="AH304" s="50">
        <v>0</v>
      </c>
    </row>
    <row r="305" s="50" customFormat="1" ht="0.75" hidden="1" customHeight="1">
      <c r="A305" s="143"/>
      <c r="B305" s="143"/>
      <c r="C305" s="404" t="s">
        <v>1158</v>
      </c>
      <c r="D305" s="990"/>
      <c r="E305" s="355"/>
      <c r="F305" s="79"/>
      <c r="G305" s="989"/>
      <c r="H305" s="711"/>
      <c r="I305" s="177"/>
      <c r="J305" s="235"/>
      <c r="K305" s="711"/>
      <c r="L305" s="842"/>
      <c r="M305" s="976"/>
      <c r="N305" s="791"/>
      <c r="O305" s="129"/>
      <c r="P305" s="129"/>
      <c r="AH305" s="50">
        <v>0</v>
      </c>
    </row>
    <row r="306" s="50" customFormat="1" ht="18.75" hidden="1" customHeight="1">
      <c r="A306" s="143" t="s">
        <v>245</v>
      </c>
      <c r="B306" s="143" t="s">
        <v>246</v>
      </c>
      <c r="C306" s="404"/>
      <c r="D306" s="990"/>
      <c r="E306" s="355"/>
      <c r="F306" s="79" t="str">
        <f>INDEX(PT_DIFFERENTIATION_VTAR,MATCH(A306,PT_DIFFERENTIATION_VTAR_ID,0))</f>
        <v xml:space="preserve">Тариф на подвоз воды</v>
      </c>
      <c r="G306" s="914" t="str">
        <f>INDEX(PT_DIFFERENTIATION_NTAR,MATCH(B306,PT_DIFFERENTIATION_NTAR_ID,0))</f>
        <v/>
      </c>
      <c r="H306" s="426"/>
      <c r="I306" s="980"/>
      <c r="J306" s="981"/>
      <c r="K306" s="442"/>
      <c r="L306" s="426" t="s">
        <v>311</v>
      </c>
      <c r="M306" s="976"/>
      <c r="N306" s="791"/>
      <c r="O306" s="129"/>
      <c r="P306" s="129"/>
      <c r="AH306" s="50">
        <v>0</v>
      </c>
    </row>
    <row r="307" s="50" customFormat="1" ht="18.75" hidden="1" customHeight="1">
      <c r="A307" s="143"/>
      <c r="B307" s="143"/>
      <c r="C307" s="404" t="s">
        <v>1150</v>
      </c>
      <c r="D307" s="990"/>
      <c r="E307" s="355"/>
      <c r="F307" s="79"/>
      <c r="G307" s="914"/>
      <c r="H307" s="711"/>
      <c r="I307" s="177" t="s">
        <v>1149</v>
      </c>
      <c r="J307" s="235"/>
      <c r="K307" s="711"/>
      <c r="L307" s="842"/>
      <c r="M307" s="976"/>
      <c r="N307" s="791"/>
      <c r="O307" s="129"/>
      <c r="P307" s="129"/>
      <c r="AH307" s="50">
        <v>0</v>
      </c>
    </row>
    <row r="308" s="50" customFormat="1" ht="0.75" hidden="1" customHeight="1">
      <c r="A308" s="143"/>
      <c r="B308" s="143"/>
      <c r="C308" s="404" t="s">
        <v>1158</v>
      </c>
      <c r="D308" s="990"/>
      <c r="E308" s="355"/>
      <c r="F308" s="79"/>
      <c r="G308" s="989"/>
      <c r="H308" s="711"/>
      <c r="I308" s="177"/>
      <c r="J308" s="235"/>
      <c r="K308" s="711"/>
      <c r="L308" s="842"/>
      <c r="M308" s="976"/>
      <c r="N308" s="791"/>
      <c r="O308" s="129"/>
      <c r="P308" s="129"/>
      <c r="AH308" s="50">
        <v>0</v>
      </c>
    </row>
    <row r="309" s="50" customFormat="1" ht="18.75" hidden="1" customHeight="1">
      <c r="A309" s="143" t="s">
        <v>250</v>
      </c>
      <c r="B309" s="143" t="s">
        <v>251</v>
      </c>
      <c r="C309" s="404"/>
      <c r="D309" s="990"/>
      <c r="E309" s="355"/>
      <c r="F309" s="79" t="str">
        <f>INDEX(PT_DIFFERENTIATION_VTAR,MATCH(A309,PT_DIFFERENTIATION_VTAR_ID,0))</f>
        <v xml:space="preserve">Тариф на подключение (технологическое присоединение) к централизованной системе холодного водоснабжения</v>
      </c>
      <c r="G309" s="914" t="str">
        <f>INDEX(PT_DIFFERENTIATION_NTAR,MATCH(B309,PT_DIFFERENTIATION_NTAR_ID,0))</f>
        <v/>
      </c>
      <c r="H309" s="426"/>
      <c r="I309" s="980"/>
      <c r="J309" s="981"/>
      <c r="K309" s="442"/>
      <c r="L309" s="426" t="s">
        <v>311</v>
      </c>
      <c r="M309" s="976"/>
      <c r="N309" s="791"/>
      <c r="O309" s="129"/>
      <c r="P309" s="129"/>
      <c r="AH309" s="50">
        <v>0</v>
      </c>
    </row>
    <row r="310" s="50" customFormat="1" ht="18.75" hidden="1" customHeight="1">
      <c r="A310" s="143"/>
      <c r="B310" s="143"/>
      <c r="C310" s="404" t="s">
        <v>1150</v>
      </c>
      <c r="D310" s="990"/>
      <c r="E310" s="355"/>
      <c r="F310" s="79"/>
      <c r="G310" s="914"/>
      <c r="H310" s="711"/>
      <c r="I310" s="177" t="s">
        <v>1149</v>
      </c>
      <c r="J310" s="235"/>
      <c r="K310" s="711"/>
      <c r="L310" s="842"/>
      <c r="M310" s="976"/>
      <c r="N310" s="791"/>
      <c r="O310" s="129"/>
      <c r="P310" s="129"/>
      <c r="AH310" s="50">
        <v>0</v>
      </c>
    </row>
    <row r="311" s="50" customFormat="1" ht="0.75" hidden="1" customHeight="1">
      <c r="A311" s="143"/>
      <c r="B311" s="143"/>
      <c r="C311" s="404" t="s">
        <v>1158</v>
      </c>
      <c r="D311" s="990"/>
      <c r="E311" s="355"/>
      <c r="F311" s="79"/>
      <c r="G311" s="989"/>
      <c r="H311" s="711"/>
      <c r="I311" s="177"/>
      <c r="J311" s="235"/>
      <c r="K311" s="711"/>
      <c r="L311" s="842"/>
      <c r="M311" s="976"/>
      <c r="N311" s="791"/>
      <c r="O311" s="129"/>
      <c r="P311" s="129"/>
      <c r="AH311" s="50">
        <v>0</v>
      </c>
    </row>
    <row r="312" s="50" customFormat="1" ht="18.75" hidden="1" customHeight="1">
      <c r="A312" s="143" t="s">
        <v>255</v>
      </c>
      <c r="B312" s="143" t="s">
        <v>256</v>
      </c>
      <c r="C312" s="404"/>
      <c r="D312" s="990"/>
      <c r="E312" s="355"/>
      <c r="F312" s="79" t="str">
        <f>INDEX(PT_DIFFERENTIATION_VTAR,MATCH(A312,PT_DIFFERENTIATION_VTAR_ID,0))</f>
        <v xml:space="preserve">Тариф на горячую воду (горячее водоснабжение)</v>
      </c>
      <c r="G312" s="914" t="str">
        <f>INDEX(PT_DIFFERENTIATION_NTAR,MATCH(B312,PT_DIFFERENTIATION_NTAR_ID,0))</f>
        <v/>
      </c>
      <c r="H312" s="426"/>
      <c r="I312" s="980"/>
      <c r="J312" s="981"/>
      <c r="K312" s="442"/>
      <c r="L312" s="426" t="s">
        <v>311</v>
      </c>
      <c r="M312" s="976"/>
      <c r="N312" s="791"/>
      <c r="O312" s="129"/>
      <c r="P312" s="129"/>
      <c r="AH312" s="50">
        <v>0</v>
      </c>
    </row>
    <row r="313" s="50" customFormat="1" ht="18.75" hidden="1" customHeight="1">
      <c r="A313" s="143"/>
      <c r="B313" s="143"/>
      <c r="C313" s="404" t="s">
        <v>1150</v>
      </c>
      <c r="D313" s="990"/>
      <c r="E313" s="355"/>
      <c r="F313" s="79"/>
      <c r="G313" s="914"/>
      <c r="H313" s="711"/>
      <c r="I313" s="177" t="s">
        <v>1149</v>
      </c>
      <c r="J313" s="235"/>
      <c r="K313" s="711"/>
      <c r="L313" s="842"/>
      <c r="M313" s="976"/>
      <c r="N313" s="791"/>
      <c r="O313" s="129"/>
      <c r="P313" s="129"/>
      <c r="AH313" s="50">
        <v>0</v>
      </c>
    </row>
    <row r="314" s="50" customFormat="1" ht="0.75" hidden="1" customHeight="1">
      <c r="A314" s="143"/>
      <c r="B314" s="143"/>
      <c r="C314" s="404" t="s">
        <v>1158</v>
      </c>
      <c r="D314" s="990"/>
      <c r="E314" s="355"/>
      <c r="F314" s="79"/>
      <c r="G314" s="989"/>
      <c r="H314" s="711"/>
      <c r="I314" s="177"/>
      <c r="J314" s="235"/>
      <c r="K314" s="711"/>
      <c r="L314" s="842"/>
      <c r="M314" s="976"/>
      <c r="N314" s="791"/>
      <c r="O314" s="129"/>
      <c r="P314" s="129"/>
      <c r="AH314" s="50">
        <v>0</v>
      </c>
    </row>
    <row r="315" s="50" customFormat="1" ht="18.75" hidden="1" customHeight="1">
      <c r="A315" s="143" t="s">
        <v>260</v>
      </c>
      <c r="B315" s="143" t="s">
        <v>261</v>
      </c>
      <c r="C315" s="404"/>
      <c r="D315" s="990"/>
      <c r="E315" s="355"/>
      <c r="F315" s="79" t="str">
        <f>INDEX(PT_DIFFERENTIATION_VTAR,MATCH(A315,PT_DIFFERENTIATION_VTAR_ID,0))</f>
        <v xml:space="preserve">Тариф на транспортировку горячей воды</v>
      </c>
      <c r="G315" s="914" t="str">
        <f>INDEX(PT_DIFFERENTIATION_NTAR,MATCH(B315,PT_DIFFERENTIATION_NTAR_ID,0))</f>
        <v/>
      </c>
      <c r="H315" s="426"/>
      <c r="I315" s="980"/>
      <c r="J315" s="981"/>
      <c r="K315" s="442"/>
      <c r="L315" s="426" t="s">
        <v>311</v>
      </c>
      <c r="M315" s="976"/>
      <c r="N315" s="791"/>
      <c r="O315" s="129"/>
      <c r="P315" s="129"/>
      <c r="AH315" s="50">
        <v>0</v>
      </c>
    </row>
    <row r="316" s="50" customFormat="1" ht="18.75" hidden="1" customHeight="1">
      <c r="A316" s="143"/>
      <c r="B316" s="143"/>
      <c r="C316" s="404" t="s">
        <v>1150</v>
      </c>
      <c r="D316" s="990"/>
      <c r="E316" s="355"/>
      <c r="F316" s="79"/>
      <c r="G316" s="914"/>
      <c r="H316" s="711"/>
      <c r="I316" s="177" t="s">
        <v>1149</v>
      </c>
      <c r="J316" s="235"/>
      <c r="K316" s="711"/>
      <c r="L316" s="842"/>
      <c r="M316" s="976"/>
      <c r="N316" s="791"/>
      <c r="O316" s="129"/>
      <c r="P316" s="129"/>
      <c r="AH316" s="50">
        <v>0</v>
      </c>
    </row>
    <row r="317" s="50" customFormat="1" ht="0.75" hidden="1" customHeight="1">
      <c r="A317" s="143"/>
      <c r="B317" s="143"/>
      <c r="C317" s="404" t="s">
        <v>1158</v>
      </c>
      <c r="D317" s="990"/>
      <c r="E317" s="355"/>
      <c r="F317" s="79"/>
      <c r="G317" s="989"/>
      <c r="H317" s="711"/>
      <c r="I317" s="177"/>
      <c r="J317" s="235"/>
      <c r="K317" s="711"/>
      <c r="L317" s="842"/>
      <c r="M317" s="976"/>
      <c r="N317" s="791"/>
      <c r="O317" s="129"/>
      <c r="P317" s="129"/>
      <c r="AH317" s="50">
        <v>0</v>
      </c>
    </row>
    <row r="318" s="50" customFormat="1" ht="18.75" hidden="1" customHeight="1">
      <c r="A318" s="143" t="s">
        <v>265</v>
      </c>
      <c r="B318" s="143" t="s">
        <v>266</v>
      </c>
      <c r="C318" s="404"/>
      <c r="D318" s="990"/>
      <c r="E318" s="355"/>
      <c r="F318" s="79" t="str">
        <f>INDEX(PT_DIFFERENTIATION_VTAR,MATCH(A318,PT_DIFFERENTIATION_VTAR_ID,0))</f>
        <v xml:space="preserve">Тариф на подключение (технологическое присоединение) к централизованной системе горячего водоснабжения</v>
      </c>
      <c r="G318" s="914" t="str">
        <f>INDEX(PT_DIFFERENTIATION_NTAR,MATCH(B318,PT_DIFFERENTIATION_NTAR_ID,0))</f>
        <v/>
      </c>
      <c r="H318" s="426"/>
      <c r="I318" s="980"/>
      <c r="J318" s="981"/>
      <c r="K318" s="442"/>
      <c r="L318" s="426" t="s">
        <v>311</v>
      </c>
      <c r="M318" s="976"/>
      <c r="N318" s="791"/>
      <c r="O318" s="129"/>
      <c r="P318" s="129"/>
      <c r="AH318" s="50">
        <v>0</v>
      </c>
    </row>
    <row r="319" s="50" customFormat="1" ht="18.75" hidden="1" customHeight="1">
      <c r="A319" s="143"/>
      <c r="B319" s="143"/>
      <c r="C319" s="404" t="s">
        <v>1150</v>
      </c>
      <c r="D319" s="990"/>
      <c r="E319" s="355"/>
      <c r="F319" s="79"/>
      <c r="G319" s="914"/>
      <c r="H319" s="711"/>
      <c r="I319" s="177" t="s">
        <v>1149</v>
      </c>
      <c r="J319" s="235"/>
      <c r="K319" s="711"/>
      <c r="L319" s="842"/>
      <c r="M319" s="976"/>
      <c r="N319" s="791"/>
      <c r="O319" s="129"/>
      <c r="P319" s="129"/>
      <c r="AH319" s="50">
        <v>0</v>
      </c>
    </row>
    <row r="320" s="50" customFormat="1" ht="0.75" hidden="1" customHeight="1">
      <c r="A320" s="143"/>
      <c r="B320" s="143"/>
      <c r="C320" s="404" t="s">
        <v>1158</v>
      </c>
      <c r="D320" s="990"/>
      <c r="E320" s="355"/>
      <c r="F320" s="79"/>
      <c r="G320" s="989"/>
      <c r="H320" s="711"/>
      <c r="I320" s="177"/>
      <c r="J320" s="235"/>
      <c r="K320" s="711"/>
      <c r="L320" s="842"/>
      <c r="M320" s="976"/>
      <c r="N320" s="791"/>
      <c r="O320" s="129"/>
      <c r="P320" s="129"/>
      <c r="AH320" s="50">
        <v>0</v>
      </c>
    </row>
    <row r="321" s="50" customFormat="1" ht="18.75" hidden="1" customHeight="1">
      <c r="A321" s="143" t="s">
        <v>270</v>
      </c>
      <c r="B321" s="143" t="s">
        <v>271</v>
      </c>
      <c r="C321" s="404"/>
      <c r="D321" s="990"/>
      <c r="E321" s="355"/>
      <c r="F321" s="79" t="str">
        <f>INDEX(PT_DIFFERENTIATION_VTAR,MATCH(A321,PT_DIFFERENTIATION_VTAR_ID,0))</f>
        <v xml:space="preserve">Тариф на водоотведение</v>
      </c>
      <c r="G321" s="914" t="str">
        <f>INDEX(PT_DIFFERENTIATION_NTAR,MATCH(B321,PT_DIFFERENTIATION_NTAR_ID,0))</f>
        <v/>
      </c>
      <c r="H321" s="426"/>
      <c r="I321" s="980"/>
      <c r="J321" s="981"/>
      <c r="K321" s="442"/>
      <c r="L321" s="426" t="s">
        <v>311</v>
      </c>
      <c r="M321" s="976"/>
      <c r="N321" s="791"/>
      <c r="O321" s="129"/>
      <c r="P321" s="129"/>
      <c r="AH321" s="50">
        <v>0</v>
      </c>
    </row>
    <row r="322" s="50" customFormat="1" ht="18.75" hidden="1" customHeight="1">
      <c r="A322" s="143"/>
      <c r="B322" s="143"/>
      <c r="C322" s="404" t="s">
        <v>1150</v>
      </c>
      <c r="D322" s="990"/>
      <c r="E322" s="355"/>
      <c r="F322" s="79"/>
      <c r="G322" s="914"/>
      <c r="H322" s="711"/>
      <c r="I322" s="177" t="s">
        <v>1149</v>
      </c>
      <c r="J322" s="235"/>
      <c r="K322" s="711"/>
      <c r="L322" s="842"/>
      <c r="M322" s="976"/>
      <c r="N322" s="791"/>
      <c r="O322" s="129"/>
      <c r="P322" s="129"/>
      <c r="AH322" s="50">
        <v>0</v>
      </c>
    </row>
    <row r="323" s="50" customFormat="1" ht="0.75" hidden="1" customHeight="1">
      <c r="A323" s="143"/>
      <c r="B323" s="143"/>
      <c r="C323" s="404" t="s">
        <v>1158</v>
      </c>
      <c r="D323" s="990"/>
      <c r="E323" s="355"/>
      <c r="F323" s="79"/>
      <c r="G323" s="989"/>
      <c r="H323" s="711"/>
      <c r="I323" s="177"/>
      <c r="J323" s="235"/>
      <c r="K323" s="711"/>
      <c r="L323" s="842"/>
      <c r="M323" s="976"/>
      <c r="N323" s="791"/>
      <c r="O323" s="129"/>
      <c r="P323" s="129"/>
      <c r="AH323" s="50">
        <v>0</v>
      </c>
    </row>
    <row r="324" s="50" customFormat="1" ht="18.75" hidden="1" customHeight="1">
      <c r="A324" s="143" t="s">
        <v>275</v>
      </c>
      <c r="B324" s="143" t="s">
        <v>276</v>
      </c>
      <c r="C324" s="404"/>
      <c r="D324" s="990"/>
      <c r="E324" s="355"/>
      <c r="F324" s="79" t="str">
        <f>INDEX(PT_DIFFERENTIATION_VTAR,MATCH(A324,PT_DIFFERENTIATION_VTAR_ID,0))</f>
        <v xml:space="preserve">Тариф на транспортировку сточных вод</v>
      </c>
      <c r="G324" s="914" t="str">
        <f>INDEX(PT_DIFFERENTIATION_NTAR,MATCH(B324,PT_DIFFERENTIATION_NTAR_ID,0))</f>
        <v/>
      </c>
      <c r="H324" s="426"/>
      <c r="I324" s="980"/>
      <c r="J324" s="981"/>
      <c r="K324" s="442"/>
      <c r="L324" s="426" t="s">
        <v>311</v>
      </c>
      <c r="M324" s="976"/>
      <c r="N324" s="791"/>
      <c r="O324" s="129"/>
      <c r="P324" s="129"/>
      <c r="AH324" s="50">
        <v>0</v>
      </c>
    </row>
    <row r="325" s="50" customFormat="1" ht="18.75" hidden="1" customHeight="1">
      <c r="A325" s="143"/>
      <c r="B325" s="143"/>
      <c r="C325" s="404" t="s">
        <v>1150</v>
      </c>
      <c r="D325" s="990"/>
      <c r="E325" s="355"/>
      <c r="F325" s="79"/>
      <c r="G325" s="914"/>
      <c r="H325" s="711"/>
      <c r="I325" s="177" t="s">
        <v>1149</v>
      </c>
      <c r="J325" s="235"/>
      <c r="K325" s="711"/>
      <c r="L325" s="842"/>
      <c r="M325" s="976"/>
      <c r="N325" s="791"/>
      <c r="O325" s="129"/>
      <c r="P325" s="129"/>
      <c r="AH325" s="50">
        <v>0</v>
      </c>
    </row>
    <row r="326" s="50" customFormat="1" ht="0.75" hidden="1" customHeight="1">
      <c r="A326" s="143"/>
      <c r="B326" s="143"/>
      <c r="C326" s="404" t="s">
        <v>1158</v>
      </c>
      <c r="D326" s="990"/>
      <c r="E326" s="355"/>
      <c r="F326" s="79"/>
      <c r="G326" s="989"/>
      <c r="H326" s="711"/>
      <c r="I326" s="177"/>
      <c r="J326" s="235"/>
      <c r="K326" s="711"/>
      <c r="L326" s="842"/>
      <c r="M326" s="976"/>
      <c r="N326" s="791"/>
      <c r="O326" s="129"/>
      <c r="P326" s="129"/>
      <c r="AH326" s="50">
        <v>0</v>
      </c>
    </row>
    <row r="327" s="50" customFormat="1" ht="18.75" hidden="1" customHeight="1">
      <c r="A327" s="143" t="s">
        <v>280</v>
      </c>
      <c r="B327" s="143" t="s">
        <v>281</v>
      </c>
      <c r="C327" s="404"/>
      <c r="D327" s="990"/>
      <c r="E327" s="355"/>
      <c r="F327" s="79" t="str">
        <f>INDEX(PT_DIFFERENTIATION_VTAR,MATCH(A327,PT_DIFFERENTIATION_VTAR_ID,0))</f>
        <v xml:space="preserve">Тариф на подключение (технологическое присоединение) к централизованной системе водоотведения</v>
      </c>
      <c r="G327" s="914" t="str">
        <f>INDEX(PT_DIFFERENTIATION_NTAR,MATCH(B327,PT_DIFFERENTIATION_NTAR_ID,0))</f>
        <v/>
      </c>
      <c r="H327" s="426"/>
      <c r="I327" s="980"/>
      <c r="J327" s="981"/>
      <c r="K327" s="442"/>
      <c r="L327" s="426" t="s">
        <v>311</v>
      </c>
      <c r="M327" s="976"/>
      <c r="N327" s="791"/>
      <c r="O327" s="129"/>
      <c r="P327" s="129"/>
      <c r="AH327" s="50">
        <v>0</v>
      </c>
    </row>
    <row r="328" s="50" customFormat="1" ht="18.75" hidden="1" customHeight="1">
      <c r="A328" s="143"/>
      <c r="B328" s="143"/>
      <c r="C328" s="404" t="s">
        <v>1150</v>
      </c>
      <c r="D328" s="990"/>
      <c r="E328" s="355"/>
      <c r="F328" s="79"/>
      <c r="G328" s="914"/>
      <c r="H328" s="711"/>
      <c r="I328" s="177" t="s">
        <v>1149</v>
      </c>
      <c r="J328" s="235"/>
      <c r="K328" s="711"/>
      <c r="L328" s="842"/>
      <c r="M328" s="976"/>
      <c r="N328" s="791"/>
      <c r="O328" s="129"/>
      <c r="P328" s="129"/>
      <c r="AH328" s="50">
        <v>0</v>
      </c>
    </row>
    <row r="329" s="50" customFormat="1" ht="1.05" customHeight="1">
      <c r="A329" s="143"/>
      <c r="B329" s="143"/>
      <c r="C329" s="404" t="s">
        <v>1158</v>
      </c>
      <c r="D329" s="990"/>
      <c r="E329" s="355"/>
      <c r="F329" s="79"/>
      <c r="G329" s="989"/>
      <c r="H329" s="711"/>
      <c r="I329" s="177"/>
      <c r="J329" s="235"/>
      <c r="K329" s="711"/>
      <c r="L329" s="842"/>
      <c r="M329" s="976"/>
      <c r="N329" s="791"/>
      <c r="O329" s="129"/>
      <c r="P329" s="129"/>
      <c r="AH329" s="50">
        <v>1</v>
      </c>
    </row>
    <row r="330" s="143" customFormat="1" ht="3" customHeight="1">
      <c r="A330" s="143"/>
      <c r="B330" s="143"/>
      <c r="C330" s="143"/>
      <c r="E330" s="994"/>
      <c r="F330" s="994"/>
      <c r="G330" s="994"/>
      <c r="H330" s="994"/>
      <c r="I330" s="994"/>
      <c r="J330" s="994"/>
      <c r="K330" s="994"/>
      <c r="L330" s="994"/>
      <c r="M330" s="994"/>
      <c r="O330" s="167"/>
      <c r="P330" s="167"/>
      <c r="AH330" s="143">
        <v>3</v>
      </c>
    </row>
    <row r="331" ht="26.25" customHeight="1">
      <c r="E331" s="995"/>
      <c r="F331" s="583"/>
      <c r="G331" s="583"/>
      <c r="H331" s="583"/>
      <c r="I331" s="583"/>
      <c r="J331" s="583"/>
      <c r="K331" s="583"/>
      <c r="L331" s="583"/>
      <c r="M331" s="583"/>
      <c r="AH331" s="50">
        <v>25</v>
      </c>
    </row>
    <row r="332" ht="14.25" hidden="1" customHeight="1">
      <c r="A332" s="11" t="s">
        <v>83</v>
      </c>
      <c r="B332" s="11">
        <v>0</v>
      </c>
      <c r="C332" s="404">
        <v>0</v>
      </c>
      <c r="D332" s="487">
        <v>3</v>
      </c>
      <c r="E332" s="50">
        <v>6</v>
      </c>
      <c r="F332" s="50">
        <v>46</v>
      </c>
      <c r="G332" s="50">
        <v>35</v>
      </c>
      <c r="H332" s="50">
        <v>3</v>
      </c>
      <c r="I332" s="50">
        <v>11</v>
      </c>
      <c r="J332" s="50">
        <v>11</v>
      </c>
      <c r="K332" s="50">
        <v>35</v>
      </c>
      <c r="L332" s="50">
        <v>35</v>
      </c>
      <c r="M332" s="50">
        <v>84</v>
      </c>
      <c r="N332" s="50">
        <v>10</v>
      </c>
      <c r="O332" s="129">
        <v>10</v>
      </c>
      <c r="P332" s="129">
        <v>10</v>
      </c>
      <c r="Q332" s="50">
        <v>10</v>
      </c>
      <c r="R332" s="50">
        <v>10</v>
      </c>
      <c r="S332" s="50">
        <v>10</v>
      </c>
      <c r="T332" s="50">
        <v>10</v>
      </c>
      <c r="U332" s="50">
        <v>10</v>
      </c>
      <c r="V332" s="50">
        <v>10</v>
      </c>
      <c r="W332" s="50">
        <v>10</v>
      </c>
      <c r="X332" s="50">
        <v>10</v>
      </c>
      <c r="Y332" s="50">
        <v>10</v>
      </c>
      <c r="Z332" s="50">
        <v>10</v>
      </c>
      <c r="AA332" s="50">
        <v>10</v>
      </c>
      <c r="AB332" s="50">
        <v>10</v>
      </c>
      <c r="AC332" s="50">
        <v>10</v>
      </c>
      <c r="AD332" s="50">
        <v>10</v>
      </c>
      <c r="AE332" s="50">
        <v>10</v>
      </c>
      <c r="AF332" s="50">
        <v>10</v>
      </c>
      <c r="AG332" s="50">
        <v>10</v>
      </c>
      <c r="AH332" s="50">
        <v>14</v>
      </c>
    </row>
  </sheetData>
  <sheetProtection autoFilter="0" deleteColumns="1" deleteRows="1" formatCells="1" formatColumns="0" formatRows="0" insertColumns="1" insertHyperlinks="1" insertRows="1" objects="0" pivotTables="1" scenarios="0" selectLockedCells="0" selectUnlockedCells="0" sheet="1" sort="1"/>
  <mergeCells count="428">
    <mergeCell ref="G2:G3"/>
    <mergeCell ref="G5:G6"/>
    <mergeCell ref="E14:L14"/>
    <mergeCell ref="G16:L16"/>
    <mergeCell ref="G17:L17"/>
    <mergeCell ref="E19:L19"/>
    <mergeCell ref="M19:M21"/>
    <mergeCell ref="E20:E21"/>
    <mergeCell ref="F20:F21"/>
    <mergeCell ref="G20:G21"/>
    <mergeCell ref="H20:J20"/>
    <mergeCell ref="K20:K21"/>
    <mergeCell ref="L20:L21"/>
    <mergeCell ref="H21:I21"/>
    <mergeCell ref="H22:I22"/>
    <mergeCell ref="F23:L23"/>
    <mergeCell ref="D24:D26"/>
    <mergeCell ref="E24:E26"/>
    <mergeCell ref="F24:F26"/>
    <mergeCell ref="G24:G25"/>
    <mergeCell ref="M24:M83"/>
    <mergeCell ref="D27:D29"/>
    <mergeCell ref="E27:E29"/>
    <mergeCell ref="F27:F29"/>
    <mergeCell ref="G27:G28"/>
    <mergeCell ref="D30:D32"/>
    <mergeCell ref="E30:E32"/>
    <mergeCell ref="F30:F32"/>
    <mergeCell ref="G30:G31"/>
    <mergeCell ref="D33:D35"/>
    <mergeCell ref="E33:E35"/>
    <mergeCell ref="F33:F35"/>
    <mergeCell ref="G33:G34"/>
    <mergeCell ref="D36:D38"/>
    <mergeCell ref="E36:E38"/>
    <mergeCell ref="F36:F38"/>
    <mergeCell ref="G36:G37"/>
    <mergeCell ref="D39:D41"/>
    <mergeCell ref="E39:E41"/>
    <mergeCell ref="F39:F41"/>
    <mergeCell ref="G39:G40"/>
    <mergeCell ref="D42:D44"/>
    <mergeCell ref="E42:E44"/>
    <mergeCell ref="F42:F44"/>
    <mergeCell ref="G42:G43"/>
    <mergeCell ref="D45:D47"/>
    <mergeCell ref="E45:E47"/>
    <mergeCell ref="F45:F47"/>
    <mergeCell ref="G45:G46"/>
    <mergeCell ref="D48:D50"/>
    <mergeCell ref="E48:E50"/>
    <mergeCell ref="F48:F50"/>
    <mergeCell ref="G48:G49"/>
    <mergeCell ref="D51:D53"/>
    <mergeCell ref="E51:E53"/>
    <mergeCell ref="F51:F53"/>
    <mergeCell ref="G51:G52"/>
    <mergeCell ref="D54:D56"/>
    <mergeCell ref="E54:E56"/>
    <mergeCell ref="F54:F56"/>
    <mergeCell ref="G54:G55"/>
    <mergeCell ref="D57:D59"/>
    <mergeCell ref="E57:E59"/>
    <mergeCell ref="F57:F59"/>
    <mergeCell ref="G57:G58"/>
    <mergeCell ref="D60:D62"/>
    <mergeCell ref="E60:E62"/>
    <mergeCell ref="F60:F62"/>
    <mergeCell ref="G60:G61"/>
    <mergeCell ref="D63:D65"/>
    <mergeCell ref="E63:E65"/>
    <mergeCell ref="F63:F65"/>
    <mergeCell ref="G63:G64"/>
    <mergeCell ref="D66:D68"/>
    <mergeCell ref="E66:E68"/>
    <mergeCell ref="F66:F68"/>
    <mergeCell ref="G66:G67"/>
    <mergeCell ref="D69:D71"/>
    <mergeCell ref="E69:E71"/>
    <mergeCell ref="F69:F71"/>
    <mergeCell ref="G69:G70"/>
    <mergeCell ref="D72:D74"/>
    <mergeCell ref="E72:E74"/>
    <mergeCell ref="F72:F74"/>
    <mergeCell ref="G72:G73"/>
    <mergeCell ref="D75:D77"/>
    <mergeCell ref="E75:E77"/>
    <mergeCell ref="F75:F77"/>
    <mergeCell ref="G75:G76"/>
    <mergeCell ref="D78:D80"/>
    <mergeCell ref="E78:E80"/>
    <mergeCell ref="F78:F80"/>
    <mergeCell ref="G78:G79"/>
    <mergeCell ref="D81:D83"/>
    <mergeCell ref="E81:E83"/>
    <mergeCell ref="F81:F83"/>
    <mergeCell ref="G81:G82"/>
    <mergeCell ref="F84:L84"/>
    <mergeCell ref="H85:I85"/>
    <mergeCell ref="F86:L86"/>
    <mergeCell ref="D87:D89"/>
    <mergeCell ref="E87:E89"/>
    <mergeCell ref="F87:F89"/>
    <mergeCell ref="G87:G88"/>
    <mergeCell ref="M87:M90"/>
    <mergeCell ref="D90:D92"/>
    <mergeCell ref="E90:E92"/>
    <mergeCell ref="F90:F92"/>
    <mergeCell ref="G90:G91"/>
    <mergeCell ref="D93:D95"/>
    <mergeCell ref="E93:E95"/>
    <mergeCell ref="F93:F95"/>
    <mergeCell ref="G93:G94"/>
    <mergeCell ref="D96:D98"/>
    <mergeCell ref="E96:E98"/>
    <mergeCell ref="F96:F98"/>
    <mergeCell ref="G96:G97"/>
    <mergeCell ref="D99:D101"/>
    <mergeCell ref="E99:E101"/>
    <mergeCell ref="F99:F101"/>
    <mergeCell ref="G99:G100"/>
    <mergeCell ref="D102:D104"/>
    <mergeCell ref="E102:E104"/>
    <mergeCell ref="F102:F104"/>
    <mergeCell ref="G102:G103"/>
    <mergeCell ref="D105:D107"/>
    <mergeCell ref="E105:E107"/>
    <mergeCell ref="F105:F107"/>
    <mergeCell ref="G105:G106"/>
    <mergeCell ref="D108:D110"/>
    <mergeCell ref="E108:E110"/>
    <mergeCell ref="F108:F110"/>
    <mergeCell ref="G108:G109"/>
    <mergeCell ref="D111:D113"/>
    <mergeCell ref="E111:E113"/>
    <mergeCell ref="F111:F113"/>
    <mergeCell ref="G111:G112"/>
    <mergeCell ref="D114:D116"/>
    <mergeCell ref="E114:E116"/>
    <mergeCell ref="F114:F116"/>
    <mergeCell ref="G114:G115"/>
    <mergeCell ref="D117:D119"/>
    <mergeCell ref="E117:E119"/>
    <mergeCell ref="F117:F119"/>
    <mergeCell ref="G117:G118"/>
    <mergeCell ref="D120:D122"/>
    <mergeCell ref="E120:E122"/>
    <mergeCell ref="F120:F122"/>
    <mergeCell ref="G120:G121"/>
    <mergeCell ref="D123:D125"/>
    <mergeCell ref="E123:E125"/>
    <mergeCell ref="F123:F125"/>
    <mergeCell ref="G123:G124"/>
    <mergeCell ref="D126:D128"/>
    <mergeCell ref="E126:E128"/>
    <mergeCell ref="F126:F128"/>
    <mergeCell ref="G126:G127"/>
    <mergeCell ref="D129:D131"/>
    <mergeCell ref="E129:E131"/>
    <mergeCell ref="F129:F131"/>
    <mergeCell ref="G129:G130"/>
    <mergeCell ref="D132:D134"/>
    <mergeCell ref="E132:E134"/>
    <mergeCell ref="F132:F134"/>
    <mergeCell ref="G132:G133"/>
    <mergeCell ref="D135:D137"/>
    <mergeCell ref="E135:E137"/>
    <mergeCell ref="F135:F137"/>
    <mergeCell ref="G135:G136"/>
    <mergeCell ref="D138:D140"/>
    <mergeCell ref="E138:E140"/>
    <mergeCell ref="F138:F140"/>
    <mergeCell ref="G138:G139"/>
    <mergeCell ref="D141:D143"/>
    <mergeCell ref="E141:E143"/>
    <mergeCell ref="F141:F143"/>
    <mergeCell ref="G141:G142"/>
    <mergeCell ref="D144:D146"/>
    <mergeCell ref="E144:E146"/>
    <mergeCell ref="F144:F146"/>
    <mergeCell ref="G144:G145"/>
    <mergeCell ref="F147:L147"/>
    <mergeCell ref="D148:D150"/>
    <mergeCell ref="E148:E150"/>
    <mergeCell ref="F148:F150"/>
    <mergeCell ref="G148:G149"/>
    <mergeCell ref="M148:M151"/>
    <mergeCell ref="D151:D153"/>
    <mergeCell ref="E151:E153"/>
    <mergeCell ref="F151:F153"/>
    <mergeCell ref="G151:G152"/>
    <mergeCell ref="D154:D156"/>
    <mergeCell ref="E154:E156"/>
    <mergeCell ref="F154:F156"/>
    <mergeCell ref="G154:G155"/>
    <mergeCell ref="D157:D159"/>
    <mergeCell ref="E157:E159"/>
    <mergeCell ref="F157:F159"/>
    <mergeCell ref="G157:G158"/>
    <mergeCell ref="D160:D162"/>
    <mergeCell ref="E160:E162"/>
    <mergeCell ref="F160:F162"/>
    <mergeCell ref="G160:G161"/>
    <mergeCell ref="D163:D165"/>
    <mergeCell ref="E163:E165"/>
    <mergeCell ref="F163:F165"/>
    <mergeCell ref="G163:G164"/>
    <mergeCell ref="D166:D168"/>
    <mergeCell ref="E166:E168"/>
    <mergeCell ref="F166:F168"/>
    <mergeCell ref="G166:G167"/>
    <mergeCell ref="D169:D171"/>
    <mergeCell ref="E169:E171"/>
    <mergeCell ref="F169:F171"/>
    <mergeCell ref="G169:G170"/>
    <mergeCell ref="D172:D174"/>
    <mergeCell ref="E172:E174"/>
    <mergeCell ref="F172:F174"/>
    <mergeCell ref="G172:G173"/>
    <mergeCell ref="D175:D177"/>
    <mergeCell ref="E175:E177"/>
    <mergeCell ref="F175:F177"/>
    <mergeCell ref="G175:G176"/>
    <mergeCell ref="D178:D180"/>
    <mergeCell ref="E178:E180"/>
    <mergeCell ref="F178:F180"/>
    <mergeCell ref="G178:G179"/>
    <mergeCell ref="D181:D183"/>
    <mergeCell ref="E181:E183"/>
    <mergeCell ref="F181:F183"/>
    <mergeCell ref="G181:G182"/>
    <mergeCell ref="D184:D186"/>
    <mergeCell ref="E184:E186"/>
    <mergeCell ref="F184:F186"/>
    <mergeCell ref="G184:G185"/>
    <mergeCell ref="D187:D189"/>
    <mergeCell ref="E187:E189"/>
    <mergeCell ref="F187:F189"/>
    <mergeCell ref="G187:G188"/>
    <mergeCell ref="D190:D192"/>
    <mergeCell ref="E190:E192"/>
    <mergeCell ref="F190:F192"/>
    <mergeCell ref="G190:G191"/>
    <mergeCell ref="D193:D195"/>
    <mergeCell ref="E193:E195"/>
    <mergeCell ref="F193:F195"/>
    <mergeCell ref="G193:G194"/>
    <mergeCell ref="D196:D198"/>
    <mergeCell ref="E196:E198"/>
    <mergeCell ref="F196:F198"/>
    <mergeCell ref="G196:G197"/>
    <mergeCell ref="D199:D201"/>
    <mergeCell ref="E199:E201"/>
    <mergeCell ref="F199:F201"/>
    <mergeCell ref="G199:G200"/>
    <mergeCell ref="D202:D204"/>
    <mergeCell ref="E202:E204"/>
    <mergeCell ref="F202:F204"/>
    <mergeCell ref="G202:G203"/>
    <mergeCell ref="D205:D207"/>
    <mergeCell ref="E205:E207"/>
    <mergeCell ref="F205:F207"/>
    <mergeCell ref="G205:G206"/>
    <mergeCell ref="F208:L208"/>
    <mergeCell ref="D209:D211"/>
    <mergeCell ref="E209:E211"/>
    <mergeCell ref="F209:F211"/>
    <mergeCell ref="G209:G210"/>
    <mergeCell ref="M209:M212"/>
    <mergeCell ref="D212:D214"/>
    <mergeCell ref="E212:E214"/>
    <mergeCell ref="F212:F214"/>
    <mergeCell ref="G212:G213"/>
    <mergeCell ref="D215:D217"/>
    <mergeCell ref="E215:E217"/>
    <mergeCell ref="F215:F217"/>
    <mergeCell ref="G215:G216"/>
    <mergeCell ref="D218:D220"/>
    <mergeCell ref="E218:E220"/>
    <mergeCell ref="F218:F220"/>
    <mergeCell ref="G218:G219"/>
    <mergeCell ref="D221:D223"/>
    <mergeCell ref="E221:E223"/>
    <mergeCell ref="F221:F223"/>
    <mergeCell ref="G221:G222"/>
    <mergeCell ref="D224:D226"/>
    <mergeCell ref="E224:E226"/>
    <mergeCell ref="F224:F226"/>
    <mergeCell ref="G224:G225"/>
    <mergeCell ref="D227:D229"/>
    <mergeCell ref="E227:E229"/>
    <mergeCell ref="F227:F229"/>
    <mergeCell ref="G227:G228"/>
    <mergeCell ref="D230:D232"/>
    <mergeCell ref="E230:E232"/>
    <mergeCell ref="F230:F232"/>
    <mergeCell ref="G230:G231"/>
    <mergeCell ref="D233:D235"/>
    <mergeCell ref="E233:E235"/>
    <mergeCell ref="F233:F235"/>
    <mergeCell ref="G233:G234"/>
    <mergeCell ref="D236:D238"/>
    <mergeCell ref="E236:E238"/>
    <mergeCell ref="F236:F238"/>
    <mergeCell ref="G236:G237"/>
    <mergeCell ref="D239:D241"/>
    <mergeCell ref="E239:E241"/>
    <mergeCell ref="F239:F241"/>
    <mergeCell ref="G239:G240"/>
    <mergeCell ref="D242:D244"/>
    <mergeCell ref="E242:E244"/>
    <mergeCell ref="F242:F244"/>
    <mergeCell ref="G242:G243"/>
    <mergeCell ref="D245:D247"/>
    <mergeCell ref="E245:E247"/>
    <mergeCell ref="F245:F247"/>
    <mergeCell ref="G245:G246"/>
    <mergeCell ref="D248:D250"/>
    <mergeCell ref="E248:E250"/>
    <mergeCell ref="F248:F250"/>
    <mergeCell ref="G248:G249"/>
    <mergeCell ref="D251:D253"/>
    <mergeCell ref="E251:E253"/>
    <mergeCell ref="F251:F253"/>
    <mergeCell ref="G251:G252"/>
    <mergeCell ref="D254:D256"/>
    <mergeCell ref="E254:E256"/>
    <mergeCell ref="F254:F256"/>
    <mergeCell ref="G254:G255"/>
    <mergeCell ref="D257:D259"/>
    <mergeCell ref="E257:E259"/>
    <mergeCell ref="F257:F259"/>
    <mergeCell ref="G257:G258"/>
    <mergeCell ref="D260:D262"/>
    <mergeCell ref="E260:E262"/>
    <mergeCell ref="F260:F262"/>
    <mergeCell ref="G260:G261"/>
    <mergeCell ref="D263:D265"/>
    <mergeCell ref="E263:E265"/>
    <mergeCell ref="F263:F265"/>
    <mergeCell ref="G263:G264"/>
    <mergeCell ref="D266:D268"/>
    <mergeCell ref="E266:E268"/>
    <mergeCell ref="F266:F268"/>
    <mergeCell ref="G266:G267"/>
    <mergeCell ref="F269:L269"/>
    <mergeCell ref="D270:D272"/>
    <mergeCell ref="E270:E272"/>
    <mergeCell ref="F270:F272"/>
    <mergeCell ref="G270:G271"/>
    <mergeCell ref="M270:M273"/>
    <mergeCell ref="D273:D275"/>
    <mergeCell ref="E273:E275"/>
    <mergeCell ref="F273:F275"/>
    <mergeCell ref="G273:G274"/>
    <mergeCell ref="D276:D278"/>
    <mergeCell ref="E276:E278"/>
    <mergeCell ref="F276:F278"/>
    <mergeCell ref="G276:G277"/>
    <mergeCell ref="D279:D281"/>
    <mergeCell ref="E279:E281"/>
    <mergeCell ref="F279:F281"/>
    <mergeCell ref="G279:G280"/>
    <mergeCell ref="D282:D284"/>
    <mergeCell ref="E282:E284"/>
    <mergeCell ref="F282:F284"/>
    <mergeCell ref="G282:G283"/>
    <mergeCell ref="D285:D287"/>
    <mergeCell ref="E285:E287"/>
    <mergeCell ref="F285:F287"/>
    <mergeCell ref="G285:G286"/>
    <mergeCell ref="D288:D290"/>
    <mergeCell ref="E288:E290"/>
    <mergeCell ref="F288:F290"/>
    <mergeCell ref="G288:G289"/>
    <mergeCell ref="D291:D293"/>
    <mergeCell ref="E291:E293"/>
    <mergeCell ref="F291:F293"/>
    <mergeCell ref="G291:G292"/>
    <mergeCell ref="D294:D296"/>
    <mergeCell ref="E294:E296"/>
    <mergeCell ref="F294:F296"/>
    <mergeCell ref="G294:G295"/>
    <mergeCell ref="D297:D299"/>
    <mergeCell ref="E297:E299"/>
    <mergeCell ref="F297:F299"/>
    <mergeCell ref="G297:G298"/>
    <mergeCell ref="D300:D302"/>
    <mergeCell ref="E300:E302"/>
    <mergeCell ref="F300:F302"/>
    <mergeCell ref="G300:G301"/>
    <mergeCell ref="D303:D305"/>
    <mergeCell ref="E303:E305"/>
    <mergeCell ref="F303:F305"/>
    <mergeCell ref="G303:G304"/>
    <mergeCell ref="D306:D308"/>
    <mergeCell ref="E306:E308"/>
    <mergeCell ref="F306:F308"/>
    <mergeCell ref="G306:G307"/>
    <mergeCell ref="D309:D311"/>
    <mergeCell ref="E309:E311"/>
    <mergeCell ref="F309:F311"/>
    <mergeCell ref="G309:G310"/>
    <mergeCell ref="D312:D314"/>
    <mergeCell ref="E312:E314"/>
    <mergeCell ref="F312:F314"/>
    <mergeCell ref="G312:G313"/>
    <mergeCell ref="D315:D317"/>
    <mergeCell ref="E315:E317"/>
    <mergeCell ref="F315:F317"/>
    <mergeCell ref="G315:G316"/>
    <mergeCell ref="D318:D320"/>
    <mergeCell ref="E318:E320"/>
    <mergeCell ref="F318:F320"/>
    <mergeCell ref="G318:G319"/>
    <mergeCell ref="D321:D323"/>
    <mergeCell ref="E321:E323"/>
    <mergeCell ref="F321:F323"/>
    <mergeCell ref="G321:G322"/>
    <mergeCell ref="D324:D326"/>
    <mergeCell ref="E324:E326"/>
    <mergeCell ref="F324:F326"/>
    <mergeCell ref="G324:G325"/>
    <mergeCell ref="D327:D329"/>
    <mergeCell ref="E327:E329"/>
    <mergeCell ref="F327:F329"/>
    <mergeCell ref="G327:G328"/>
    <mergeCell ref="F331:M331"/>
  </mergeCells>
  <dataValidations count="1" disablePrompts="0">
    <dataValidation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3" disablePrompts="0">
        <x14:dataValidation xr:uid="{00ED0024-0091-4C75-AFA5-009000EE0055}" type="decimal" allowBlank="1" error="Допускается ввод только действительных чисел!" errorStyle="stop" errorTitle="Ошибка" imeMode="noControl" operator="between" showDropDown="0" showErrorMessage="1" showInputMessage="0">
          <x14:formula1>
            <xm:f>-9.99999999999999E+23</xm:f>
          </x14:formula1>
          <x14:formula2>
            <xm:f>9.99999999999999E+23</xm:f>
          </x14:formula2>
          <xm: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xm:sqref>
        </x14:dataValidation>
        <x14:dataValidation xr:uid="{00660070-002D-4230-A915-008400E80059}" type="textLength" allowBlank="1" error="Допускается ввод не более 900 символов!" errorStyle="stop" errorTitle="Ошибка" imeMode="noControl" operator="lessThanOrEqual" showDropDown="0" showErrorMessage="1" showInputMessage="1">
          <x14:formula1>
            <xm:f>900</xm:f>
          </x14:formula1>
          <xm:sqref>M148:M149 M209:M210 M23 M87:M88 M270:M271</xm:sqref>
        </x14:dataValidation>
        <x14:dataValidation xr:uid="{00130081-008B-4D0F-BF5E-00DE00180025}"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L85</xm:sqref>
        </x14:dataValidation>
      </x14:dataValidations>
    </ext>
  </extLst>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zoomScale="90" workbookViewId="0">
      <pane xSplit="5" ySplit="9" topLeftCell="F10" activePane="bottomRight" state="frozen"/>
      <selection activeCell="G11" activeCellId="0" sqref="G11"/>
    </sheetView>
  </sheetViews>
  <sheetFormatPr defaultColWidth="10.57421875" defaultRowHeight="14.25" customHeight="1"/>
  <cols>
    <col customWidth="1" hidden="1" min="1" max="1" style="60" width="9.140625"/>
    <col customWidth="1" hidden="1" min="2" max="2" style="53" width="9.140625"/>
    <col customWidth="1" min="3" max="3" style="487" width="3.00390625"/>
    <col customWidth="1" min="4" max="4" style="50" width="6.00390625"/>
    <col customWidth="1" min="5" max="5" style="50" width="53.00390625"/>
    <col customWidth="1" min="6" max="7" style="50" width="35.00390625"/>
    <col customWidth="1" min="8" max="8" style="50" width="89.00390625"/>
    <col customWidth="1" min="9" max="9" style="50" width="10.00390625"/>
    <col customWidth="1" min="10" max="11" style="129" width="10.00390625"/>
    <col customWidth="1" min="12" max="17" style="50" width="10.00390625"/>
    <col hidden="1" min="18" max="18" style="50" width="10.57421875"/>
  </cols>
  <sheetData>
    <row r="1" ht="22.5" hidden="1" customHeight="1">
      <c r="N1" s="830"/>
      <c r="O1" s="830"/>
      <c r="Q1" s="830"/>
      <c r="R1" s="50" t="s">
        <v>14</v>
      </c>
    </row>
    <row r="2" s="50" customFormat="1" ht="18.75" hidden="1" customHeight="1">
      <c r="A2" s="143"/>
      <c r="B2" s="53"/>
      <c r="C2" s="831" t="s">
        <v>693</v>
      </c>
      <c r="D2" s="355"/>
      <c r="E2" s="392"/>
      <c r="F2" s="977"/>
      <c r="G2" s="479"/>
      <c r="H2" s="50"/>
      <c r="I2" s="129"/>
      <c r="J2" s="129"/>
      <c r="R2" s="50">
        <v>0</v>
      </c>
    </row>
    <row r="3" ht="14.25" hidden="1" customHeight="1">
      <c r="R3" s="50">
        <v>0</v>
      </c>
    </row>
    <row r="4" ht="6.2999999999999998" customHeight="1">
      <c r="C4" s="548"/>
      <c r="D4" s="91"/>
      <c r="E4" s="91"/>
      <c r="F4" s="91"/>
      <c r="G4" s="833"/>
      <c r="H4" s="833"/>
      <c r="R4" s="50">
        <v>6</v>
      </c>
    </row>
    <row r="5" ht="34.5" customHeight="1">
      <c r="C5" s="548"/>
      <c r="D5" s="236" t="str">
        <f>PURCH_NAME_FORM</f>
        <v xml:space="preserve">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37"/>
      <c r="F5" s="237"/>
      <c r="G5" s="238"/>
      <c r="H5" s="239"/>
      <c r="R5" s="50">
        <v>33</v>
      </c>
    </row>
    <row r="6" s="50" customFormat="1" ht="18" customHeight="1">
      <c r="A6" s="60"/>
      <c r="B6" s="53"/>
      <c r="C6" s="548"/>
      <c r="D6" s="417" t="str">
        <f>IF(org=0,"Не определено",org)</f>
        <v xml:space="preserve">АО "ДГК"</v>
      </c>
      <c r="E6" s="418"/>
      <c r="F6" s="418"/>
      <c r="G6" s="419"/>
      <c r="H6" s="239"/>
      <c r="J6" s="129"/>
      <c r="K6" s="129"/>
      <c r="R6" s="50">
        <v>17</v>
      </c>
    </row>
    <row r="7" ht="14.65" customHeight="1">
      <c r="C7" s="548"/>
      <c r="D7" s="91"/>
      <c r="E7" s="83"/>
      <c r="F7" s="83"/>
      <c r="G7" s="352"/>
      <c r="H7" s="834"/>
      <c r="R7" s="50">
        <v>14</v>
      </c>
    </row>
    <row r="8" ht="14.65" customHeight="1">
      <c r="C8" s="548"/>
      <c r="D8" s="358" t="s">
        <v>305</v>
      </c>
      <c r="E8" s="358"/>
      <c r="F8" s="358"/>
      <c r="G8" s="358"/>
      <c r="H8" s="838" t="s">
        <v>306</v>
      </c>
      <c r="R8" s="50">
        <v>14</v>
      </c>
    </row>
    <row r="9" ht="24" customHeight="1">
      <c r="C9" s="548"/>
      <c r="D9" s="358" t="s">
        <v>89</v>
      </c>
      <c r="E9" s="246" t="s">
        <v>307</v>
      </c>
      <c r="F9" s="246" t="s">
        <v>308</v>
      </c>
      <c r="G9" s="246" t="s">
        <v>395</v>
      </c>
      <c r="H9" s="838"/>
      <c r="R9" s="50">
        <v>23</v>
      </c>
    </row>
    <row r="10" ht="26.25" customHeight="1">
      <c r="A10" s="143"/>
      <c r="C10" s="548"/>
      <c r="D10" s="355" t="s">
        <v>109</v>
      </c>
      <c r="E10" s="839"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 xml:space="preserve">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977" t="s">
        <v>1159</v>
      </c>
      <c r="G10" s="996" t="s">
        <v>1160</v>
      </c>
      <c r="H10" s="285" t="s">
        <v>1161</v>
      </c>
      <c r="R10" s="50">
        <v>14</v>
      </c>
    </row>
    <row r="11" ht="26.25" customHeight="1">
      <c r="A11" s="143"/>
      <c r="C11" s="548"/>
      <c r="D11" s="355" t="s">
        <v>110</v>
      </c>
      <c r="E11" s="839"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 xml:space="preserve">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977" t="s">
        <v>1162</v>
      </c>
      <c r="G11" s="996" t="s">
        <v>1160</v>
      </c>
      <c r="H11" s="287"/>
      <c r="R11" s="50">
        <v>14</v>
      </c>
    </row>
    <row r="12" ht="25.5" customHeight="1">
      <c r="A12" s="143"/>
      <c r="C12" s="391"/>
      <c r="D12" s="355" t="s">
        <v>91</v>
      </c>
      <c r="E12" s="840" t="str">
        <f>"Сведения о планировании закупочных процедур"&amp;IF(TEMPLATE_SPHERE="TKO"," &lt;1&gt;","")</f>
        <v xml:space="preserve">Сведения о планировании закупочных процедур</v>
      </c>
      <c r="F12" s="977" t="s">
        <v>1162</v>
      </c>
      <c r="G12" s="996" t="s">
        <v>1160</v>
      </c>
      <c r="H12" s="287"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 xml:space="preserve">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129"/>
      <c r="K12" s="50"/>
      <c r="R12" s="50">
        <v>14</v>
      </c>
    </row>
    <row r="13" ht="26.25" customHeight="1">
      <c r="A13" s="143"/>
      <c r="C13" s="391"/>
      <c r="D13" s="355" t="s">
        <v>92</v>
      </c>
      <c r="E13" s="840" t="str">
        <f>"Сведения о результатах проведения закупочных процедур"&amp;IF(TEMPLATE_SPHERE="TKO"," &lt;1&gt;","")</f>
        <v xml:space="preserve">Сведения о результатах проведения закупочных процедур</v>
      </c>
      <c r="F13" s="977" t="s">
        <v>1162</v>
      </c>
      <c r="G13" s="996" t="s">
        <v>1160</v>
      </c>
      <c r="H13" s="287"/>
      <c r="I13" s="129"/>
      <c r="K13" s="50"/>
      <c r="R13" s="50">
        <v>14</v>
      </c>
    </row>
    <row r="14" ht="14.65" customHeight="1">
      <c r="A14" s="143"/>
      <c r="C14" s="548"/>
      <c r="D14" s="841"/>
      <c r="E14" s="177" t="s">
        <v>327</v>
      </c>
      <c r="F14" s="235"/>
      <c r="G14" s="842"/>
      <c r="H14" s="289"/>
      <c r="R14" s="50">
        <v>14</v>
      </c>
    </row>
    <row r="15" s="50" customFormat="1" ht="14.65" customHeight="1">
      <c r="A15" s="143"/>
      <c r="B15" s="53"/>
      <c r="C15" s="548"/>
      <c r="D15" s="785"/>
      <c r="E15" s="843"/>
      <c r="F15" s="844"/>
      <c r="G15" s="845"/>
      <c r="H15" s="997"/>
      <c r="J15" s="129"/>
      <c r="K15" s="129"/>
      <c r="R15" s="50">
        <v>14</v>
      </c>
    </row>
    <row r="16" ht="14.65" customHeight="1">
      <c r="D16" s="485"/>
      <c r="E16" s="583"/>
      <c r="F16" s="583"/>
      <c r="G16" s="583"/>
      <c r="H16" s="583"/>
      <c r="R16" s="50">
        <v>14</v>
      </c>
    </row>
    <row r="17" ht="22.5" hidden="1" customHeight="1">
      <c r="A17" s="60" t="s">
        <v>83</v>
      </c>
      <c r="B17" s="53">
        <v>0</v>
      </c>
      <c r="C17" s="487">
        <v>3</v>
      </c>
      <c r="D17" s="50">
        <v>6</v>
      </c>
      <c r="E17" s="50">
        <v>53</v>
      </c>
      <c r="F17" s="50">
        <v>35</v>
      </c>
      <c r="G17" s="50">
        <v>35</v>
      </c>
      <c r="H17" s="50">
        <v>89</v>
      </c>
      <c r="I17" s="50">
        <v>10</v>
      </c>
      <c r="J17" s="129">
        <v>10</v>
      </c>
      <c r="K17" s="129">
        <v>10</v>
      </c>
      <c r="L17" s="50">
        <v>10</v>
      </c>
      <c r="M17" s="50">
        <v>10</v>
      </c>
      <c r="N17" s="50">
        <v>10</v>
      </c>
      <c r="O17" s="50">
        <v>10</v>
      </c>
      <c r="P17" s="50">
        <v>10</v>
      </c>
      <c r="Q17" s="50">
        <v>10</v>
      </c>
      <c r="R17" s="50">
        <v>23</v>
      </c>
    </row>
  </sheetData>
  <sheetProtection autoFilter="0" deleteColumns="1" deleteRows="1" formatCells="1" formatColumns="0" formatRows="0" insertColumns="1" insertHyperlinks="1" insertRows="1" objects="0" pivotTables="1" scenarios="0" selectLockedCells="0" selectUnlockedCells="0" sheet="1" sort="1"/>
  <mergeCells count="7">
    <mergeCell ref="D5:G5"/>
    <mergeCell ref="D6:G6"/>
    <mergeCell ref="D8:G8"/>
    <mergeCell ref="H8:H9"/>
    <mergeCell ref="H10:H11"/>
    <mergeCell ref="H12:H14"/>
    <mergeCell ref="E16:H16"/>
  </mergeCells>
  <hyperlinks>
    <hyperlink r:id="rId1" ref="G10"/>
    <hyperlink r:id="rId1" ref="G11"/>
    <hyperlink r:id="rId1" ref="G12"/>
    <hyperlink r:id="rId1" ref="G13"/>
  </hyperlink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disablePrompts="0">
        <x14:dataValidation xr:uid="{002700A9-0086-48D2-9506-00F300E10030}" type="textLength" allowBlank="1" error="Допускается ввод не более 900 символов!" errorStyle="stop" errorTitle="Ошибка" imeMode="noControl" operator="lessThanOrEqual" showDropDown="0" showErrorMessage="1" showInputMessage="1">
          <x14:formula1>
            <xm:f>900</xm:f>
          </x14:formula1>
          <xm:sqref>H10 E13 E2:F2 F10:F13</xm:sqref>
        </x14:dataValidation>
        <x14:dataValidation xr:uid="{002400D7-0026-4DCA-84EE-000100390075}"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howDropDown="0" showErrorMessage="1" showInputMessage="1">
          <x14:formula1>
            <xm:f>900</xm:f>
          </x14:formula1>
          <xm:sqref>G2 G10:G13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outlinePr applyStyles="0" summaryBelow="1" summaryRight="1" showOutlineSymbols="1"/>
    <pageSetUpPr autoPageBreaks="1" fitToPage="0"/>
  </sheetPr>
  <sheetViews>
    <sheetView showGridLines="0" zoomScale="90" workbookViewId="0">
      <pane xSplit="6" ySplit="12" topLeftCell="G13" activePane="bottomRight" state="frozen"/>
      <selection activeCell="J58" activeCellId="0" sqref="J58:J61"/>
    </sheetView>
  </sheetViews>
  <sheetFormatPr defaultColWidth="9.140625" defaultRowHeight="11.25" customHeight="1"/>
  <cols>
    <col customWidth="1" hidden="1" min="1" max="2" style="129" width="3.7109375"/>
    <col customWidth="1" min="3" max="3" style="184" width="3.00390625"/>
    <col customWidth="1" min="4" max="4" style="184" width="6.00390625"/>
    <col customWidth="1" min="5" max="5" style="184" width="42.00390625"/>
    <col customWidth="1" min="6" max="6" style="184" width="15.00390625"/>
    <col customWidth="1" min="7" max="7" style="184" width="42.00390625"/>
    <col customWidth="1" min="8" max="8" style="184" width="3.00390625"/>
    <col customWidth="1" min="9" max="9" style="184" width="5.00390625"/>
    <col customWidth="1" min="10" max="10" style="184" width="47.00390625"/>
    <col customWidth="1" min="11" max="12" style="184" width="3.00390625"/>
    <col customWidth="1" min="13" max="13" style="184" width="5.00390625"/>
    <col customWidth="1" min="14" max="14" style="184" width="28.00390625"/>
    <col customWidth="1" min="15" max="16" style="184" width="3.00390625"/>
    <col customWidth="1" min="17" max="17" style="184" width="5.00390625"/>
    <col customWidth="1" min="18" max="18" style="184" width="34.00390625"/>
    <col customWidth="1" min="19" max="20" style="184" width="3.7109375"/>
    <col customWidth="1" min="21" max="21" style="184" width="5.7109375"/>
    <col customWidth="1" min="22" max="22" style="184" width="34.421875"/>
    <col customWidth="1" min="23" max="23" style="184" width="30.00390625"/>
    <col customWidth="1" min="24" max="24" style="184" width="3.00390625"/>
    <col customWidth="1" hidden="1" min="25" max="28" style="106" width="9.8515625"/>
    <col customWidth="1" hidden="1" min="29" max="29" style="106" width="27.00390625"/>
    <col customWidth="1" hidden="1" min="30" max="30" style="106" width="10.57421875"/>
    <col customWidth="1" hidden="1" min="31" max="31" style="106" width="10.7109375"/>
    <col customWidth="1" hidden="1" min="32" max="32" style="106" width="10.00390625"/>
    <col customWidth="1" hidden="1" min="33" max="33" style="106" width="12.8515625"/>
    <col customWidth="1" hidden="1" min="34" max="34" style="106" width="24.421875"/>
    <col customWidth="1" hidden="1" min="35" max="35" style="106" width="15.8515625"/>
    <col customWidth="1" hidden="1" min="36" max="36" style="106" width="19.421875"/>
    <col customWidth="1" hidden="1" min="37" max="37" style="106" width="11.00390625"/>
    <col customWidth="1" hidden="1" min="38" max="38" style="106" width="23.57421875"/>
    <col customWidth="1" hidden="1" min="39" max="39" style="106" width="23.8515625"/>
    <col customWidth="1" hidden="1" min="40" max="40" style="106" width="25.28125"/>
    <col customWidth="1" hidden="1" min="41" max="41" style="106" width="16.8515625"/>
    <col customWidth="1" hidden="1" min="42" max="42" style="106" width="29.57421875"/>
    <col customWidth="1" hidden="1" min="43" max="43" style="106" width="29.8515625"/>
    <col hidden="1" min="44" max="44" style="184" width="9.140625"/>
  </cols>
  <sheetData>
    <row r="1" ht="11.25" hidden="1" customHeight="1">
      <c r="A1" s="129"/>
      <c r="AR1" s="184" t="s">
        <v>14</v>
      </c>
    </row>
    <row r="2" ht="11.25" hidden="1" customHeight="1">
      <c r="AR2" s="184">
        <v>0</v>
      </c>
    </row>
    <row r="3" ht="11.25" hidden="1" customHeight="1">
      <c r="AR3" s="184">
        <v>0</v>
      </c>
    </row>
    <row r="4" ht="3" customHeight="1">
      <c r="AR4" s="184">
        <v>3</v>
      </c>
    </row>
    <row r="5" s="188" customFormat="1" ht="30.449999999999999" customHeight="1">
      <c r="A5" s="193"/>
      <c r="B5" s="193"/>
      <c r="D5" s="236"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 xml:space="preserve">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37"/>
      <c r="F5" s="237"/>
      <c r="G5" s="237"/>
      <c r="H5" s="237"/>
      <c r="I5" s="237"/>
      <c r="J5" s="238"/>
      <c r="K5" s="239"/>
      <c r="L5" s="240"/>
      <c r="M5" s="240"/>
      <c r="N5" s="240"/>
      <c r="O5" s="240"/>
      <c r="P5" s="240"/>
      <c r="Q5" s="240"/>
      <c r="R5" s="240"/>
      <c r="S5" s="240"/>
      <c r="T5" s="240"/>
      <c r="U5" s="240"/>
      <c r="V5" s="240"/>
      <c r="W5" s="240"/>
      <c r="Y5" s="194"/>
      <c r="Z5" s="194"/>
      <c r="AA5" s="194"/>
      <c r="AB5" s="194"/>
      <c r="AC5" s="194"/>
      <c r="AD5" s="194"/>
      <c r="AE5" s="194"/>
      <c r="AF5" s="194"/>
      <c r="AG5" s="194"/>
      <c r="AH5" s="194"/>
      <c r="AI5" s="194"/>
      <c r="AJ5" s="194"/>
      <c r="AK5" s="194"/>
      <c r="AL5" s="194"/>
      <c r="AM5" s="194"/>
      <c r="AN5" s="194"/>
      <c r="AO5" s="194"/>
      <c r="AP5" s="194"/>
      <c r="AQ5" s="194"/>
      <c r="AR5" s="188">
        <v>29</v>
      </c>
    </row>
    <row r="6" s="188" customFormat="1" ht="14.65" customHeight="1">
      <c r="A6" s="106"/>
      <c r="B6" s="106"/>
      <c r="C6" s="106"/>
      <c r="D6" s="241" t="str">
        <f>IF(org=0,"Не определено",org)</f>
        <v xml:space="preserve">АО "ДГК"</v>
      </c>
      <c r="E6" s="241"/>
      <c r="F6" s="241"/>
      <c r="G6" s="241"/>
      <c r="H6" s="241"/>
      <c r="I6" s="241"/>
      <c r="J6" s="241"/>
      <c r="K6" s="192"/>
      <c r="L6" s="192"/>
      <c r="M6" s="192"/>
      <c r="N6" s="192"/>
      <c r="O6" s="193"/>
      <c r="P6" s="193"/>
      <c r="Q6" s="193"/>
      <c r="R6" s="193"/>
      <c r="S6" s="193"/>
      <c r="T6" s="193"/>
      <c r="U6" s="193"/>
      <c r="V6" s="193"/>
      <c r="W6" s="193"/>
      <c r="X6" s="192"/>
      <c r="Y6" s="194"/>
      <c r="Z6" s="194"/>
      <c r="AA6" s="194"/>
      <c r="AB6" s="194"/>
      <c r="AC6" s="194"/>
      <c r="AD6" s="194"/>
      <c r="AE6" s="194"/>
      <c r="AF6" s="194"/>
      <c r="AG6" s="194"/>
      <c r="AH6" s="194"/>
      <c r="AI6" s="194"/>
      <c r="AJ6" s="194"/>
      <c r="AK6" s="194"/>
      <c r="AL6" s="194"/>
      <c r="AM6" s="194"/>
      <c r="AN6" s="194"/>
      <c r="AO6" s="194"/>
      <c r="AP6" s="194"/>
      <c r="AQ6" s="194"/>
      <c r="AR6" s="188">
        <v>14</v>
      </c>
    </row>
    <row r="7" s="242" customFormat="1" ht="11.5" customHeight="1">
      <c r="A7" s="129"/>
      <c r="B7" s="129"/>
      <c r="D7" s="243"/>
      <c r="E7" s="244"/>
      <c r="F7" s="244"/>
      <c r="G7" s="244"/>
      <c r="H7" s="244"/>
      <c r="I7" s="244"/>
      <c r="J7" s="245"/>
      <c r="S7" s="242"/>
      <c r="T7" s="242"/>
      <c r="U7" s="242"/>
      <c r="V7" s="242"/>
      <c r="Y7" s="106"/>
      <c r="Z7" s="106"/>
      <c r="AA7" s="106"/>
      <c r="AB7" s="106"/>
      <c r="AC7" s="106"/>
      <c r="AD7" s="106"/>
      <c r="AE7" s="106"/>
      <c r="AF7" s="106"/>
      <c r="AG7" s="106"/>
      <c r="AH7" s="106"/>
      <c r="AI7" s="106"/>
      <c r="AJ7" s="106"/>
      <c r="AK7" s="106"/>
      <c r="AL7" s="106"/>
      <c r="AM7" s="106"/>
      <c r="AN7" s="106"/>
      <c r="AO7" s="106"/>
      <c r="AP7" s="106"/>
      <c r="AQ7" s="106"/>
      <c r="AR7" s="242">
        <v>11</v>
      </c>
    </row>
    <row r="8" s="188" customFormat="1" ht="1.05" customHeight="1">
      <c r="A8" s="193"/>
      <c r="B8" s="193"/>
      <c r="D8" s="197"/>
      <c r="E8" s="197"/>
      <c r="F8" s="197"/>
      <c r="G8" s="197"/>
      <c r="H8" s="197"/>
      <c r="I8" s="197"/>
      <c r="J8" s="197"/>
      <c r="K8" s="197"/>
      <c r="L8" s="197"/>
      <c r="M8" s="197"/>
      <c r="N8" s="197"/>
      <c r="O8" s="197"/>
      <c r="P8" s="197"/>
      <c r="Q8" s="197"/>
      <c r="R8" s="197"/>
      <c r="S8" s="197"/>
      <c r="T8" s="197"/>
      <c r="U8" s="197"/>
      <c r="V8" s="197"/>
      <c r="W8" s="197"/>
      <c r="X8" s="188"/>
      <c r="Y8" s="194"/>
      <c r="Z8" s="194"/>
      <c r="AA8" s="194"/>
      <c r="AB8" s="194"/>
      <c r="AC8" s="194"/>
      <c r="AD8" s="194"/>
      <c r="AE8" s="194"/>
      <c r="AF8" s="194"/>
      <c r="AG8" s="194"/>
      <c r="AH8" s="194"/>
      <c r="AI8" s="194"/>
      <c r="AJ8" s="194"/>
      <c r="AK8" s="194"/>
      <c r="AL8" s="194"/>
      <c r="AM8" s="194"/>
      <c r="AN8" s="194"/>
      <c r="AO8" s="194"/>
      <c r="AP8" s="194"/>
      <c r="AQ8" s="194"/>
      <c r="AR8" s="188">
        <v>1</v>
      </c>
    </row>
    <row r="9" ht="28.5" customHeight="1">
      <c r="D9" s="157" t="s">
        <v>89</v>
      </c>
      <c r="E9" s="73" t="s">
        <v>122</v>
      </c>
      <c r="F9" s="72"/>
      <c r="G9" s="157" t="s">
        <v>105</v>
      </c>
      <c r="H9" s="157" t="s">
        <v>89</v>
      </c>
      <c r="I9" s="157"/>
      <c r="J9" s="157" t="s">
        <v>123</v>
      </c>
      <c r="K9" s="246" t="s">
        <v>124</v>
      </c>
      <c r="L9" s="246"/>
      <c r="M9" s="246"/>
      <c r="N9" s="246"/>
      <c r="O9" s="246" t="s">
        <v>125</v>
      </c>
      <c r="P9" s="246"/>
      <c r="Q9" s="246"/>
      <c r="R9" s="246"/>
      <c r="S9" s="246" t="s">
        <v>126</v>
      </c>
      <c r="T9" s="246"/>
      <c r="U9" s="246"/>
      <c r="V9" s="246"/>
      <c r="W9" s="157" t="s">
        <v>127</v>
      </c>
      <c r="AR9" s="184">
        <v>27</v>
      </c>
    </row>
    <row r="10" ht="31.5" customHeight="1">
      <c r="D10" s="157"/>
      <c r="E10" s="157" t="s">
        <v>90</v>
      </c>
      <c r="F10" s="157" t="s">
        <v>128</v>
      </c>
      <c r="G10" s="157"/>
      <c r="H10" s="157"/>
      <c r="I10" s="157"/>
      <c r="J10" s="157"/>
      <c r="K10" s="157" t="s">
        <v>108</v>
      </c>
      <c r="L10" s="157" t="s">
        <v>89</v>
      </c>
      <c r="M10" s="157"/>
      <c r="N10" s="157" t="s">
        <v>129</v>
      </c>
      <c r="O10" s="157" t="s">
        <v>108</v>
      </c>
      <c r="P10" s="157" t="s">
        <v>89</v>
      </c>
      <c r="Q10" s="157"/>
      <c r="R10" s="157" t="s">
        <v>129</v>
      </c>
      <c r="S10" s="157" t="s">
        <v>108</v>
      </c>
      <c r="T10" s="157" t="s">
        <v>89</v>
      </c>
      <c r="U10" s="157"/>
      <c r="V10" s="157" t="s">
        <v>90</v>
      </c>
      <c r="W10" s="157"/>
      <c r="Z10" s="106" t="s">
        <v>130</v>
      </c>
      <c r="AA10" s="106" t="s">
        <v>131</v>
      </c>
      <c r="AB10" s="106" t="s">
        <v>132</v>
      </c>
      <c r="AC10" s="106" t="s">
        <v>133</v>
      </c>
      <c r="AD10" s="106" t="s">
        <v>134</v>
      </c>
      <c r="AE10" s="106" t="s">
        <v>135</v>
      </c>
      <c r="AF10" s="106" t="s">
        <v>136</v>
      </c>
      <c r="AG10" s="106" t="s">
        <v>137</v>
      </c>
      <c r="AH10" s="106" t="s">
        <v>138</v>
      </c>
      <c r="AI10" s="106" t="s">
        <v>139</v>
      </c>
      <c r="AJ10" s="106" t="s">
        <v>140</v>
      </c>
      <c r="AK10" s="106" t="s">
        <v>141</v>
      </c>
      <c r="AL10" s="106" t="s">
        <v>142</v>
      </c>
      <c r="AM10" s="106" t="s">
        <v>143</v>
      </c>
      <c r="AN10" s="106" t="s">
        <v>144</v>
      </c>
      <c r="AO10" s="106" t="s">
        <v>145</v>
      </c>
      <c r="AP10" s="106" t="s">
        <v>146</v>
      </c>
      <c r="AQ10" s="106" t="s">
        <v>147</v>
      </c>
      <c r="AR10" s="184">
        <v>30</v>
      </c>
    </row>
    <row r="11" s="129" customFormat="1" ht="12" hidden="1" customHeight="1">
      <c r="D11" s="247" t="s">
        <v>109</v>
      </c>
      <c r="E11" s="247" t="s">
        <v>110</v>
      </c>
      <c r="F11" s="247"/>
      <c r="G11" s="247" t="s">
        <v>91</v>
      </c>
      <c r="H11" s="248" t="s">
        <v>111</v>
      </c>
      <c r="I11" s="248"/>
      <c r="J11" s="247" t="s">
        <v>93</v>
      </c>
      <c r="K11" s="247" t="s">
        <v>94</v>
      </c>
      <c r="L11" s="248" t="s">
        <v>112</v>
      </c>
      <c r="M11" s="248"/>
      <c r="N11" s="247" t="s">
        <v>148</v>
      </c>
      <c r="O11" s="247" t="s">
        <v>149</v>
      </c>
      <c r="P11" s="248" t="s">
        <v>150</v>
      </c>
      <c r="Q11" s="248"/>
      <c r="R11" s="247" t="s">
        <v>151</v>
      </c>
      <c r="S11" s="247" t="s">
        <v>150</v>
      </c>
      <c r="T11" s="248" t="s">
        <v>151</v>
      </c>
      <c r="U11" s="248"/>
      <c r="V11" s="247" t="s">
        <v>152</v>
      </c>
      <c r="W11" s="247" t="s">
        <v>153</v>
      </c>
      <c r="Y11" s="106"/>
      <c r="Z11" s="106"/>
      <c r="AA11" s="106"/>
      <c r="AB11" s="106"/>
      <c r="AC11" s="106"/>
      <c r="AD11" s="106"/>
      <c r="AE11" s="106"/>
      <c r="AF11" s="106"/>
      <c r="AG11" s="106"/>
      <c r="AH11" s="106"/>
      <c r="AI11" s="106"/>
      <c r="AJ11" s="106"/>
      <c r="AK11" s="106"/>
      <c r="AL11" s="106"/>
      <c r="AM11" s="106"/>
      <c r="AN11" s="106"/>
      <c r="AO11" s="106"/>
      <c r="AP11" s="106"/>
      <c r="AQ11" s="106"/>
      <c r="AR11" s="129">
        <v>0</v>
      </c>
    </row>
    <row r="12" ht="14.25" hidden="1" customHeight="1">
      <c r="C12" s="128"/>
      <c r="D12" s="249">
        <v>0</v>
      </c>
      <c r="E12" s="157"/>
      <c r="F12" s="157"/>
      <c r="G12" s="157"/>
      <c r="H12" s="250"/>
      <c r="I12" s="250"/>
      <c r="J12" s="218"/>
      <c r="K12" s="218"/>
      <c r="L12" s="218"/>
      <c r="M12" s="218"/>
      <c r="N12" s="251"/>
      <c r="O12" s="218"/>
      <c r="P12" s="218"/>
      <c r="Q12" s="218"/>
      <c r="R12" s="252"/>
      <c r="S12" s="218"/>
      <c r="T12" s="218"/>
      <c r="U12" s="218"/>
      <c r="V12" s="252"/>
      <c r="W12" s="218"/>
      <c r="X12" s="184"/>
      <c r="AR12" s="184">
        <v>0</v>
      </c>
    </row>
    <row r="13" s="184" customFormat="1" ht="17.25" customHeight="1">
      <c r="A13" s="253"/>
      <c r="C13" s="128"/>
      <c r="D13" s="254">
        <v>1</v>
      </c>
      <c r="E13" s="255" t="s">
        <v>154</v>
      </c>
      <c r="F13" s="256" t="s">
        <v>19</v>
      </c>
      <c r="G13" s="255"/>
      <c r="H13" s="257"/>
      <c r="I13" s="258"/>
      <c r="J13" s="259"/>
      <c r="K13" s="260"/>
      <c r="L13" s="260"/>
      <c r="M13" s="260"/>
      <c r="N13" s="261"/>
      <c r="O13" s="260"/>
      <c r="P13" s="260"/>
      <c r="Q13" s="260"/>
      <c r="R13" s="262"/>
      <c r="S13" s="260"/>
      <c r="T13" s="260"/>
      <c r="U13" s="260"/>
      <c r="V13" s="262"/>
      <c r="W13" s="263"/>
      <c r="Y13" s="264"/>
      <c r="Z13" s="264"/>
      <c r="AA13" s="264"/>
      <c r="AB13" s="264"/>
      <c r="AC13" s="264" t="s">
        <v>155</v>
      </c>
      <c r="AD13" s="264" t="s">
        <v>156</v>
      </c>
      <c r="AE13" s="264" t="s">
        <v>157</v>
      </c>
      <c r="AF13" s="264" t="s">
        <v>158</v>
      </c>
      <c r="AG13" s="264" t="s">
        <v>159</v>
      </c>
      <c r="AH13" s="264" t="str">
        <f>IF($E$13=0,"",$E$13)</f>
        <v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264" t="str">
        <f>IF($G$13=0,"",$G$13)</f>
        <v/>
      </c>
      <c r="AJ13" s="264" t="str">
        <f>IF($J$13=0,"",$J$13)</f>
        <v/>
      </c>
      <c r="AK13" s="264" t="str">
        <f>IF($K$13="нет","без дифференциации",IF($N$13=0,"",$N$13))</f>
        <v/>
      </c>
      <c r="AL13" s="264" t="str">
        <f>IF($O$13="нет","без дифференциации",IF($R$13=0,"",$R$13))</f>
        <v/>
      </c>
      <c r="AM13" s="264" t="str">
        <f>IF($S$13="нет","без дифференциации",IF($V$13=0,"",$V$13))</f>
        <v/>
      </c>
      <c r="AN13" s="264">
        <f>$I$13</f>
        <v>0</v>
      </c>
      <c r="AO13" s="264" t="str">
        <f>$I$13&amp;"."&amp;$M$13</f>
        <v>.</v>
      </c>
      <c r="AP13" s="264" t="str">
        <f>$I$13&amp;"."&amp;$M$13&amp;"."&amp;$Q$13</f>
        <v>..</v>
      </c>
      <c r="AQ13" s="264" t="str">
        <f>$I$13&amp;"."&amp;$M$13&amp;"."&amp;$Q$13&amp;"."&amp;$U$13</f>
        <v>...</v>
      </c>
      <c r="AR13" s="184">
        <v>0</v>
      </c>
    </row>
    <row r="14" s="184" customFormat="1" ht="17.25" customHeight="1">
      <c r="A14" s="253"/>
      <c r="C14" s="184"/>
      <c r="D14" s="254"/>
      <c r="E14" s="255"/>
      <c r="F14" s="265"/>
      <c r="G14" s="255"/>
      <c r="H14" s="266"/>
      <c r="I14" s="267"/>
      <c r="J14" s="268"/>
      <c r="K14" s="125"/>
      <c r="L14" s="125"/>
      <c r="M14" s="125"/>
      <c r="N14" s="269"/>
      <c r="O14" s="125"/>
      <c r="P14" s="125"/>
      <c r="Q14" s="125"/>
      <c r="R14" s="270"/>
      <c r="S14" s="125"/>
      <c r="T14" s="271"/>
      <c r="U14" s="271"/>
      <c r="V14" s="271"/>
      <c r="W14" s="272"/>
      <c r="Y14" s="106"/>
      <c r="Z14" s="106"/>
      <c r="AA14" s="106"/>
      <c r="AB14" s="106"/>
      <c r="AC14" s="106"/>
      <c r="AD14" s="106"/>
      <c r="AE14" s="106"/>
      <c r="AF14" s="106"/>
      <c r="AG14" s="106"/>
      <c r="AH14" s="106"/>
      <c r="AI14" s="106"/>
      <c r="AJ14" s="106"/>
      <c r="AK14" s="106"/>
      <c r="AL14" s="106"/>
      <c r="AM14" s="106"/>
      <c r="AN14" s="106"/>
      <c r="AO14" s="106"/>
      <c r="AP14" s="106"/>
      <c r="AQ14" s="106"/>
      <c r="AR14" s="184">
        <v>0</v>
      </c>
    </row>
    <row r="15" s="184" customFormat="1" ht="17.25" customHeight="1">
      <c r="A15" s="253"/>
      <c r="C15" s="128"/>
      <c r="D15" s="254"/>
      <c r="E15" s="255"/>
      <c r="F15" s="265"/>
      <c r="G15" s="255"/>
      <c r="H15" s="266"/>
      <c r="I15" s="267"/>
      <c r="J15" s="273"/>
      <c r="K15" s="125"/>
      <c r="L15" s="125"/>
      <c r="M15" s="125"/>
      <c r="N15" s="270"/>
      <c r="O15" s="125"/>
      <c r="P15" s="125"/>
      <c r="Q15" s="271"/>
      <c r="R15" s="271"/>
      <c r="S15" s="184"/>
      <c r="T15" s="184"/>
      <c r="U15" s="184"/>
      <c r="V15" s="184"/>
      <c r="W15" s="272"/>
      <c r="Y15" s="264"/>
      <c r="Z15" s="264"/>
      <c r="AA15" s="264"/>
      <c r="AB15" s="264"/>
      <c r="AC15" s="264"/>
      <c r="AD15" s="264"/>
      <c r="AE15" s="264"/>
      <c r="AF15" s="264"/>
      <c r="AG15" s="264"/>
      <c r="AH15" s="264"/>
      <c r="AI15" s="264"/>
      <c r="AJ15" s="264"/>
      <c r="AK15" s="264"/>
      <c r="AL15" s="264"/>
      <c r="AM15" s="264"/>
      <c r="AN15" s="264"/>
      <c r="AO15" s="264"/>
      <c r="AP15" s="264"/>
      <c r="AQ15" s="264"/>
      <c r="AR15" s="184">
        <v>0</v>
      </c>
    </row>
    <row r="16" s="184" customFormat="1" ht="17.25" customHeight="1">
      <c r="A16" s="253"/>
      <c r="C16" s="184"/>
      <c r="D16" s="254"/>
      <c r="E16" s="255"/>
      <c r="F16" s="265"/>
      <c r="G16" s="255"/>
      <c r="H16" s="266"/>
      <c r="I16" s="267"/>
      <c r="J16" s="273"/>
      <c r="K16" s="125"/>
      <c r="L16" s="271"/>
      <c r="M16" s="271"/>
      <c r="N16" s="271"/>
      <c r="O16" s="271"/>
      <c r="P16" s="271"/>
      <c r="Q16" s="271"/>
      <c r="R16" s="271"/>
      <c r="S16" s="184"/>
      <c r="T16" s="184"/>
      <c r="U16" s="184"/>
      <c r="V16" s="184"/>
      <c r="W16" s="272"/>
      <c r="Y16" s="106"/>
      <c r="Z16" s="106"/>
      <c r="AA16" s="106"/>
      <c r="AB16" s="106"/>
      <c r="AC16" s="106"/>
      <c r="AD16" s="106"/>
      <c r="AE16" s="106"/>
      <c r="AF16" s="106"/>
      <c r="AG16" s="106"/>
      <c r="AH16" s="106"/>
      <c r="AI16" s="106"/>
      <c r="AJ16" s="106"/>
      <c r="AK16" s="106"/>
      <c r="AL16" s="106"/>
      <c r="AM16" s="106"/>
      <c r="AN16" s="106"/>
      <c r="AO16" s="106"/>
      <c r="AP16" s="106"/>
      <c r="AQ16" s="106"/>
      <c r="AR16" s="184">
        <v>0</v>
      </c>
    </row>
    <row r="17" s="184" customFormat="1" ht="17.25" customHeight="1">
      <c r="A17" s="253"/>
      <c r="C17" s="184"/>
      <c r="D17" s="274"/>
      <c r="E17" s="275"/>
      <c r="F17" s="276"/>
      <c r="G17" s="275"/>
      <c r="H17" s="277"/>
      <c r="I17" s="278"/>
      <c r="J17" s="278"/>
      <c r="K17" s="278"/>
      <c r="L17" s="278"/>
      <c r="M17" s="278"/>
      <c r="N17" s="278"/>
      <c r="O17" s="278"/>
      <c r="P17" s="278"/>
      <c r="Q17" s="278"/>
      <c r="R17" s="278"/>
      <c r="S17" s="279"/>
      <c r="T17" s="279"/>
      <c r="U17" s="279"/>
      <c r="V17" s="279"/>
      <c r="W17" s="280"/>
      <c r="Y17" s="106"/>
      <c r="Z17" s="106"/>
      <c r="AA17" s="106"/>
      <c r="AB17" s="106"/>
      <c r="AC17" s="106"/>
      <c r="AD17" s="106"/>
      <c r="AE17" s="106"/>
      <c r="AF17" s="106"/>
      <c r="AG17" s="106"/>
      <c r="AH17" s="106"/>
      <c r="AI17" s="106"/>
      <c r="AJ17" s="106"/>
      <c r="AK17" s="106"/>
      <c r="AL17" s="106"/>
      <c r="AM17" s="106"/>
      <c r="AN17" s="106"/>
      <c r="AO17" s="106"/>
      <c r="AP17" s="106"/>
      <c r="AQ17" s="106"/>
      <c r="AR17" s="184">
        <v>0</v>
      </c>
    </row>
    <row r="18" s="184" customFormat="1" ht="17.25" customHeight="1">
      <c r="A18" s="253"/>
      <c r="C18" s="128"/>
      <c r="D18" s="254">
        <v>2</v>
      </c>
      <c r="E18" s="281" t="s">
        <v>160</v>
      </c>
      <c r="F18" s="256" t="s">
        <v>19</v>
      </c>
      <c r="G18" s="255"/>
      <c r="H18" s="257"/>
      <c r="I18" s="258"/>
      <c r="J18" s="259"/>
      <c r="K18" s="260"/>
      <c r="L18" s="260"/>
      <c r="M18" s="260"/>
      <c r="N18" s="261"/>
      <c r="O18" s="260"/>
      <c r="P18" s="260"/>
      <c r="Q18" s="260"/>
      <c r="R18" s="262"/>
      <c r="S18" s="260"/>
      <c r="T18" s="260"/>
      <c r="U18" s="260"/>
      <c r="V18" s="262"/>
      <c r="W18" s="263"/>
      <c r="X18" s="264"/>
      <c r="Y18" s="264"/>
      <c r="Z18" s="264"/>
      <c r="AA18" s="264"/>
      <c r="AB18" s="264"/>
      <c r="AC18" s="264" t="s">
        <v>161</v>
      </c>
      <c r="AD18" s="264" t="s">
        <v>162</v>
      </c>
      <c r="AE18" s="264" t="s">
        <v>163</v>
      </c>
      <c r="AF18" s="264" t="s">
        <v>164</v>
      </c>
      <c r="AG18" s="264" t="s">
        <v>165</v>
      </c>
      <c r="AH18" s="264" t="str">
        <f>IF($E$18=0,"",$E$18)</f>
        <v xml:space="preserve">Тарифы на тепловую энергию (мощность), поставляемую теплоснабжающими организациями потребителям, другим теплоснабжающим организациям</v>
      </c>
      <c r="AI18" s="264" t="str">
        <f>IF($G$18=0,"",$G$18)</f>
        <v/>
      </c>
      <c r="AJ18" s="264" t="str">
        <f>IF($J$18=0,"",$J$18)</f>
        <v/>
      </c>
      <c r="AK18" s="264" t="str">
        <f>IF($K$18="нет","без дифференциации",IF($N$18=0,"",$N$18))</f>
        <v/>
      </c>
      <c r="AL18" s="264" t="str">
        <f>IF($O$18="нет","без дифференциации",IF($R$18=0,"",$R$18))</f>
        <v/>
      </c>
      <c r="AM18" s="264" t="str">
        <f>IF($S$18="нет","без дифференциации",IF($V$18=0,"",$V$18))</f>
        <v/>
      </c>
      <c r="AN18" s="282">
        <f>$I$18</f>
        <v>0</v>
      </c>
      <c r="AO18" s="264" t="str">
        <f>$I$18&amp;"."&amp;$M$18</f>
        <v>.</v>
      </c>
      <c r="AP18" s="106" t="str">
        <f>$I$18&amp;"."&amp;$M$18&amp;"."&amp;$Q$18</f>
        <v>..</v>
      </c>
      <c r="AQ18" s="106" t="str">
        <f>$I$18&amp;"."&amp;$M$18&amp;"."&amp;$Q$18&amp;"."&amp;$U$18</f>
        <v>...</v>
      </c>
      <c r="AR18" s="184">
        <v>0</v>
      </c>
    </row>
    <row r="19" s="184" customFormat="1" ht="17.25" customHeight="1">
      <c r="A19" s="253"/>
      <c r="C19" s="184"/>
      <c r="D19" s="254"/>
      <c r="E19" s="281"/>
      <c r="F19" s="265"/>
      <c r="G19" s="255"/>
      <c r="H19" s="266"/>
      <c r="I19" s="267"/>
      <c r="J19" s="268"/>
      <c r="K19" s="125"/>
      <c r="L19" s="125"/>
      <c r="M19" s="125"/>
      <c r="N19" s="269"/>
      <c r="O19" s="125"/>
      <c r="P19" s="125"/>
      <c r="Q19" s="125"/>
      <c r="R19" s="270"/>
      <c r="S19" s="125"/>
      <c r="T19" s="271"/>
      <c r="U19" s="271"/>
      <c r="V19" s="271"/>
      <c r="W19" s="272"/>
      <c r="X19" s="106"/>
      <c r="Y19" s="106"/>
      <c r="Z19" s="106"/>
      <c r="AA19" s="106"/>
      <c r="AB19" s="106"/>
      <c r="AC19" s="106"/>
      <c r="AD19" s="106"/>
      <c r="AE19" s="106"/>
      <c r="AF19" s="106"/>
      <c r="AG19" s="106"/>
      <c r="AH19" s="106"/>
      <c r="AI19" s="106"/>
      <c r="AJ19" s="106"/>
      <c r="AK19" s="106"/>
      <c r="AL19" s="106"/>
      <c r="AM19" s="106"/>
      <c r="AN19" s="106"/>
      <c r="AO19" s="106"/>
      <c r="AP19" s="106"/>
      <c r="AQ19" s="106"/>
      <c r="AR19" s="184">
        <v>0</v>
      </c>
    </row>
    <row r="20" s="184" customFormat="1" ht="17.25" customHeight="1">
      <c r="A20" s="253"/>
      <c r="C20" s="184"/>
      <c r="D20" s="274"/>
      <c r="E20" s="283"/>
      <c r="F20" s="265"/>
      <c r="G20" s="275"/>
      <c r="H20" s="266"/>
      <c r="I20" s="267"/>
      <c r="J20" s="273"/>
      <c r="K20" s="125"/>
      <c r="L20" s="125"/>
      <c r="M20" s="125"/>
      <c r="N20" s="270"/>
      <c r="O20" s="125"/>
      <c r="P20" s="125"/>
      <c r="Q20" s="271"/>
      <c r="R20" s="271"/>
      <c r="S20" s="184"/>
      <c r="T20" s="184"/>
      <c r="U20" s="184"/>
      <c r="V20" s="184"/>
      <c r="W20" s="272"/>
      <c r="X20" s="106"/>
      <c r="Y20" s="106"/>
      <c r="Z20" s="106"/>
      <c r="AA20" s="106"/>
      <c r="AB20" s="106"/>
      <c r="AC20" s="106"/>
      <c r="AD20" s="106"/>
      <c r="AE20" s="106"/>
      <c r="AF20" s="106"/>
      <c r="AG20" s="106"/>
      <c r="AH20" s="106"/>
      <c r="AI20" s="106"/>
      <c r="AJ20" s="106"/>
      <c r="AK20" s="106"/>
      <c r="AL20" s="106"/>
      <c r="AM20" s="106"/>
      <c r="AN20" s="106"/>
      <c r="AO20" s="106"/>
      <c r="AP20" s="106"/>
      <c r="AQ20" s="106"/>
      <c r="AR20" s="184">
        <v>0</v>
      </c>
    </row>
    <row r="21" s="184" customFormat="1" ht="17.25" customHeight="1">
      <c r="A21" s="253"/>
      <c r="C21" s="184"/>
      <c r="D21" s="274"/>
      <c r="E21" s="283"/>
      <c r="F21" s="265"/>
      <c r="G21" s="275"/>
      <c r="H21" s="266"/>
      <c r="I21" s="267"/>
      <c r="J21" s="273"/>
      <c r="K21" s="125"/>
      <c r="L21" s="271"/>
      <c r="M21" s="271"/>
      <c r="N21" s="271"/>
      <c r="O21" s="271"/>
      <c r="P21" s="271"/>
      <c r="Q21" s="271"/>
      <c r="R21" s="271"/>
      <c r="S21" s="184"/>
      <c r="T21" s="184"/>
      <c r="U21" s="184"/>
      <c r="V21" s="184"/>
      <c r="W21" s="272"/>
      <c r="X21" s="106"/>
      <c r="Y21" s="106"/>
      <c r="Z21" s="106"/>
      <c r="AA21" s="106"/>
      <c r="AB21" s="106"/>
      <c r="AC21" s="106"/>
      <c r="AD21" s="106"/>
      <c r="AE21" s="106"/>
      <c r="AF21" s="106"/>
      <c r="AG21" s="106"/>
      <c r="AH21" s="106"/>
      <c r="AI21" s="106"/>
      <c r="AJ21" s="106"/>
      <c r="AK21" s="106"/>
      <c r="AL21" s="106"/>
      <c r="AM21" s="106"/>
      <c r="AN21" s="106"/>
      <c r="AO21" s="106"/>
      <c r="AP21" s="106"/>
      <c r="AQ21" s="106"/>
      <c r="AR21" s="184">
        <v>0</v>
      </c>
    </row>
    <row r="22" s="184" customFormat="1" ht="17.25" customHeight="1">
      <c r="A22" s="253"/>
      <c r="C22" s="184"/>
      <c r="D22" s="274"/>
      <c r="E22" s="283"/>
      <c r="F22" s="276"/>
      <c r="G22" s="275"/>
      <c r="H22" s="277"/>
      <c r="I22" s="278"/>
      <c r="J22" s="278"/>
      <c r="K22" s="278"/>
      <c r="L22" s="278"/>
      <c r="M22" s="278"/>
      <c r="N22" s="278"/>
      <c r="O22" s="278"/>
      <c r="P22" s="278"/>
      <c r="Q22" s="278"/>
      <c r="R22" s="278"/>
      <c r="S22" s="279"/>
      <c r="T22" s="279"/>
      <c r="U22" s="279"/>
      <c r="V22" s="279"/>
      <c r="W22" s="280"/>
      <c r="X22" s="106"/>
      <c r="Y22" s="106"/>
      <c r="Z22" s="106"/>
      <c r="AA22" s="106"/>
      <c r="AB22" s="106"/>
      <c r="AC22" s="106"/>
      <c r="AD22" s="106"/>
      <c r="AE22" s="106"/>
      <c r="AF22" s="106"/>
      <c r="AG22" s="106"/>
      <c r="AH22" s="106"/>
      <c r="AI22" s="106"/>
      <c r="AJ22" s="106"/>
      <c r="AK22" s="106"/>
      <c r="AL22" s="106"/>
      <c r="AM22" s="106"/>
      <c r="AN22" s="106"/>
      <c r="AO22" s="106"/>
      <c r="AP22" s="106"/>
      <c r="AQ22" s="106"/>
      <c r="AR22" s="184">
        <v>0</v>
      </c>
    </row>
    <row r="23" s="184" customFormat="1" ht="17.25" hidden="1" customHeight="1">
      <c r="A23" s="253"/>
      <c r="C23" s="128"/>
      <c r="D23" s="254">
        <v>2</v>
      </c>
      <c r="E23" s="255" t="s">
        <v>160</v>
      </c>
      <c r="F23" s="256" t="s">
        <v>19</v>
      </c>
      <c r="G23" s="255"/>
      <c r="H23" s="257"/>
      <c r="I23" s="258"/>
      <c r="J23" s="259"/>
      <c r="K23" s="260"/>
      <c r="L23" s="260"/>
      <c r="M23" s="260"/>
      <c r="N23" s="261"/>
      <c r="O23" s="260"/>
      <c r="P23" s="260"/>
      <c r="Q23" s="260"/>
      <c r="R23" s="262"/>
      <c r="S23" s="260"/>
      <c r="T23" s="260"/>
      <c r="U23" s="260"/>
      <c r="V23" s="262"/>
      <c r="W23" s="263"/>
      <c r="X23" s="264"/>
      <c r="Y23" s="264"/>
      <c r="Z23" s="264" t="s">
        <v>28</v>
      </c>
      <c r="AA23" s="264" t="s">
        <v>28</v>
      </c>
      <c r="AB23" s="264" t="s">
        <v>28</v>
      </c>
      <c r="AC23" s="264" t="s">
        <v>28</v>
      </c>
      <c r="AD23" s="264" t="s">
        <v>28</v>
      </c>
      <c r="AE23" s="264" t="s">
        <v>28</v>
      </c>
      <c r="AF23" s="264" t="s">
        <v>28</v>
      </c>
      <c r="AG23" s="264" t="s">
        <v>28</v>
      </c>
      <c r="AH23" s="264" t="s">
        <v>28</v>
      </c>
      <c r="AI23" s="264" t="s">
        <v>28</v>
      </c>
      <c r="AJ23" s="264" t="s">
        <v>28</v>
      </c>
      <c r="AK23" s="264" t="s">
        <v>28</v>
      </c>
      <c r="AL23" s="264" t="s">
        <v>28</v>
      </c>
      <c r="AM23" s="264" t="s">
        <v>28</v>
      </c>
      <c r="AN23" s="282" t="s">
        <v>28</v>
      </c>
      <c r="AO23" s="264" t="s">
        <v>28</v>
      </c>
      <c r="AP23" s="106" t="s">
        <v>28</v>
      </c>
      <c r="AQ23" s="106" t="s">
        <v>28</v>
      </c>
      <c r="AR23" s="184">
        <v>0</v>
      </c>
    </row>
    <row r="24" s="184" customFormat="1" ht="17.25" hidden="1" customHeight="1">
      <c r="A24" s="253"/>
      <c r="C24" s="184"/>
      <c r="D24" s="254"/>
      <c r="E24" s="255"/>
      <c r="F24" s="265"/>
      <c r="G24" s="255"/>
      <c r="H24" s="266"/>
      <c r="I24" s="267"/>
      <c r="J24" s="268"/>
      <c r="K24" s="125"/>
      <c r="L24" s="125"/>
      <c r="M24" s="125"/>
      <c r="N24" s="269"/>
      <c r="O24" s="125"/>
      <c r="P24" s="125"/>
      <c r="Q24" s="125"/>
      <c r="R24" s="270"/>
      <c r="S24" s="125"/>
      <c r="T24" s="271"/>
      <c r="U24" s="271"/>
      <c r="V24" s="271"/>
      <c r="W24" s="272"/>
      <c r="X24" s="106"/>
      <c r="Y24" s="106"/>
      <c r="Z24" s="106"/>
      <c r="AA24" s="106"/>
      <c r="AB24" s="106"/>
      <c r="AC24" s="106"/>
      <c r="AD24" s="106"/>
      <c r="AE24" s="106"/>
      <c r="AF24" s="106"/>
      <c r="AG24" s="106"/>
      <c r="AH24" s="106"/>
      <c r="AI24" s="106"/>
      <c r="AJ24" s="106"/>
      <c r="AK24" s="106"/>
      <c r="AL24" s="106"/>
      <c r="AM24" s="106"/>
      <c r="AN24" s="106"/>
      <c r="AO24" s="106"/>
      <c r="AP24" s="106"/>
      <c r="AQ24" s="106"/>
      <c r="AR24" s="184">
        <v>0</v>
      </c>
    </row>
    <row r="25" s="184" customFormat="1" ht="17.25" hidden="1" customHeight="1">
      <c r="A25" s="253"/>
      <c r="C25" s="184"/>
      <c r="D25" s="274"/>
      <c r="E25" s="275"/>
      <c r="F25" s="265"/>
      <c r="G25" s="275"/>
      <c r="H25" s="266"/>
      <c r="I25" s="267"/>
      <c r="J25" s="273"/>
      <c r="K25" s="125"/>
      <c r="L25" s="125"/>
      <c r="M25" s="125"/>
      <c r="N25" s="270"/>
      <c r="O25" s="125"/>
      <c r="P25" s="125"/>
      <c r="Q25" s="271"/>
      <c r="R25" s="271"/>
      <c r="S25" s="184"/>
      <c r="T25" s="184"/>
      <c r="U25" s="184"/>
      <c r="V25" s="184"/>
      <c r="W25" s="272"/>
      <c r="X25" s="106"/>
      <c r="Y25" s="106"/>
      <c r="Z25" s="106"/>
      <c r="AA25" s="106"/>
      <c r="AB25" s="106"/>
      <c r="AC25" s="106"/>
      <c r="AD25" s="106"/>
      <c r="AE25" s="106"/>
      <c r="AF25" s="106"/>
      <c r="AG25" s="106"/>
      <c r="AH25" s="106"/>
      <c r="AI25" s="106"/>
      <c r="AJ25" s="106"/>
      <c r="AK25" s="106"/>
      <c r="AL25" s="106"/>
      <c r="AM25" s="106"/>
      <c r="AN25" s="106"/>
      <c r="AO25" s="106"/>
      <c r="AP25" s="106"/>
      <c r="AQ25" s="106"/>
      <c r="AR25" s="184">
        <v>0</v>
      </c>
    </row>
    <row r="26" s="184" customFormat="1" ht="17.25" hidden="1" customHeight="1">
      <c r="A26" s="253"/>
      <c r="C26" s="184"/>
      <c r="D26" s="274"/>
      <c r="E26" s="275"/>
      <c r="F26" s="265"/>
      <c r="G26" s="275"/>
      <c r="H26" s="266"/>
      <c r="I26" s="267"/>
      <c r="J26" s="273"/>
      <c r="K26" s="125"/>
      <c r="L26" s="271"/>
      <c r="M26" s="271"/>
      <c r="N26" s="271"/>
      <c r="O26" s="271"/>
      <c r="P26" s="271"/>
      <c r="Q26" s="271"/>
      <c r="R26" s="271"/>
      <c r="S26" s="184"/>
      <c r="T26" s="184"/>
      <c r="U26" s="184"/>
      <c r="V26" s="184"/>
      <c r="W26" s="272"/>
      <c r="X26" s="106"/>
      <c r="Y26" s="106"/>
      <c r="Z26" s="106"/>
      <c r="AA26" s="106"/>
      <c r="AB26" s="106"/>
      <c r="AC26" s="106"/>
      <c r="AD26" s="106"/>
      <c r="AE26" s="106"/>
      <c r="AF26" s="106"/>
      <c r="AG26" s="106"/>
      <c r="AH26" s="106"/>
      <c r="AI26" s="106"/>
      <c r="AJ26" s="106"/>
      <c r="AK26" s="106"/>
      <c r="AL26" s="106"/>
      <c r="AM26" s="106"/>
      <c r="AN26" s="106"/>
      <c r="AO26" s="106"/>
      <c r="AP26" s="106"/>
      <c r="AQ26" s="106"/>
      <c r="AR26" s="184">
        <v>0</v>
      </c>
    </row>
    <row r="27" s="184" customFormat="1" ht="17.25" hidden="1" customHeight="1">
      <c r="A27" s="253"/>
      <c r="C27" s="184"/>
      <c r="D27" s="274"/>
      <c r="E27" s="275"/>
      <c r="F27" s="276"/>
      <c r="G27" s="275"/>
      <c r="H27" s="277"/>
      <c r="I27" s="278"/>
      <c r="J27" s="278"/>
      <c r="K27" s="278"/>
      <c r="L27" s="278"/>
      <c r="M27" s="278"/>
      <c r="N27" s="278"/>
      <c r="O27" s="278"/>
      <c r="P27" s="278"/>
      <c r="Q27" s="278"/>
      <c r="R27" s="278"/>
      <c r="S27" s="279"/>
      <c r="T27" s="279"/>
      <c r="U27" s="279"/>
      <c r="V27" s="279"/>
      <c r="W27" s="280"/>
      <c r="X27" s="106"/>
      <c r="Y27" s="106"/>
      <c r="Z27" s="106"/>
      <c r="AA27" s="106"/>
      <c r="AB27" s="106"/>
      <c r="AC27" s="106"/>
      <c r="AD27" s="106"/>
      <c r="AE27" s="106"/>
      <c r="AF27" s="106"/>
      <c r="AG27" s="106"/>
      <c r="AH27" s="106"/>
      <c r="AI27" s="106"/>
      <c r="AJ27" s="106"/>
      <c r="AK27" s="106"/>
      <c r="AL27" s="106"/>
      <c r="AM27" s="106"/>
      <c r="AN27" s="106"/>
      <c r="AO27" s="106"/>
      <c r="AP27" s="106"/>
      <c r="AQ27" s="106"/>
      <c r="AR27" s="184">
        <v>0</v>
      </c>
    </row>
    <row r="28" s="184" customFormat="1" ht="17.25" customHeight="1">
      <c r="A28" s="253"/>
      <c r="C28" s="128"/>
      <c r="D28" s="254">
        <v>3</v>
      </c>
      <c r="E28" s="255" t="s">
        <v>166</v>
      </c>
      <c r="F28" s="256" t="s">
        <v>19</v>
      </c>
      <c r="G28" s="255"/>
      <c r="H28" s="257"/>
      <c r="I28" s="258"/>
      <c r="J28" s="259"/>
      <c r="K28" s="260"/>
      <c r="L28" s="260"/>
      <c r="M28" s="260"/>
      <c r="N28" s="261"/>
      <c r="O28" s="260"/>
      <c r="P28" s="260"/>
      <c r="Q28" s="260"/>
      <c r="R28" s="262"/>
      <c r="S28" s="260"/>
      <c r="T28" s="260"/>
      <c r="U28" s="260"/>
      <c r="V28" s="262"/>
      <c r="W28" s="263"/>
      <c r="X28" s="264"/>
      <c r="Y28" s="264"/>
      <c r="Z28" s="264"/>
      <c r="AA28" s="264"/>
      <c r="AB28" s="264"/>
      <c r="AC28" s="264" t="s">
        <v>167</v>
      </c>
      <c r="AD28" s="264" t="s">
        <v>168</v>
      </c>
      <c r="AE28" s="264" t="s">
        <v>169</v>
      </c>
      <c r="AF28" s="264" t="s">
        <v>170</v>
      </c>
      <c r="AG28" s="264" t="s">
        <v>171</v>
      </c>
      <c r="AH28" s="264" t="str">
        <f>IF($E$28=0,"",$E$28)</f>
        <v xml:space="preserve">Тарифы на теплоноситель, поставляемый теплоснабжающими организациями потребителям, другим теплоснабжающим организациям</v>
      </c>
      <c r="AI28" s="264" t="str">
        <f>IF($G$28=0,"",$G$28)</f>
        <v/>
      </c>
      <c r="AJ28" s="264" t="str">
        <f>IF($J$28=0,"",$J$28)</f>
        <v/>
      </c>
      <c r="AK28" s="264" t="str">
        <f>IF($K$28="нет","без дифференциации",IF($N$28=0,"",$N$28))</f>
        <v/>
      </c>
      <c r="AL28" s="264" t="str">
        <f>IF($O$28="нет","без дифференциации",IF($R$28=0,"",$R$28))</f>
        <v/>
      </c>
      <c r="AM28" s="264" t="str">
        <f>IF($S$28="нет","без дифференциации",IF($V$28=0,"",$V$28))</f>
        <v/>
      </c>
      <c r="AN28" s="282">
        <f>$I$28</f>
        <v>0</v>
      </c>
      <c r="AO28" s="264" t="str">
        <f>$I$28&amp;"."&amp;$M$28</f>
        <v>.</v>
      </c>
      <c r="AP28" s="106" t="str">
        <f>$I$28&amp;"."&amp;$M$28&amp;"."&amp;$Q$28</f>
        <v>..</v>
      </c>
      <c r="AQ28" s="106" t="str">
        <f>$I$28&amp;"."&amp;$M$28&amp;"."&amp;$Q$28&amp;"."&amp;$U$28</f>
        <v>...</v>
      </c>
      <c r="AR28" s="184">
        <v>0</v>
      </c>
    </row>
    <row r="29" s="184" customFormat="1" ht="17.25" customHeight="1">
      <c r="A29" s="253"/>
      <c r="C29" s="184"/>
      <c r="D29" s="254"/>
      <c r="E29" s="255"/>
      <c r="F29" s="265"/>
      <c r="G29" s="255"/>
      <c r="H29" s="266"/>
      <c r="I29" s="267"/>
      <c r="J29" s="268"/>
      <c r="K29" s="125"/>
      <c r="L29" s="125"/>
      <c r="M29" s="125"/>
      <c r="N29" s="269"/>
      <c r="O29" s="125"/>
      <c r="P29" s="125"/>
      <c r="Q29" s="125"/>
      <c r="R29" s="270"/>
      <c r="S29" s="125"/>
      <c r="T29" s="271"/>
      <c r="U29" s="271"/>
      <c r="V29" s="271"/>
      <c r="W29" s="272"/>
      <c r="X29" s="106"/>
      <c r="Y29" s="106"/>
      <c r="Z29" s="106"/>
      <c r="AA29" s="106"/>
      <c r="AB29" s="106"/>
      <c r="AC29" s="106"/>
      <c r="AD29" s="106"/>
      <c r="AE29" s="106"/>
      <c r="AF29" s="106"/>
      <c r="AG29" s="106"/>
      <c r="AH29" s="106"/>
      <c r="AI29" s="106"/>
      <c r="AJ29" s="106"/>
      <c r="AK29" s="106"/>
      <c r="AL29" s="106"/>
      <c r="AM29" s="106"/>
      <c r="AN29" s="106"/>
      <c r="AO29" s="106"/>
      <c r="AP29" s="106"/>
      <c r="AQ29" s="106"/>
      <c r="AR29" s="184">
        <v>0</v>
      </c>
    </row>
    <row r="30" s="184" customFormat="1" ht="17.25" customHeight="1">
      <c r="A30" s="253"/>
      <c r="C30" s="184"/>
      <c r="D30" s="274"/>
      <c r="E30" s="275"/>
      <c r="F30" s="265"/>
      <c r="G30" s="275"/>
      <c r="H30" s="266"/>
      <c r="I30" s="267"/>
      <c r="J30" s="273"/>
      <c r="K30" s="125"/>
      <c r="L30" s="125"/>
      <c r="M30" s="125"/>
      <c r="N30" s="270"/>
      <c r="O30" s="125"/>
      <c r="P30" s="125"/>
      <c r="Q30" s="271"/>
      <c r="R30" s="271"/>
      <c r="S30" s="184"/>
      <c r="T30" s="184"/>
      <c r="U30" s="184"/>
      <c r="V30" s="184"/>
      <c r="W30" s="272"/>
      <c r="X30" s="106"/>
      <c r="Y30" s="106"/>
      <c r="Z30" s="106"/>
      <c r="AA30" s="106"/>
      <c r="AB30" s="106"/>
      <c r="AC30" s="106"/>
      <c r="AD30" s="106"/>
      <c r="AE30" s="106"/>
      <c r="AF30" s="106"/>
      <c r="AG30" s="106"/>
      <c r="AH30" s="106"/>
      <c r="AI30" s="106"/>
      <c r="AJ30" s="106"/>
      <c r="AK30" s="106"/>
      <c r="AL30" s="106"/>
      <c r="AM30" s="106"/>
      <c r="AN30" s="106"/>
      <c r="AO30" s="106"/>
      <c r="AP30" s="106"/>
      <c r="AQ30" s="106"/>
      <c r="AR30" s="184">
        <v>0</v>
      </c>
    </row>
    <row r="31" s="184" customFormat="1" ht="17.25" customHeight="1">
      <c r="A31" s="253"/>
      <c r="C31" s="184"/>
      <c r="D31" s="274"/>
      <c r="E31" s="275"/>
      <c r="F31" s="265"/>
      <c r="G31" s="275"/>
      <c r="H31" s="266"/>
      <c r="I31" s="267"/>
      <c r="J31" s="273"/>
      <c r="K31" s="125"/>
      <c r="L31" s="271"/>
      <c r="M31" s="271"/>
      <c r="N31" s="271"/>
      <c r="O31" s="271"/>
      <c r="P31" s="271"/>
      <c r="Q31" s="271"/>
      <c r="R31" s="271"/>
      <c r="S31" s="184"/>
      <c r="T31" s="184"/>
      <c r="U31" s="184"/>
      <c r="V31" s="184"/>
      <c r="W31" s="272"/>
      <c r="X31" s="106"/>
      <c r="Y31" s="106"/>
      <c r="Z31" s="106"/>
      <c r="AA31" s="106"/>
      <c r="AB31" s="106"/>
      <c r="AC31" s="106"/>
      <c r="AD31" s="106"/>
      <c r="AE31" s="106"/>
      <c r="AF31" s="106"/>
      <c r="AG31" s="106"/>
      <c r="AH31" s="106"/>
      <c r="AI31" s="106"/>
      <c r="AJ31" s="106"/>
      <c r="AK31" s="106"/>
      <c r="AL31" s="106"/>
      <c r="AM31" s="106"/>
      <c r="AN31" s="106"/>
      <c r="AO31" s="106"/>
      <c r="AP31" s="106"/>
      <c r="AQ31" s="106"/>
      <c r="AR31" s="184">
        <v>0</v>
      </c>
    </row>
    <row r="32" s="184" customFormat="1" ht="17.25" customHeight="1">
      <c r="A32" s="253"/>
      <c r="C32" s="184"/>
      <c r="D32" s="274"/>
      <c r="E32" s="275"/>
      <c r="F32" s="276"/>
      <c r="G32" s="275"/>
      <c r="H32" s="277"/>
      <c r="I32" s="278"/>
      <c r="J32" s="278"/>
      <c r="K32" s="278"/>
      <c r="L32" s="278"/>
      <c r="M32" s="278"/>
      <c r="N32" s="278"/>
      <c r="O32" s="278"/>
      <c r="P32" s="278"/>
      <c r="Q32" s="278"/>
      <c r="R32" s="278"/>
      <c r="S32" s="279"/>
      <c r="T32" s="279"/>
      <c r="U32" s="279"/>
      <c r="V32" s="279"/>
      <c r="W32" s="280"/>
      <c r="X32" s="106"/>
      <c r="Y32" s="106"/>
      <c r="Z32" s="106"/>
      <c r="AA32" s="106"/>
      <c r="AB32" s="106"/>
      <c r="AC32" s="106"/>
      <c r="AD32" s="106"/>
      <c r="AE32" s="106"/>
      <c r="AF32" s="106"/>
      <c r="AG32" s="106"/>
      <c r="AH32" s="106"/>
      <c r="AI32" s="106"/>
      <c r="AJ32" s="106"/>
      <c r="AK32" s="106"/>
      <c r="AL32" s="106"/>
      <c r="AM32" s="106"/>
      <c r="AN32" s="106"/>
      <c r="AO32" s="106"/>
      <c r="AP32" s="106"/>
      <c r="AQ32" s="106"/>
      <c r="AR32" s="184">
        <v>0</v>
      </c>
    </row>
    <row r="33" s="184" customFormat="1" ht="17.25" customHeight="1">
      <c r="A33" s="253"/>
      <c r="C33" s="128"/>
      <c r="D33" s="254">
        <v>4</v>
      </c>
      <c r="E33" s="255" t="s">
        <v>172</v>
      </c>
      <c r="F33" s="256" t="s">
        <v>19</v>
      </c>
      <c r="G33" s="255"/>
      <c r="H33" s="257"/>
      <c r="I33" s="258"/>
      <c r="J33" s="259"/>
      <c r="K33" s="260"/>
      <c r="L33" s="260"/>
      <c r="M33" s="260"/>
      <c r="N33" s="261"/>
      <c r="O33" s="260"/>
      <c r="P33" s="260"/>
      <c r="Q33" s="260"/>
      <c r="R33" s="262"/>
      <c r="S33" s="260"/>
      <c r="T33" s="260"/>
      <c r="U33" s="260"/>
      <c r="V33" s="262"/>
      <c r="W33" s="263"/>
      <c r="X33" s="264"/>
      <c r="Y33" s="264"/>
      <c r="Z33" s="264"/>
      <c r="AA33" s="264"/>
      <c r="AB33" s="264"/>
      <c r="AC33" s="264" t="s">
        <v>173</v>
      </c>
      <c r="AD33" s="264" t="s">
        <v>174</v>
      </c>
      <c r="AE33" s="264" t="s">
        <v>175</v>
      </c>
      <c r="AF33" s="264" t="s">
        <v>176</v>
      </c>
      <c r="AG33" s="264" t="s">
        <v>177</v>
      </c>
      <c r="AH33" s="264" t="str">
        <f>IF($E$33=0,"",$E$33)</f>
        <v xml:space="preserve">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264" t="str">
        <f>IF($G$33=0,"",$G$33)</f>
        <v/>
      </c>
      <c r="AJ33" s="264" t="str">
        <f>IF($J$33=0,"",$J$33)</f>
        <v/>
      </c>
      <c r="AK33" s="264" t="str">
        <f>IF($K$33="нет","без дифференциации",IF($N$33=0,"",$N$33))</f>
        <v/>
      </c>
      <c r="AL33" s="264" t="str">
        <f>IF($O$33="нет","без дифференциации",IF($R$33=0,"",$R$33))</f>
        <v/>
      </c>
      <c r="AM33" s="264" t="str">
        <f>IF($S$33="нет","без дифференциации",IF($V$33=0,"",$V$33))</f>
        <v/>
      </c>
      <c r="AN33" s="282">
        <f>$I$33</f>
        <v>0</v>
      </c>
      <c r="AO33" s="264" t="str">
        <f>$I$33&amp;"."&amp;$M$33</f>
        <v>.</v>
      </c>
      <c r="AP33" s="106" t="str">
        <f>$I$33&amp;"."&amp;$M$33&amp;"."&amp;$Q$33</f>
        <v>..</v>
      </c>
      <c r="AQ33" s="106" t="str">
        <f>$I$33&amp;"."&amp;$M$33&amp;"."&amp;$Q$33&amp;"."&amp;$U$33</f>
        <v>...</v>
      </c>
      <c r="AR33" s="184">
        <v>0</v>
      </c>
    </row>
    <row r="34" s="184" customFormat="1" ht="17.25" customHeight="1">
      <c r="A34" s="253"/>
      <c r="C34" s="184"/>
      <c r="D34" s="254"/>
      <c r="E34" s="255"/>
      <c r="F34" s="265"/>
      <c r="G34" s="255"/>
      <c r="H34" s="266"/>
      <c r="I34" s="267"/>
      <c r="J34" s="268"/>
      <c r="K34" s="125"/>
      <c r="L34" s="125"/>
      <c r="M34" s="125"/>
      <c r="N34" s="269"/>
      <c r="O34" s="125"/>
      <c r="P34" s="125"/>
      <c r="Q34" s="125"/>
      <c r="R34" s="270"/>
      <c r="S34" s="125"/>
      <c r="T34" s="271"/>
      <c r="U34" s="271"/>
      <c r="V34" s="271"/>
      <c r="W34" s="272"/>
      <c r="X34" s="106"/>
      <c r="Y34" s="106"/>
      <c r="Z34" s="106"/>
      <c r="AA34" s="106"/>
      <c r="AB34" s="106"/>
      <c r="AC34" s="106"/>
      <c r="AD34" s="106"/>
      <c r="AE34" s="106"/>
      <c r="AF34" s="106"/>
      <c r="AG34" s="106"/>
      <c r="AH34" s="106"/>
      <c r="AI34" s="106"/>
      <c r="AJ34" s="106"/>
      <c r="AK34" s="106"/>
      <c r="AL34" s="106"/>
      <c r="AM34" s="106"/>
      <c r="AN34" s="106"/>
      <c r="AO34" s="106"/>
      <c r="AP34" s="106"/>
      <c r="AQ34" s="106"/>
      <c r="AR34" s="184">
        <v>0</v>
      </c>
    </row>
    <row r="35" s="184" customFormat="1" ht="17.25" customHeight="1">
      <c r="A35" s="253"/>
      <c r="C35" s="184"/>
      <c r="D35" s="274"/>
      <c r="E35" s="275"/>
      <c r="F35" s="265"/>
      <c r="G35" s="275"/>
      <c r="H35" s="266"/>
      <c r="I35" s="267"/>
      <c r="J35" s="273"/>
      <c r="K35" s="125"/>
      <c r="L35" s="125"/>
      <c r="M35" s="125"/>
      <c r="N35" s="270"/>
      <c r="O35" s="125"/>
      <c r="P35" s="125"/>
      <c r="Q35" s="271"/>
      <c r="R35" s="271"/>
      <c r="S35" s="184"/>
      <c r="T35" s="184"/>
      <c r="U35" s="184"/>
      <c r="V35" s="184"/>
      <c r="W35" s="272"/>
      <c r="X35" s="106"/>
      <c r="Y35" s="106"/>
      <c r="Z35" s="106"/>
      <c r="AA35" s="106"/>
      <c r="AB35" s="106"/>
      <c r="AC35" s="106"/>
      <c r="AD35" s="106"/>
      <c r="AE35" s="106"/>
      <c r="AF35" s="106"/>
      <c r="AG35" s="106"/>
      <c r="AH35" s="106"/>
      <c r="AI35" s="106"/>
      <c r="AJ35" s="106"/>
      <c r="AK35" s="106"/>
      <c r="AL35" s="106"/>
      <c r="AM35" s="106"/>
      <c r="AN35" s="106"/>
      <c r="AO35" s="106"/>
      <c r="AP35" s="106"/>
      <c r="AQ35" s="106"/>
      <c r="AR35" s="184">
        <v>0</v>
      </c>
    </row>
    <row r="36" s="184" customFormat="1" ht="17.25" customHeight="1">
      <c r="A36" s="253"/>
      <c r="C36" s="184"/>
      <c r="D36" s="274"/>
      <c r="E36" s="275"/>
      <c r="F36" s="265"/>
      <c r="G36" s="275"/>
      <c r="H36" s="266"/>
      <c r="I36" s="267"/>
      <c r="J36" s="273"/>
      <c r="K36" s="125"/>
      <c r="L36" s="271"/>
      <c r="M36" s="271"/>
      <c r="N36" s="271"/>
      <c r="O36" s="271"/>
      <c r="P36" s="271"/>
      <c r="Q36" s="271"/>
      <c r="R36" s="271"/>
      <c r="S36" s="184"/>
      <c r="T36" s="184"/>
      <c r="U36" s="184"/>
      <c r="V36" s="184"/>
      <c r="W36" s="272"/>
      <c r="X36" s="106"/>
      <c r="Y36" s="106"/>
      <c r="Z36" s="106"/>
      <c r="AA36" s="106"/>
      <c r="AB36" s="106"/>
      <c r="AC36" s="106"/>
      <c r="AD36" s="106"/>
      <c r="AE36" s="106"/>
      <c r="AF36" s="106"/>
      <c r="AG36" s="106"/>
      <c r="AH36" s="106"/>
      <c r="AI36" s="106"/>
      <c r="AJ36" s="106"/>
      <c r="AK36" s="106"/>
      <c r="AL36" s="106"/>
      <c r="AM36" s="106"/>
      <c r="AN36" s="106"/>
      <c r="AO36" s="106"/>
      <c r="AP36" s="106"/>
      <c r="AQ36" s="106"/>
      <c r="AR36" s="184">
        <v>0</v>
      </c>
    </row>
    <row r="37" s="184" customFormat="1" ht="17.25" customHeight="1">
      <c r="A37" s="253"/>
      <c r="C37" s="184"/>
      <c r="D37" s="274"/>
      <c r="E37" s="275"/>
      <c r="F37" s="276"/>
      <c r="G37" s="275"/>
      <c r="H37" s="277"/>
      <c r="I37" s="278"/>
      <c r="J37" s="278"/>
      <c r="K37" s="278"/>
      <c r="L37" s="278"/>
      <c r="M37" s="278"/>
      <c r="N37" s="278"/>
      <c r="O37" s="278"/>
      <c r="P37" s="278"/>
      <c r="Q37" s="278"/>
      <c r="R37" s="278"/>
      <c r="S37" s="279"/>
      <c r="T37" s="279"/>
      <c r="U37" s="279"/>
      <c r="V37" s="279"/>
      <c r="W37" s="280"/>
      <c r="X37" s="106"/>
      <c r="Y37" s="106"/>
      <c r="Z37" s="106"/>
      <c r="AA37" s="106"/>
      <c r="AB37" s="106"/>
      <c r="AC37" s="106"/>
      <c r="AD37" s="106"/>
      <c r="AE37" s="106"/>
      <c r="AF37" s="106"/>
      <c r="AG37" s="106"/>
      <c r="AH37" s="106"/>
      <c r="AI37" s="106"/>
      <c r="AJ37" s="106"/>
      <c r="AK37" s="106"/>
      <c r="AL37" s="106"/>
      <c r="AM37" s="106"/>
      <c r="AN37" s="106"/>
      <c r="AO37" s="106"/>
      <c r="AP37" s="106"/>
      <c r="AQ37" s="106"/>
      <c r="AR37" s="184">
        <v>0</v>
      </c>
    </row>
    <row r="38" s="184" customFormat="1" ht="17.25" customHeight="1">
      <c r="A38" s="253"/>
      <c r="C38" s="128"/>
      <c r="D38" s="254">
        <v>5</v>
      </c>
      <c r="E38" s="255" t="s">
        <v>178</v>
      </c>
      <c r="F38" s="256" t="s">
        <v>19</v>
      </c>
      <c r="G38" s="255"/>
      <c r="H38" s="257"/>
      <c r="I38" s="258"/>
      <c r="J38" s="259"/>
      <c r="K38" s="260"/>
      <c r="L38" s="260"/>
      <c r="M38" s="260"/>
      <c r="N38" s="261"/>
      <c r="O38" s="260"/>
      <c r="P38" s="260"/>
      <c r="Q38" s="260"/>
      <c r="R38" s="262"/>
      <c r="S38" s="260"/>
      <c r="T38" s="260"/>
      <c r="U38" s="260"/>
      <c r="V38" s="262"/>
      <c r="W38" s="263"/>
      <c r="X38" s="264"/>
      <c r="Y38" s="264"/>
      <c r="Z38" s="264"/>
      <c r="AA38" s="264"/>
      <c r="AB38" s="264"/>
      <c r="AC38" s="264" t="s">
        <v>179</v>
      </c>
      <c r="AD38" s="264" t="s">
        <v>180</v>
      </c>
      <c r="AE38" s="264" t="s">
        <v>181</v>
      </c>
      <c r="AF38" s="264" t="s">
        <v>182</v>
      </c>
      <c r="AG38" s="264" t="s">
        <v>183</v>
      </c>
      <c r="AH38" s="264" t="str">
        <f>IF($E$38=0,"",$E$38)</f>
        <v xml:space="preserve">Тарифы на услуги по передаче тепловой энергии</v>
      </c>
      <c r="AI38" s="264" t="str">
        <f>IF($G$38=0,"",$G$38)</f>
        <v/>
      </c>
      <c r="AJ38" s="264" t="str">
        <f>IF($J$38=0,"",$J$38)</f>
        <v/>
      </c>
      <c r="AK38" s="264" t="str">
        <f>IF($K$38="нет","без дифференциации",IF($N$38=0,"",$N$38))</f>
        <v/>
      </c>
      <c r="AL38" s="264" t="str">
        <f>IF($O$38="нет","без дифференциации",IF($R$38=0,"",$R$38))</f>
        <v/>
      </c>
      <c r="AM38" s="264" t="str">
        <f>IF($S$38="нет","без дифференциации",IF($V$38=0,"",$V$38))</f>
        <v/>
      </c>
      <c r="AN38" s="282">
        <f>$I$38</f>
        <v>0</v>
      </c>
      <c r="AO38" s="264" t="str">
        <f>$I$38&amp;"."&amp;$M$38</f>
        <v>.</v>
      </c>
      <c r="AP38" s="106" t="str">
        <f>$I$38&amp;"."&amp;$M$38&amp;"."&amp;$Q$38</f>
        <v>..</v>
      </c>
      <c r="AQ38" s="106" t="str">
        <f>$I$38&amp;"."&amp;$M$38&amp;"."&amp;$Q$38&amp;"."&amp;$U$38</f>
        <v>...</v>
      </c>
      <c r="AR38" s="184">
        <v>0</v>
      </c>
    </row>
    <row r="39" s="184" customFormat="1" ht="17.25" customHeight="1">
      <c r="A39" s="253"/>
      <c r="C39" s="184"/>
      <c r="D39" s="254"/>
      <c r="E39" s="255"/>
      <c r="F39" s="265"/>
      <c r="G39" s="255"/>
      <c r="H39" s="266"/>
      <c r="I39" s="267"/>
      <c r="J39" s="268"/>
      <c r="K39" s="125"/>
      <c r="L39" s="125"/>
      <c r="M39" s="125"/>
      <c r="N39" s="269"/>
      <c r="O39" s="125"/>
      <c r="P39" s="125"/>
      <c r="Q39" s="125"/>
      <c r="R39" s="270"/>
      <c r="S39" s="125"/>
      <c r="T39" s="271"/>
      <c r="U39" s="271"/>
      <c r="V39" s="271"/>
      <c r="W39" s="272"/>
      <c r="X39" s="106"/>
      <c r="Y39" s="106"/>
      <c r="Z39" s="106"/>
      <c r="AA39" s="106"/>
      <c r="AB39" s="106"/>
      <c r="AC39" s="106"/>
      <c r="AD39" s="106"/>
      <c r="AE39" s="106"/>
      <c r="AF39" s="106"/>
      <c r="AG39" s="106"/>
      <c r="AH39" s="106"/>
      <c r="AI39" s="106"/>
      <c r="AJ39" s="106"/>
      <c r="AK39" s="106"/>
      <c r="AL39" s="106"/>
      <c r="AM39" s="106"/>
      <c r="AN39" s="106"/>
      <c r="AO39" s="106"/>
      <c r="AP39" s="106"/>
      <c r="AQ39" s="106"/>
      <c r="AR39" s="184">
        <v>0</v>
      </c>
    </row>
    <row r="40" s="184" customFormat="1" ht="17.25" customHeight="1">
      <c r="A40" s="253"/>
      <c r="C40" s="184"/>
      <c r="D40" s="274"/>
      <c r="E40" s="275"/>
      <c r="F40" s="265"/>
      <c r="G40" s="275"/>
      <c r="H40" s="266"/>
      <c r="I40" s="267"/>
      <c r="J40" s="273"/>
      <c r="K40" s="125"/>
      <c r="L40" s="125"/>
      <c r="M40" s="125"/>
      <c r="N40" s="270"/>
      <c r="O40" s="125"/>
      <c r="P40" s="125"/>
      <c r="Q40" s="271"/>
      <c r="R40" s="271"/>
      <c r="S40" s="184"/>
      <c r="T40" s="184"/>
      <c r="U40" s="184"/>
      <c r="V40" s="184"/>
      <c r="W40" s="272"/>
      <c r="X40" s="106"/>
      <c r="Y40" s="106"/>
      <c r="Z40" s="106"/>
      <c r="AA40" s="106"/>
      <c r="AB40" s="106"/>
      <c r="AC40" s="106"/>
      <c r="AD40" s="106"/>
      <c r="AE40" s="106"/>
      <c r="AF40" s="106"/>
      <c r="AG40" s="106"/>
      <c r="AH40" s="106"/>
      <c r="AI40" s="106"/>
      <c r="AJ40" s="106"/>
      <c r="AK40" s="106"/>
      <c r="AL40" s="106"/>
      <c r="AM40" s="106"/>
      <c r="AN40" s="106"/>
      <c r="AO40" s="106"/>
      <c r="AP40" s="106"/>
      <c r="AQ40" s="106"/>
      <c r="AR40" s="184">
        <v>0</v>
      </c>
    </row>
    <row r="41" s="184" customFormat="1" ht="17.25" customHeight="1">
      <c r="A41" s="253"/>
      <c r="C41" s="184"/>
      <c r="D41" s="274"/>
      <c r="E41" s="275"/>
      <c r="F41" s="265"/>
      <c r="G41" s="275"/>
      <c r="H41" s="266"/>
      <c r="I41" s="267"/>
      <c r="J41" s="273"/>
      <c r="K41" s="125"/>
      <c r="L41" s="271"/>
      <c r="M41" s="271"/>
      <c r="N41" s="271"/>
      <c r="O41" s="271"/>
      <c r="P41" s="271"/>
      <c r="Q41" s="271"/>
      <c r="R41" s="271"/>
      <c r="S41" s="184"/>
      <c r="T41" s="184"/>
      <c r="U41" s="184"/>
      <c r="V41" s="184"/>
      <c r="W41" s="272"/>
      <c r="X41" s="106"/>
      <c r="Y41" s="106"/>
      <c r="Z41" s="106"/>
      <c r="AA41" s="106"/>
      <c r="AB41" s="106"/>
      <c r="AC41" s="106"/>
      <c r="AD41" s="106"/>
      <c r="AE41" s="106"/>
      <c r="AF41" s="106"/>
      <c r="AG41" s="106"/>
      <c r="AH41" s="106"/>
      <c r="AI41" s="106"/>
      <c r="AJ41" s="106"/>
      <c r="AK41" s="106"/>
      <c r="AL41" s="106"/>
      <c r="AM41" s="106"/>
      <c r="AN41" s="106"/>
      <c r="AO41" s="106"/>
      <c r="AP41" s="106"/>
      <c r="AQ41" s="106"/>
      <c r="AR41" s="184">
        <v>0</v>
      </c>
    </row>
    <row r="42" s="184" customFormat="1" ht="17.25" customHeight="1">
      <c r="A42" s="253"/>
      <c r="C42" s="184"/>
      <c r="D42" s="274"/>
      <c r="E42" s="275"/>
      <c r="F42" s="276"/>
      <c r="G42" s="275"/>
      <c r="H42" s="277"/>
      <c r="I42" s="278"/>
      <c r="J42" s="278"/>
      <c r="K42" s="278"/>
      <c r="L42" s="278"/>
      <c r="M42" s="278"/>
      <c r="N42" s="278"/>
      <c r="O42" s="278"/>
      <c r="P42" s="278"/>
      <c r="Q42" s="278"/>
      <c r="R42" s="278"/>
      <c r="S42" s="279"/>
      <c r="T42" s="279"/>
      <c r="U42" s="279"/>
      <c r="V42" s="279"/>
      <c r="W42" s="280"/>
      <c r="X42" s="106"/>
      <c r="Y42" s="106"/>
      <c r="Z42" s="106"/>
      <c r="AA42" s="106"/>
      <c r="AB42" s="106"/>
      <c r="AC42" s="106"/>
      <c r="AD42" s="106"/>
      <c r="AE42" s="106"/>
      <c r="AF42" s="106"/>
      <c r="AG42" s="106"/>
      <c r="AH42" s="106"/>
      <c r="AI42" s="106"/>
      <c r="AJ42" s="106"/>
      <c r="AK42" s="106"/>
      <c r="AL42" s="106"/>
      <c r="AM42" s="106"/>
      <c r="AN42" s="106"/>
      <c r="AO42" s="106"/>
      <c r="AP42" s="106"/>
      <c r="AQ42" s="106"/>
      <c r="AR42" s="184">
        <v>0</v>
      </c>
    </row>
    <row r="43" s="184" customFormat="1" ht="17.25" customHeight="1">
      <c r="A43" s="253"/>
      <c r="C43" s="128"/>
      <c r="D43" s="254">
        <v>6</v>
      </c>
      <c r="E43" s="255" t="s">
        <v>184</v>
      </c>
      <c r="F43" s="256" t="s">
        <v>19</v>
      </c>
      <c r="G43" s="255"/>
      <c r="H43" s="257"/>
      <c r="I43" s="258"/>
      <c r="J43" s="259"/>
      <c r="K43" s="260"/>
      <c r="L43" s="260"/>
      <c r="M43" s="260"/>
      <c r="N43" s="261"/>
      <c r="O43" s="260"/>
      <c r="P43" s="260"/>
      <c r="Q43" s="260"/>
      <c r="R43" s="262"/>
      <c r="S43" s="260"/>
      <c r="T43" s="260"/>
      <c r="U43" s="260"/>
      <c r="V43" s="262"/>
      <c r="W43" s="263"/>
      <c r="X43" s="264"/>
      <c r="Y43" s="264"/>
      <c r="Z43" s="264"/>
      <c r="AA43" s="264"/>
      <c r="AB43" s="264"/>
      <c r="AC43" s="264" t="s">
        <v>185</v>
      </c>
      <c r="AD43" s="264" t="s">
        <v>186</v>
      </c>
      <c r="AE43" s="264" t="s">
        <v>187</v>
      </c>
      <c r="AF43" s="264" t="s">
        <v>188</v>
      </c>
      <c r="AG43" s="264" t="s">
        <v>189</v>
      </c>
      <c r="AH43" s="264" t="str">
        <f>IF($E$43=0,"",$E$43)</f>
        <v xml:space="preserve">Тарифы на услуги по передаче теплоносителя</v>
      </c>
      <c r="AI43" s="264" t="str">
        <f>IF($G$43=0,"",$G$43)</f>
        <v/>
      </c>
      <c r="AJ43" s="264" t="str">
        <f>IF($J$43=0,"",$J$43)</f>
        <v/>
      </c>
      <c r="AK43" s="264" t="str">
        <f>IF($K$43="нет","без дифференциации",IF($N$43=0,"",$N$43))</f>
        <v/>
      </c>
      <c r="AL43" s="264" t="str">
        <f>IF($O$43="нет","без дифференциации",IF($R$43=0,"",$R$43))</f>
        <v/>
      </c>
      <c r="AM43" s="264" t="str">
        <f>IF($S$43="нет","без дифференциации",IF($V$43=0,"",$V$43))</f>
        <v/>
      </c>
      <c r="AN43" s="282">
        <f>$I$43</f>
        <v>0</v>
      </c>
      <c r="AO43" s="264" t="str">
        <f>$I$43&amp;"."&amp;$M$43</f>
        <v>.</v>
      </c>
      <c r="AP43" s="106" t="str">
        <f>$I$43&amp;"."&amp;$M$43&amp;"."&amp;$Q$43</f>
        <v>..</v>
      </c>
      <c r="AQ43" s="106" t="str">
        <f>$I$43&amp;"."&amp;$M$43&amp;"."&amp;$Q$43&amp;"."&amp;$U$43</f>
        <v>...</v>
      </c>
      <c r="AR43" s="184">
        <v>0</v>
      </c>
    </row>
    <row r="44" s="184" customFormat="1" ht="17.25" customHeight="1">
      <c r="A44" s="253"/>
      <c r="C44" s="184"/>
      <c r="D44" s="254"/>
      <c r="E44" s="255"/>
      <c r="F44" s="265"/>
      <c r="G44" s="255"/>
      <c r="H44" s="266"/>
      <c r="I44" s="267"/>
      <c r="J44" s="268"/>
      <c r="K44" s="125"/>
      <c r="L44" s="125"/>
      <c r="M44" s="125"/>
      <c r="N44" s="269"/>
      <c r="O44" s="125"/>
      <c r="P44" s="125"/>
      <c r="Q44" s="125"/>
      <c r="R44" s="270"/>
      <c r="S44" s="125"/>
      <c r="T44" s="271"/>
      <c r="U44" s="271"/>
      <c r="V44" s="271"/>
      <c r="W44" s="272"/>
      <c r="X44" s="106"/>
      <c r="Y44" s="106"/>
      <c r="Z44" s="106"/>
      <c r="AA44" s="106"/>
      <c r="AB44" s="106"/>
      <c r="AC44" s="106"/>
      <c r="AD44" s="106"/>
      <c r="AE44" s="106"/>
      <c r="AF44" s="106"/>
      <c r="AG44" s="106"/>
      <c r="AH44" s="106"/>
      <c r="AI44" s="106"/>
      <c r="AJ44" s="106"/>
      <c r="AK44" s="106"/>
      <c r="AL44" s="106"/>
      <c r="AM44" s="106"/>
      <c r="AN44" s="106"/>
      <c r="AO44" s="106"/>
      <c r="AP44" s="106"/>
      <c r="AQ44" s="106"/>
      <c r="AR44" s="184">
        <v>0</v>
      </c>
    </row>
    <row r="45" s="184" customFormat="1" ht="17.25" customHeight="1">
      <c r="A45" s="253"/>
      <c r="C45" s="184"/>
      <c r="D45" s="274"/>
      <c r="E45" s="275"/>
      <c r="F45" s="265"/>
      <c r="G45" s="275"/>
      <c r="H45" s="266"/>
      <c r="I45" s="267"/>
      <c r="J45" s="273"/>
      <c r="K45" s="125"/>
      <c r="L45" s="125"/>
      <c r="M45" s="125"/>
      <c r="N45" s="270"/>
      <c r="O45" s="125"/>
      <c r="P45" s="125"/>
      <c r="Q45" s="271"/>
      <c r="R45" s="271"/>
      <c r="S45" s="184"/>
      <c r="T45" s="184"/>
      <c r="U45" s="184"/>
      <c r="V45" s="184"/>
      <c r="W45" s="272"/>
      <c r="X45" s="106"/>
      <c r="Y45" s="106"/>
      <c r="Z45" s="106"/>
      <c r="AA45" s="106"/>
      <c r="AB45" s="106"/>
      <c r="AC45" s="106"/>
      <c r="AD45" s="106"/>
      <c r="AE45" s="106"/>
      <c r="AF45" s="106"/>
      <c r="AG45" s="106"/>
      <c r="AH45" s="106"/>
      <c r="AI45" s="106"/>
      <c r="AJ45" s="106"/>
      <c r="AK45" s="106"/>
      <c r="AL45" s="106"/>
      <c r="AM45" s="106"/>
      <c r="AN45" s="106"/>
      <c r="AO45" s="106"/>
      <c r="AP45" s="106"/>
      <c r="AQ45" s="106"/>
      <c r="AR45" s="184">
        <v>0</v>
      </c>
    </row>
    <row r="46" s="184" customFormat="1" ht="17.25" customHeight="1">
      <c r="A46" s="253"/>
      <c r="C46" s="128"/>
      <c r="D46" s="274"/>
      <c r="E46" s="275"/>
      <c r="F46" s="265"/>
      <c r="G46" s="275"/>
      <c r="H46" s="266"/>
      <c r="I46" s="267"/>
      <c r="J46" s="273"/>
      <c r="K46" s="125"/>
      <c r="L46" s="271"/>
      <c r="M46" s="271"/>
      <c r="N46" s="271"/>
      <c r="O46" s="271"/>
      <c r="P46" s="271"/>
      <c r="Q46" s="271"/>
      <c r="R46" s="271"/>
      <c r="S46" s="184"/>
      <c r="T46" s="184"/>
      <c r="U46" s="184"/>
      <c r="V46" s="184"/>
      <c r="W46" s="272"/>
      <c r="Y46" s="264"/>
      <c r="Z46" s="264"/>
      <c r="AA46" s="264"/>
      <c r="AB46" s="264"/>
      <c r="AC46" s="264"/>
      <c r="AD46" s="264"/>
      <c r="AE46" s="264"/>
      <c r="AF46" s="264"/>
      <c r="AG46" s="264"/>
      <c r="AH46" s="264"/>
      <c r="AI46" s="264"/>
      <c r="AJ46" s="264"/>
      <c r="AK46" s="264"/>
      <c r="AL46" s="264"/>
      <c r="AM46" s="264"/>
      <c r="AN46" s="264"/>
      <c r="AO46" s="264"/>
      <c r="AP46" s="264"/>
      <c r="AQ46" s="264"/>
      <c r="AR46" s="184">
        <v>0</v>
      </c>
    </row>
    <row r="47" s="184" customFormat="1" ht="17.25" customHeight="1">
      <c r="A47" s="253"/>
      <c r="C47" s="184"/>
      <c r="D47" s="274"/>
      <c r="E47" s="275"/>
      <c r="F47" s="276"/>
      <c r="G47" s="275"/>
      <c r="H47" s="277"/>
      <c r="I47" s="278"/>
      <c r="J47" s="278"/>
      <c r="K47" s="278"/>
      <c r="L47" s="278"/>
      <c r="M47" s="278"/>
      <c r="N47" s="278"/>
      <c r="O47" s="278"/>
      <c r="P47" s="278"/>
      <c r="Q47" s="278"/>
      <c r="R47" s="278"/>
      <c r="S47" s="279"/>
      <c r="T47" s="279"/>
      <c r="U47" s="279"/>
      <c r="V47" s="279"/>
      <c r="W47" s="280"/>
      <c r="X47" s="106"/>
      <c r="Y47" s="106"/>
      <c r="Z47" s="106"/>
      <c r="AA47" s="106"/>
      <c r="AB47" s="106"/>
      <c r="AC47" s="106"/>
      <c r="AD47" s="106"/>
      <c r="AE47" s="106"/>
      <c r="AF47" s="106"/>
      <c r="AG47" s="106"/>
      <c r="AH47" s="106"/>
      <c r="AI47" s="106"/>
      <c r="AJ47" s="106"/>
      <c r="AK47" s="106"/>
      <c r="AL47" s="106"/>
      <c r="AM47" s="106"/>
      <c r="AN47" s="106"/>
      <c r="AO47" s="106"/>
      <c r="AP47" s="106"/>
      <c r="AQ47" s="106"/>
      <c r="AR47" s="184">
        <v>0</v>
      </c>
    </row>
    <row r="48" s="184" customFormat="1" ht="17.25" customHeight="1">
      <c r="A48" s="253"/>
      <c r="C48" s="128"/>
      <c r="D48" s="284">
        <v>7</v>
      </c>
      <c r="E48" s="285" t="s">
        <v>190</v>
      </c>
      <c r="F48" s="256" t="s">
        <v>19</v>
      </c>
      <c r="G48" s="285"/>
      <c r="H48" s="257"/>
      <c r="I48" s="258"/>
      <c r="J48" s="259"/>
      <c r="K48" s="260"/>
      <c r="L48" s="260"/>
      <c r="M48" s="260"/>
      <c r="N48" s="261"/>
      <c r="O48" s="260"/>
      <c r="P48" s="260"/>
      <c r="Q48" s="260"/>
      <c r="R48" s="262"/>
      <c r="S48" s="260"/>
      <c r="T48" s="260"/>
      <c r="U48" s="260"/>
      <c r="V48" s="262"/>
      <c r="W48" s="263"/>
      <c r="X48" s="264"/>
      <c r="Y48" s="264"/>
      <c r="Z48" s="264"/>
      <c r="AA48" s="264"/>
      <c r="AB48" s="264"/>
      <c r="AC48" s="264" t="s">
        <v>191</v>
      </c>
      <c r="AD48" s="264" t="s">
        <v>192</v>
      </c>
      <c r="AE48" s="264" t="s">
        <v>193</v>
      </c>
      <c r="AF48" s="264" t="s">
        <v>194</v>
      </c>
      <c r="AG48" s="264" t="s">
        <v>195</v>
      </c>
      <c r="AH48" s="264" t="str">
        <f>IF($E$48=0,"",$E$48)</f>
        <v xml:space="preserve">Плата за услуги по поддержанию резервной тепловой мощности при отсутствии потребления тепловой энергии</v>
      </c>
      <c r="AI48" s="264" t="str">
        <f>IF($G$48=0,"",$G$48)</f>
        <v/>
      </c>
      <c r="AJ48" s="264" t="str">
        <f>IF($J$48=0,"",$J$48)</f>
        <v/>
      </c>
      <c r="AK48" s="264" t="str">
        <f>IF($K$48="нет","без дифференциации",IF($N$48=0,"",$N$48))</f>
        <v/>
      </c>
      <c r="AL48" s="264" t="str">
        <f>IF($O$48="нет","без дифференциации",IF($R$48=0,"",$R$48))</f>
        <v/>
      </c>
      <c r="AM48" s="264" t="str">
        <f>IF($S$48="нет","без дифференциации",IF($V$48=0,"",$V$48))</f>
        <v/>
      </c>
      <c r="AN48" s="282">
        <f>$I$48</f>
        <v>0</v>
      </c>
      <c r="AO48" s="264" t="str">
        <f>$I$48&amp;"."&amp;$M$48</f>
        <v>.</v>
      </c>
      <c r="AP48" s="106" t="str">
        <f>$I$48&amp;"."&amp;$M$48&amp;"."&amp;$Q$48</f>
        <v>..</v>
      </c>
      <c r="AQ48" s="106" t="str">
        <f>$I$48&amp;"."&amp;$M$48&amp;"."&amp;$Q$48&amp;"."&amp;$U$48</f>
        <v>...</v>
      </c>
      <c r="AR48" s="184">
        <v>0</v>
      </c>
    </row>
    <row r="49" s="184" customFormat="1" ht="17.25" customHeight="1">
      <c r="A49" s="253"/>
      <c r="C49" s="184"/>
      <c r="D49" s="286"/>
      <c r="E49" s="287"/>
      <c r="F49" s="265"/>
      <c r="G49" s="287"/>
      <c r="H49" s="266"/>
      <c r="I49" s="267"/>
      <c r="J49" s="268"/>
      <c r="K49" s="125"/>
      <c r="L49" s="125"/>
      <c r="M49" s="125"/>
      <c r="N49" s="269"/>
      <c r="O49" s="125"/>
      <c r="P49" s="125"/>
      <c r="Q49" s="125"/>
      <c r="R49" s="270"/>
      <c r="S49" s="125"/>
      <c r="T49" s="271"/>
      <c r="U49" s="271"/>
      <c r="V49" s="271"/>
      <c r="W49" s="272"/>
      <c r="X49" s="106"/>
      <c r="Y49" s="106"/>
      <c r="Z49" s="106"/>
      <c r="AA49" s="106"/>
      <c r="AB49" s="106"/>
      <c r="AC49" s="106"/>
      <c r="AD49" s="106"/>
      <c r="AE49" s="106"/>
      <c r="AF49" s="106"/>
      <c r="AG49" s="106"/>
      <c r="AH49" s="106"/>
      <c r="AI49" s="106"/>
      <c r="AJ49" s="106"/>
      <c r="AK49" s="106"/>
      <c r="AL49" s="106"/>
      <c r="AM49" s="106"/>
      <c r="AN49" s="106"/>
      <c r="AO49" s="106"/>
      <c r="AP49" s="106"/>
      <c r="AQ49" s="106"/>
      <c r="AR49" s="184">
        <v>0</v>
      </c>
    </row>
    <row r="50" s="184" customFormat="1" ht="17.25" customHeight="1">
      <c r="A50" s="253"/>
      <c r="C50" s="184"/>
      <c r="D50" s="286"/>
      <c r="E50" s="287"/>
      <c r="F50" s="265"/>
      <c r="G50" s="287"/>
      <c r="H50" s="266"/>
      <c r="I50" s="267"/>
      <c r="J50" s="273"/>
      <c r="K50" s="125"/>
      <c r="L50" s="125"/>
      <c r="M50" s="125"/>
      <c r="N50" s="270"/>
      <c r="O50" s="125"/>
      <c r="P50" s="125"/>
      <c r="Q50" s="271"/>
      <c r="R50" s="271"/>
      <c r="S50" s="184"/>
      <c r="T50" s="184"/>
      <c r="U50" s="184"/>
      <c r="V50" s="184"/>
      <c r="W50" s="272"/>
      <c r="X50" s="106"/>
      <c r="Y50" s="106"/>
      <c r="Z50" s="106"/>
      <c r="AA50" s="106"/>
      <c r="AB50" s="106"/>
      <c r="AC50" s="106"/>
      <c r="AD50" s="106"/>
      <c r="AE50" s="106"/>
      <c r="AF50" s="106"/>
      <c r="AG50" s="106"/>
      <c r="AH50" s="106"/>
      <c r="AI50" s="106"/>
      <c r="AJ50" s="106"/>
      <c r="AK50" s="106"/>
      <c r="AL50" s="106"/>
      <c r="AM50" s="106"/>
      <c r="AN50" s="106"/>
      <c r="AO50" s="106"/>
      <c r="AP50" s="106"/>
      <c r="AQ50" s="106"/>
      <c r="AR50" s="184">
        <v>0</v>
      </c>
    </row>
    <row r="51" s="184" customFormat="1" ht="17.25" customHeight="1">
      <c r="A51" s="253"/>
      <c r="C51" s="128"/>
      <c r="D51" s="286"/>
      <c r="E51" s="287"/>
      <c r="F51" s="265"/>
      <c r="G51" s="287"/>
      <c r="H51" s="266"/>
      <c r="I51" s="267"/>
      <c r="J51" s="273"/>
      <c r="K51" s="125"/>
      <c r="L51" s="271"/>
      <c r="M51" s="271"/>
      <c r="N51" s="271"/>
      <c r="O51" s="271"/>
      <c r="P51" s="271"/>
      <c r="Q51" s="271"/>
      <c r="R51" s="271"/>
      <c r="S51" s="184"/>
      <c r="T51" s="184"/>
      <c r="U51" s="184"/>
      <c r="V51" s="184"/>
      <c r="W51" s="272"/>
      <c r="Y51" s="264"/>
      <c r="Z51" s="264"/>
      <c r="AA51" s="264"/>
      <c r="AB51" s="264"/>
      <c r="AC51" s="264"/>
      <c r="AD51" s="264"/>
      <c r="AE51" s="264"/>
      <c r="AF51" s="264"/>
      <c r="AG51" s="264"/>
      <c r="AH51" s="264"/>
      <c r="AI51" s="264"/>
      <c r="AJ51" s="264"/>
      <c r="AK51" s="264"/>
      <c r="AL51" s="264"/>
      <c r="AM51" s="264"/>
      <c r="AN51" s="264"/>
      <c r="AO51" s="264"/>
      <c r="AP51" s="264"/>
      <c r="AQ51" s="264"/>
      <c r="AR51" s="184">
        <v>0</v>
      </c>
    </row>
    <row r="52" s="184" customFormat="1" ht="17.25" customHeight="1">
      <c r="A52" s="253"/>
      <c r="C52" s="184"/>
      <c r="D52" s="288"/>
      <c r="E52" s="289"/>
      <c r="F52" s="276"/>
      <c r="G52" s="289"/>
      <c r="H52" s="277"/>
      <c r="I52" s="278"/>
      <c r="J52" s="278"/>
      <c r="K52" s="278"/>
      <c r="L52" s="278"/>
      <c r="M52" s="278"/>
      <c r="N52" s="278"/>
      <c r="O52" s="278"/>
      <c r="P52" s="278"/>
      <c r="Q52" s="278"/>
      <c r="R52" s="278"/>
      <c r="S52" s="279"/>
      <c r="T52" s="279"/>
      <c r="U52" s="279"/>
      <c r="V52" s="279"/>
      <c r="W52" s="280"/>
      <c r="X52" s="106"/>
      <c r="Y52" s="106"/>
      <c r="Z52" s="106"/>
      <c r="AA52" s="106"/>
      <c r="AB52" s="106"/>
      <c r="AC52" s="106"/>
      <c r="AD52" s="106"/>
      <c r="AE52" s="106"/>
      <c r="AF52" s="106"/>
      <c r="AG52" s="106"/>
      <c r="AH52" s="106"/>
      <c r="AI52" s="106"/>
      <c r="AJ52" s="106"/>
      <c r="AK52" s="106"/>
      <c r="AL52" s="106"/>
      <c r="AM52" s="106"/>
      <c r="AN52" s="106"/>
      <c r="AO52" s="106"/>
      <c r="AP52" s="106"/>
      <c r="AQ52" s="106"/>
      <c r="AR52" s="184">
        <v>0</v>
      </c>
    </row>
    <row r="53" s="184" customFormat="1" ht="17.25" customHeight="1">
      <c r="A53" s="253"/>
      <c r="C53" s="128"/>
      <c r="D53" s="254">
        <v>8</v>
      </c>
      <c r="E53" s="255" t="s">
        <v>196</v>
      </c>
      <c r="F53" s="256" t="s">
        <v>19</v>
      </c>
      <c r="G53" s="255"/>
      <c r="H53" s="257"/>
      <c r="I53" s="258"/>
      <c r="J53" s="259"/>
      <c r="K53" s="260"/>
      <c r="L53" s="260"/>
      <c r="M53" s="260"/>
      <c r="N53" s="261"/>
      <c r="O53" s="260"/>
      <c r="P53" s="260"/>
      <c r="Q53" s="260"/>
      <c r="R53" s="262"/>
      <c r="S53" s="260"/>
      <c r="T53" s="260"/>
      <c r="U53" s="260"/>
      <c r="V53" s="262"/>
      <c r="W53" s="263"/>
      <c r="X53" s="264"/>
      <c r="Y53" s="264"/>
      <c r="Z53" s="264"/>
      <c r="AA53" s="264"/>
      <c r="AB53" s="264"/>
      <c r="AC53" s="264" t="s">
        <v>197</v>
      </c>
      <c r="AD53" s="264" t="s">
        <v>198</v>
      </c>
      <c r="AE53" s="264" t="s">
        <v>199</v>
      </c>
      <c r="AF53" s="264" t="s">
        <v>200</v>
      </c>
      <c r="AG53" s="264" t="s">
        <v>201</v>
      </c>
      <c r="AH53" s="264" t="str">
        <f>IF($E$53=0,"",$E$53)</f>
        <v xml:space="preserve">Плата за подключение (технологическое присоединение) к системе теплоснабжения</v>
      </c>
      <c r="AI53" s="264" t="str">
        <f>IF($G$53=0,"",$G$53)</f>
        <v/>
      </c>
      <c r="AJ53" s="264" t="str">
        <f>IF($J$53=0,"",$J$53)</f>
        <v/>
      </c>
      <c r="AK53" s="264" t="str">
        <f>IF($K$53="нет","без дифференциации",IF($N$53=0,"",$N$53))</f>
        <v/>
      </c>
      <c r="AL53" s="264" t="str">
        <f>IF($O$53="нет","без дифференциации",IF($R$53=0,"",$R$53))</f>
        <v/>
      </c>
      <c r="AM53" s="264" t="str">
        <f>IF($S$53="нет","без дифференциации",IF($V$53=0,"",$V$53))</f>
        <v/>
      </c>
      <c r="AN53" s="282">
        <f>$I$53</f>
        <v>0</v>
      </c>
      <c r="AO53" s="264" t="str">
        <f>$I$53&amp;"."&amp;$M$53</f>
        <v>.</v>
      </c>
      <c r="AP53" s="106" t="str">
        <f>$I$53&amp;"."&amp;$M$53&amp;"."&amp;$Q$53</f>
        <v>..</v>
      </c>
      <c r="AQ53" s="106" t="str">
        <f>$I$53&amp;"."&amp;$M$53&amp;"."&amp;$Q$53&amp;"."&amp;$U$53</f>
        <v>...</v>
      </c>
      <c r="AR53" s="184">
        <v>0</v>
      </c>
    </row>
    <row r="54" s="184" customFormat="1" ht="17.25" customHeight="1">
      <c r="A54" s="253"/>
      <c r="C54" s="184"/>
      <c r="D54" s="254"/>
      <c r="E54" s="255"/>
      <c r="F54" s="265"/>
      <c r="G54" s="255"/>
      <c r="H54" s="266"/>
      <c r="I54" s="267"/>
      <c r="J54" s="268"/>
      <c r="K54" s="125"/>
      <c r="L54" s="125"/>
      <c r="M54" s="125"/>
      <c r="N54" s="269"/>
      <c r="O54" s="125"/>
      <c r="P54" s="125"/>
      <c r="Q54" s="125"/>
      <c r="R54" s="270"/>
      <c r="S54" s="125"/>
      <c r="T54" s="271"/>
      <c r="U54" s="271"/>
      <c r="V54" s="271"/>
      <c r="W54" s="272"/>
      <c r="X54" s="106"/>
      <c r="Y54" s="106"/>
      <c r="Z54" s="106"/>
      <c r="AA54" s="106"/>
      <c r="AB54" s="106"/>
      <c r="AC54" s="106"/>
      <c r="AD54" s="106"/>
      <c r="AE54" s="106"/>
      <c r="AF54" s="106"/>
      <c r="AG54" s="106"/>
      <c r="AH54" s="106"/>
      <c r="AI54" s="106"/>
      <c r="AJ54" s="106"/>
      <c r="AK54" s="106"/>
      <c r="AL54" s="106"/>
      <c r="AM54" s="106"/>
      <c r="AN54" s="106"/>
      <c r="AO54" s="106"/>
      <c r="AP54" s="106"/>
      <c r="AQ54" s="106"/>
      <c r="AR54" s="184">
        <v>0</v>
      </c>
    </row>
    <row r="55" s="184" customFormat="1" ht="17.25" customHeight="1">
      <c r="A55" s="253"/>
      <c r="C55" s="184"/>
      <c r="D55" s="274"/>
      <c r="E55" s="275"/>
      <c r="F55" s="265"/>
      <c r="G55" s="275"/>
      <c r="H55" s="266"/>
      <c r="I55" s="267"/>
      <c r="J55" s="273"/>
      <c r="K55" s="125"/>
      <c r="L55" s="125"/>
      <c r="M55" s="125"/>
      <c r="N55" s="270"/>
      <c r="O55" s="125"/>
      <c r="P55" s="125"/>
      <c r="Q55" s="271"/>
      <c r="R55" s="271"/>
      <c r="S55" s="184"/>
      <c r="T55" s="184"/>
      <c r="U55" s="184"/>
      <c r="V55" s="184"/>
      <c r="W55" s="272"/>
      <c r="X55" s="106"/>
      <c r="Y55" s="106"/>
      <c r="Z55" s="106"/>
      <c r="AA55" s="106"/>
      <c r="AB55" s="106"/>
      <c r="AC55" s="106"/>
      <c r="AD55" s="106"/>
      <c r="AE55" s="106"/>
      <c r="AF55" s="106"/>
      <c r="AG55" s="106"/>
      <c r="AH55" s="106"/>
      <c r="AI55" s="106"/>
      <c r="AJ55" s="106"/>
      <c r="AK55" s="106"/>
      <c r="AL55" s="106"/>
      <c r="AM55" s="106"/>
      <c r="AN55" s="106"/>
      <c r="AO55" s="106"/>
      <c r="AP55" s="106"/>
      <c r="AQ55" s="106"/>
      <c r="AR55" s="184">
        <v>0</v>
      </c>
    </row>
    <row r="56" s="184" customFormat="1" ht="17.25" customHeight="1">
      <c r="A56" s="253"/>
      <c r="C56" s="128"/>
      <c r="D56" s="274"/>
      <c r="E56" s="275"/>
      <c r="F56" s="265"/>
      <c r="G56" s="275"/>
      <c r="H56" s="266"/>
      <c r="I56" s="267"/>
      <c r="J56" s="273"/>
      <c r="K56" s="125"/>
      <c r="L56" s="271"/>
      <c r="M56" s="271"/>
      <c r="N56" s="271"/>
      <c r="O56" s="271"/>
      <c r="P56" s="271"/>
      <c r="Q56" s="271"/>
      <c r="R56" s="271"/>
      <c r="S56" s="184"/>
      <c r="T56" s="184"/>
      <c r="U56" s="184"/>
      <c r="V56" s="184"/>
      <c r="W56" s="272"/>
      <c r="Y56" s="264"/>
      <c r="Z56" s="264"/>
      <c r="AA56" s="264"/>
      <c r="AB56" s="264"/>
      <c r="AC56" s="264"/>
      <c r="AD56" s="264"/>
      <c r="AE56" s="264"/>
      <c r="AF56" s="264"/>
      <c r="AG56" s="264"/>
      <c r="AH56" s="264"/>
      <c r="AI56" s="264"/>
      <c r="AJ56" s="264"/>
      <c r="AK56" s="264"/>
      <c r="AL56" s="264"/>
      <c r="AM56" s="264"/>
      <c r="AN56" s="264"/>
      <c r="AO56" s="264"/>
      <c r="AP56" s="264"/>
      <c r="AQ56" s="264"/>
      <c r="AR56" s="184">
        <v>0</v>
      </c>
    </row>
    <row r="57" s="184" customFormat="1" ht="17.25" customHeight="1">
      <c r="A57" s="253"/>
      <c r="C57" s="184"/>
      <c r="D57" s="274"/>
      <c r="E57" s="275"/>
      <c r="F57" s="276"/>
      <c r="G57" s="275"/>
      <c r="H57" s="277"/>
      <c r="I57" s="278"/>
      <c r="J57" s="278"/>
      <c r="K57" s="278"/>
      <c r="L57" s="278"/>
      <c r="M57" s="278"/>
      <c r="N57" s="278"/>
      <c r="O57" s="278"/>
      <c r="P57" s="278"/>
      <c r="Q57" s="278"/>
      <c r="R57" s="278"/>
      <c r="S57" s="279"/>
      <c r="T57" s="279"/>
      <c r="U57" s="279"/>
      <c r="V57" s="279"/>
      <c r="W57" s="280"/>
      <c r="X57" s="106"/>
      <c r="Y57" s="106"/>
      <c r="Z57" s="106"/>
      <c r="AA57" s="106"/>
      <c r="AB57" s="106"/>
      <c r="AC57" s="106"/>
      <c r="AD57" s="106"/>
      <c r="AE57" s="106"/>
      <c r="AF57" s="106"/>
      <c r="AG57" s="106"/>
      <c r="AH57" s="106"/>
      <c r="AI57" s="106"/>
      <c r="AJ57" s="106"/>
      <c r="AK57" s="106"/>
      <c r="AL57" s="106"/>
      <c r="AM57" s="106"/>
      <c r="AN57" s="106"/>
      <c r="AO57" s="106"/>
      <c r="AP57" s="106"/>
      <c r="AQ57" s="106"/>
      <c r="AR57" s="184">
        <v>0</v>
      </c>
    </row>
    <row r="58" s="184" customFormat="1" ht="17.25" customHeight="1">
      <c r="A58" s="253"/>
      <c r="C58" s="128"/>
      <c r="D58" s="254">
        <v>9</v>
      </c>
      <c r="E58" s="255" t="s">
        <v>202</v>
      </c>
      <c r="F58" s="256" t="s">
        <v>67</v>
      </c>
      <c r="G58" s="290" t="str">
        <f>INDEX(VD_NAME_LIST,MATCH("4190072",VD_ID_LIST,0))</f>
        <v xml:space="preserve">Подключение (технологическое присоединение) к системе теплоснабжения</v>
      </c>
      <c r="H58" s="250"/>
      <c r="I58" s="250">
        <v>1</v>
      </c>
      <c r="J58" s="291" t="s">
        <v>203</v>
      </c>
      <c r="K58" s="292" t="s">
        <v>19</v>
      </c>
      <c r="L58" s="218"/>
      <c r="M58" s="218" t="s">
        <v>109</v>
      </c>
      <c r="N58" s="293" t="s">
        <v>28</v>
      </c>
      <c r="O58" s="292" t="s">
        <v>19</v>
      </c>
      <c r="P58" s="218"/>
      <c r="Q58" s="218" t="s">
        <v>109</v>
      </c>
      <c r="R58" s="294" t="s">
        <v>28</v>
      </c>
      <c r="S58" s="224" t="s">
        <v>67</v>
      </c>
      <c r="T58" s="218"/>
      <c r="U58" s="218" t="s">
        <v>109</v>
      </c>
      <c r="V58" s="295" t="s">
        <v>204</v>
      </c>
      <c r="W58" s="291"/>
      <c r="X58" s="264"/>
      <c r="Y58" s="264"/>
      <c r="Z58" s="264"/>
      <c r="AA58" s="264"/>
      <c r="AB58" s="264" t="s">
        <v>205</v>
      </c>
      <c r="AC58" s="264" t="s">
        <v>206</v>
      </c>
      <c r="AD58" s="264" t="s">
        <v>207</v>
      </c>
      <c r="AE58" s="264" t="s">
        <v>208</v>
      </c>
      <c r="AF58" s="264" t="s">
        <v>209</v>
      </c>
      <c r="AG58" s="264" t="s">
        <v>210</v>
      </c>
      <c r="AH58" s="264" t="str">
        <f>IF($E$58=0,"",$E$58)</f>
        <v xml:space="preserve">Плата за подключение (технологическое присоединение) к системе теплоснабжения (индивидуальная)</v>
      </c>
      <c r="AI58" s="264" t="str">
        <f>IF($G$58=0,"",$G$58)</f>
        <v xml:space="preserve">Подключение (технологическое присоединение) к системе теплоснабжения</v>
      </c>
      <c r="AJ58" s="264" t="str">
        <f>IF($J$58=0,"",$J$58)</f>
        <v xml:space="preserve">Плата за подключение теплопотребляющих установок общества с ограниченной ответственностью Специализированный застройщик «Эдельвейс-5» для осуществления подключения объекта капитального строительства: «Многоэтажная жилая застройка со встроенными помещениями нежилого назначения, расположенная в районе ул. Кизлярской, 18 в г. Владивостоке», к системе теплоснабжения АО "ДГК" в индивидуальном порядке.</v>
      </c>
      <c r="AK58" s="264" t="str">
        <f>IF($K$58="нет","без дифференциации",IF($N$58=0,"",$N$58))</f>
        <v xml:space="preserve">без дифференциации</v>
      </c>
      <c r="AL58" s="264" t="str">
        <f>IF($O$58="нет","без дифференциации",IF($R$58=0,"",$R$58))</f>
        <v xml:space="preserve">без дифференциации</v>
      </c>
      <c r="AM58" s="264" t="str">
        <f>IF($S$58="нет","без дифференциации",IF($V$58=0,"",$V$58))</f>
        <v xml:space="preserve">Владивостокская ТЭЦ-2</v>
      </c>
      <c r="AN58" s="282">
        <f>$I$58</f>
        <v>1</v>
      </c>
      <c r="AO58" s="264" t="str">
        <f>$I$58&amp;"."&amp;$M$58</f>
        <v>1.1</v>
      </c>
      <c r="AP58" s="106" t="str">
        <f>$I$58&amp;"."&amp;$M$58&amp;"."&amp;$Q$58</f>
        <v>1.1.1</v>
      </c>
      <c r="AQ58" s="106" t="str">
        <f>$I$58&amp;"."&amp;$M$58&amp;"."&amp;$Q$58&amp;"."&amp;$U$58</f>
        <v>1.1.1.1</v>
      </c>
      <c r="AR58" s="184">
        <v>0</v>
      </c>
    </row>
    <row r="59" s="184" customFormat="1" ht="17.25" customHeight="1">
      <c r="A59" s="253"/>
      <c r="C59" s="184"/>
      <c r="D59" s="254"/>
      <c r="E59" s="255"/>
      <c r="F59" s="265"/>
      <c r="G59" s="290"/>
      <c r="H59" s="250"/>
      <c r="I59" s="250"/>
      <c r="J59" s="291"/>
      <c r="K59" s="296"/>
      <c r="L59" s="218"/>
      <c r="M59" s="218"/>
      <c r="N59" s="293" t="s">
        <v>28</v>
      </c>
      <c r="O59" s="296"/>
      <c r="P59" s="218"/>
      <c r="Q59" s="218"/>
      <c r="R59" s="294" t="s">
        <v>28</v>
      </c>
      <c r="S59" s="224"/>
      <c r="T59" s="297"/>
      <c r="U59" s="298"/>
      <c r="V59" s="298" t="s">
        <v>211</v>
      </c>
      <c r="W59" s="299"/>
      <c r="X59" s="106"/>
      <c r="Y59" s="106"/>
      <c r="Z59" s="106"/>
      <c r="AA59" s="106"/>
      <c r="AB59" s="106"/>
      <c r="AC59" s="106"/>
      <c r="AD59" s="106"/>
      <c r="AE59" s="106"/>
      <c r="AF59" s="106"/>
      <c r="AG59" s="106"/>
      <c r="AH59" s="106"/>
      <c r="AI59" s="106"/>
      <c r="AJ59" s="106"/>
      <c r="AK59" s="106"/>
      <c r="AL59" s="106"/>
      <c r="AM59" s="106"/>
      <c r="AN59" s="106"/>
      <c r="AO59" s="106"/>
      <c r="AP59" s="106"/>
      <c r="AQ59" s="106"/>
      <c r="AR59" s="184">
        <v>0</v>
      </c>
    </row>
    <row r="60" s="184" customFormat="1" ht="52.5" customHeight="1">
      <c r="A60" s="253"/>
      <c r="C60" s="184"/>
      <c r="D60" s="274"/>
      <c r="E60" s="275"/>
      <c r="F60" s="265"/>
      <c r="G60" s="300"/>
      <c r="H60" s="274"/>
      <c r="I60" s="274"/>
      <c r="J60" s="301"/>
      <c r="K60" s="296"/>
      <c r="L60" s="274"/>
      <c r="M60" s="274"/>
      <c r="N60" s="294" t="s">
        <v>28</v>
      </c>
      <c r="O60" s="220"/>
      <c r="P60" s="297"/>
      <c r="Q60" s="298"/>
      <c r="R60" s="298" t="s">
        <v>212</v>
      </c>
      <c r="S60" s="302"/>
      <c r="T60" s="302"/>
      <c r="U60" s="302"/>
      <c r="V60" s="302"/>
      <c r="W60" s="299"/>
      <c r="X60" s="106"/>
      <c r="Y60" s="106"/>
      <c r="Z60" s="106"/>
      <c r="AA60" s="106"/>
      <c r="AB60" s="106"/>
      <c r="AC60" s="106"/>
      <c r="AD60" s="106"/>
      <c r="AE60" s="106"/>
      <c r="AF60" s="106"/>
      <c r="AG60" s="106"/>
      <c r="AH60" s="106"/>
      <c r="AI60" s="106"/>
      <c r="AJ60" s="106"/>
      <c r="AK60" s="106"/>
      <c r="AL60" s="106"/>
      <c r="AM60" s="106"/>
      <c r="AN60" s="106"/>
      <c r="AO60" s="106"/>
      <c r="AP60" s="106"/>
      <c r="AQ60" s="106"/>
      <c r="AR60" s="184">
        <v>0</v>
      </c>
    </row>
    <row r="61" s="184" customFormat="1" ht="17.25" customHeight="1">
      <c r="A61" s="253"/>
      <c r="C61" s="128"/>
      <c r="D61" s="274"/>
      <c r="E61" s="275"/>
      <c r="F61" s="265"/>
      <c r="G61" s="300"/>
      <c r="H61" s="274"/>
      <c r="I61" s="274"/>
      <c r="J61" s="301"/>
      <c r="K61" s="220"/>
      <c r="L61" s="297"/>
      <c r="M61" s="298"/>
      <c r="N61" s="298" t="s">
        <v>213</v>
      </c>
      <c r="O61" s="298"/>
      <c r="P61" s="298"/>
      <c r="Q61" s="298"/>
      <c r="R61" s="298"/>
      <c r="S61" s="302"/>
      <c r="T61" s="302"/>
      <c r="U61" s="302"/>
      <c r="V61" s="302"/>
      <c r="W61" s="299"/>
      <c r="Y61" s="264"/>
      <c r="Z61" s="264"/>
      <c r="AA61" s="264"/>
      <c r="AB61" s="264"/>
      <c r="AC61" s="264"/>
      <c r="AD61" s="264"/>
      <c r="AE61" s="264"/>
      <c r="AF61" s="264"/>
      <c r="AG61" s="264"/>
      <c r="AH61" s="264"/>
      <c r="AI61" s="264"/>
      <c r="AJ61" s="264"/>
      <c r="AK61" s="264"/>
      <c r="AL61" s="264"/>
      <c r="AM61" s="264"/>
      <c r="AN61" s="264"/>
      <c r="AO61" s="264"/>
      <c r="AP61" s="264"/>
      <c r="AQ61" s="264"/>
      <c r="AR61" s="184">
        <v>0</v>
      </c>
    </row>
    <row r="62" s="184" customFormat="1" ht="17.25" customHeight="1">
      <c r="A62" s="253"/>
      <c r="C62" s="184"/>
      <c r="D62" s="274"/>
      <c r="E62" s="275"/>
      <c r="F62" s="276"/>
      <c r="G62" s="300"/>
      <c r="H62" s="297"/>
      <c r="I62" s="298"/>
      <c r="J62" s="298" t="s">
        <v>214</v>
      </c>
      <c r="K62" s="298"/>
      <c r="L62" s="298"/>
      <c r="M62" s="298"/>
      <c r="N62" s="298"/>
      <c r="O62" s="298"/>
      <c r="P62" s="298"/>
      <c r="Q62" s="298"/>
      <c r="R62" s="298"/>
      <c r="S62" s="302"/>
      <c r="T62" s="302"/>
      <c r="U62" s="302"/>
      <c r="V62" s="302"/>
      <c r="W62" s="299"/>
      <c r="X62" s="106"/>
      <c r="Y62" s="106"/>
      <c r="Z62" s="106"/>
      <c r="AA62" s="106"/>
      <c r="AB62" s="106"/>
      <c r="AC62" s="106"/>
      <c r="AD62" s="106"/>
      <c r="AE62" s="106"/>
      <c r="AF62" s="106"/>
      <c r="AG62" s="106"/>
      <c r="AH62" s="106"/>
      <c r="AI62" s="106"/>
      <c r="AJ62" s="106"/>
      <c r="AK62" s="106"/>
      <c r="AL62" s="106"/>
      <c r="AM62" s="106"/>
      <c r="AN62" s="106"/>
      <c r="AO62" s="106"/>
      <c r="AP62" s="106"/>
      <c r="AQ62" s="106"/>
      <c r="AR62" s="184">
        <v>0</v>
      </c>
    </row>
    <row r="63" s="184" customFormat="1" ht="17.25" hidden="1" customHeight="1">
      <c r="A63" s="253"/>
      <c r="C63" s="128"/>
      <c r="D63" s="254">
        <v>10</v>
      </c>
      <c r="E63" s="255" t="s">
        <v>215</v>
      </c>
      <c r="F63" s="256" t="s">
        <v>19</v>
      </c>
      <c r="G63" s="255"/>
      <c r="H63" s="257"/>
      <c r="I63" s="258"/>
      <c r="J63" s="259"/>
      <c r="K63" s="260"/>
      <c r="L63" s="260"/>
      <c r="M63" s="260"/>
      <c r="N63" s="261"/>
      <c r="O63" s="260"/>
      <c r="P63" s="260"/>
      <c r="Q63" s="260"/>
      <c r="R63" s="262"/>
      <c r="S63" s="260"/>
      <c r="T63" s="260"/>
      <c r="U63" s="260"/>
      <c r="V63" s="262"/>
      <c r="W63" s="263"/>
      <c r="X63" s="264"/>
      <c r="Y63" s="264"/>
      <c r="Z63" s="264"/>
      <c r="AA63" s="264"/>
      <c r="AB63" s="264"/>
      <c r="AC63" s="264" t="s">
        <v>216</v>
      </c>
      <c r="AD63" s="264" t="s">
        <v>217</v>
      </c>
      <c r="AE63" s="264" t="s">
        <v>218</v>
      </c>
      <c r="AF63" s="264" t="s">
        <v>219</v>
      </c>
      <c r="AG63" s="264" t="s">
        <v>220</v>
      </c>
      <c r="AH63" s="264" t="str">
        <f>IF($E$63=0,"",$E$63)</f>
        <v xml:space="preserve">Предельный уровень цены на тепловую энергию (мощность), поставляемую теплоснабжающими организациями потребителям</v>
      </c>
      <c r="AI63" s="264" t="str">
        <f>IF($G$63=0,"",$G$63)</f>
        <v/>
      </c>
      <c r="AJ63" s="264" t="str">
        <f>IF($J$63=0,"",$J$63)</f>
        <v/>
      </c>
      <c r="AK63" s="264" t="str">
        <f>IF($K$63="нет","без дифференциации",IF($N$63=0,"",$N$63))</f>
        <v/>
      </c>
      <c r="AL63" s="264" t="str">
        <f>IF($O$63="нет","без дифференциации",IF($R$63=0,"",$R$63))</f>
        <v/>
      </c>
      <c r="AM63" s="264" t="str">
        <f>IF($S$63="нет","без дифференциации",IF($V$63=0,"",$V$63))</f>
        <v/>
      </c>
      <c r="AN63" s="282">
        <f>$I$63</f>
        <v>0</v>
      </c>
      <c r="AO63" s="264" t="str">
        <f>$I$63&amp;"."&amp;$M$63</f>
        <v>.</v>
      </c>
      <c r="AP63" s="106" t="str">
        <f>$I$63&amp;"."&amp;$M$63&amp;"."&amp;$Q$63</f>
        <v>..</v>
      </c>
      <c r="AQ63" s="106" t="str">
        <f>$I$63&amp;"."&amp;$M$63&amp;"."&amp;$Q$63&amp;"."&amp;$U$63</f>
        <v>...</v>
      </c>
      <c r="AR63" s="184">
        <v>0</v>
      </c>
    </row>
    <row r="64" s="184" customFormat="1" ht="17.25" hidden="1" customHeight="1">
      <c r="A64" s="253"/>
      <c r="C64" s="184"/>
      <c r="D64" s="254"/>
      <c r="E64" s="255"/>
      <c r="F64" s="265"/>
      <c r="G64" s="255"/>
      <c r="H64" s="266"/>
      <c r="I64" s="267"/>
      <c r="J64" s="268"/>
      <c r="K64" s="125"/>
      <c r="L64" s="125"/>
      <c r="M64" s="125"/>
      <c r="N64" s="269"/>
      <c r="O64" s="125"/>
      <c r="P64" s="125"/>
      <c r="Q64" s="125"/>
      <c r="R64" s="270"/>
      <c r="S64" s="125"/>
      <c r="T64" s="271"/>
      <c r="U64" s="271"/>
      <c r="V64" s="271"/>
      <c r="W64" s="272"/>
      <c r="X64" s="106"/>
      <c r="Y64" s="106"/>
      <c r="Z64" s="106"/>
      <c r="AA64" s="106"/>
      <c r="AB64" s="106"/>
      <c r="AC64" s="106"/>
      <c r="AD64" s="106"/>
      <c r="AE64" s="106"/>
      <c r="AF64" s="106"/>
      <c r="AG64" s="106"/>
      <c r="AH64" s="106"/>
      <c r="AI64" s="106"/>
      <c r="AJ64" s="106"/>
      <c r="AK64" s="106"/>
      <c r="AL64" s="106"/>
      <c r="AM64" s="106"/>
      <c r="AN64" s="106"/>
      <c r="AO64" s="106"/>
      <c r="AP64" s="106"/>
      <c r="AQ64" s="106"/>
      <c r="AR64" s="184">
        <v>0</v>
      </c>
    </row>
    <row r="65" s="184" customFormat="1" ht="17.25" hidden="1" customHeight="1">
      <c r="A65" s="253"/>
      <c r="C65" s="184"/>
      <c r="D65" s="274"/>
      <c r="E65" s="275"/>
      <c r="F65" s="265"/>
      <c r="G65" s="275"/>
      <c r="H65" s="266"/>
      <c r="I65" s="267"/>
      <c r="J65" s="273"/>
      <c r="K65" s="125"/>
      <c r="L65" s="125"/>
      <c r="M65" s="125"/>
      <c r="N65" s="270"/>
      <c r="O65" s="125"/>
      <c r="P65" s="125"/>
      <c r="Q65" s="271"/>
      <c r="R65" s="271"/>
      <c r="S65" s="184"/>
      <c r="T65" s="184"/>
      <c r="U65" s="184"/>
      <c r="V65" s="184"/>
      <c r="W65" s="272"/>
      <c r="X65" s="106"/>
      <c r="Y65" s="106"/>
      <c r="Z65" s="106"/>
      <c r="AA65" s="106"/>
      <c r="AB65" s="106"/>
      <c r="AC65" s="106"/>
      <c r="AD65" s="106"/>
      <c r="AE65" s="106"/>
      <c r="AF65" s="106"/>
      <c r="AG65" s="106"/>
      <c r="AH65" s="106"/>
      <c r="AI65" s="106"/>
      <c r="AJ65" s="106"/>
      <c r="AK65" s="106"/>
      <c r="AL65" s="106"/>
      <c r="AM65" s="106"/>
      <c r="AN65" s="106"/>
      <c r="AO65" s="106"/>
      <c r="AP65" s="106"/>
      <c r="AQ65" s="106"/>
      <c r="AR65" s="184">
        <v>0</v>
      </c>
    </row>
    <row r="66" s="184" customFormat="1" ht="17.25" hidden="1" customHeight="1">
      <c r="A66" s="253"/>
      <c r="C66" s="128"/>
      <c r="D66" s="274"/>
      <c r="E66" s="275"/>
      <c r="F66" s="265"/>
      <c r="G66" s="275"/>
      <c r="H66" s="266"/>
      <c r="I66" s="267"/>
      <c r="J66" s="273"/>
      <c r="K66" s="125"/>
      <c r="L66" s="271"/>
      <c r="M66" s="271"/>
      <c r="N66" s="271"/>
      <c r="O66" s="271"/>
      <c r="P66" s="271"/>
      <c r="Q66" s="271"/>
      <c r="R66" s="271"/>
      <c r="S66" s="184"/>
      <c r="T66" s="184"/>
      <c r="U66" s="184"/>
      <c r="V66" s="184"/>
      <c r="W66" s="272"/>
      <c r="Y66" s="264"/>
      <c r="Z66" s="264"/>
      <c r="AA66" s="264"/>
      <c r="AB66" s="264"/>
      <c r="AC66" s="264"/>
      <c r="AD66" s="264"/>
      <c r="AE66" s="264"/>
      <c r="AF66" s="264"/>
      <c r="AG66" s="264"/>
      <c r="AH66" s="264"/>
      <c r="AI66" s="264"/>
      <c r="AJ66" s="264"/>
      <c r="AK66" s="264"/>
      <c r="AL66" s="264"/>
      <c r="AM66" s="264"/>
      <c r="AN66" s="264"/>
      <c r="AO66" s="264"/>
      <c r="AP66" s="264"/>
      <c r="AQ66" s="264"/>
      <c r="AR66" s="184">
        <v>0</v>
      </c>
    </row>
    <row r="67" s="184" customFormat="1" ht="17.25" hidden="1" customHeight="1">
      <c r="A67" s="253"/>
      <c r="C67" s="184"/>
      <c r="D67" s="274"/>
      <c r="E67" s="275"/>
      <c r="F67" s="276"/>
      <c r="G67" s="275"/>
      <c r="H67" s="277"/>
      <c r="I67" s="278"/>
      <c r="J67" s="278"/>
      <c r="K67" s="278"/>
      <c r="L67" s="278"/>
      <c r="M67" s="278"/>
      <c r="N67" s="278"/>
      <c r="O67" s="278"/>
      <c r="P67" s="278"/>
      <c r="Q67" s="278"/>
      <c r="R67" s="278"/>
      <c r="S67" s="279"/>
      <c r="T67" s="279"/>
      <c r="U67" s="279"/>
      <c r="V67" s="279"/>
      <c r="W67" s="280"/>
      <c r="X67" s="106"/>
      <c r="Y67" s="106"/>
      <c r="Z67" s="106"/>
      <c r="AA67" s="106"/>
      <c r="AB67" s="106"/>
      <c r="AC67" s="106"/>
      <c r="AD67" s="106"/>
      <c r="AE67" s="106"/>
      <c r="AF67" s="106"/>
      <c r="AG67" s="106"/>
      <c r="AH67" s="106"/>
      <c r="AI67" s="106"/>
      <c r="AJ67" s="106"/>
      <c r="AK67" s="106"/>
      <c r="AL67" s="106"/>
      <c r="AM67" s="106"/>
      <c r="AN67" s="106"/>
      <c r="AO67" s="106"/>
      <c r="AP67" s="106"/>
      <c r="AQ67" s="106"/>
      <c r="AR67" s="184">
        <v>0</v>
      </c>
    </row>
    <row r="68" ht="11.25" customHeight="1">
      <c r="AR68" s="184">
        <v>0</v>
      </c>
    </row>
    <row r="69" ht="11.25" customHeight="1">
      <c r="E69" s="303" t="s">
        <v>221</v>
      </c>
      <c r="F69" s="303"/>
      <c r="G69" s="303"/>
      <c r="H69" s="303"/>
      <c r="I69" s="303"/>
      <c r="J69" s="303"/>
      <c r="K69" s="303"/>
      <c r="L69" s="303"/>
      <c r="M69" s="303"/>
      <c r="N69" s="303"/>
      <c r="O69" s="303"/>
      <c r="P69" s="303"/>
      <c r="Q69" s="303"/>
      <c r="R69" s="303"/>
      <c r="S69" s="303"/>
      <c r="T69" s="303"/>
      <c r="U69" s="303"/>
      <c r="V69" s="303"/>
      <c r="W69" s="303"/>
      <c r="AR69" s="184">
        <v>0</v>
      </c>
    </row>
    <row r="70" ht="36.75" customHeight="1">
      <c r="E70" s="304" t="s">
        <v>222</v>
      </c>
      <c r="F70" s="304"/>
      <c r="G70" s="305"/>
      <c r="H70" s="305"/>
      <c r="I70" s="305"/>
      <c r="J70" s="305"/>
      <c r="K70" s="305"/>
      <c r="L70" s="305"/>
      <c r="M70" s="305"/>
      <c r="N70" s="305"/>
      <c r="O70" s="305"/>
      <c r="P70" s="305"/>
      <c r="Q70" s="305"/>
      <c r="R70" s="305"/>
      <c r="S70" s="305"/>
      <c r="T70" s="305"/>
      <c r="U70" s="305"/>
      <c r="V70" s="305"/>
      <c r="W70" s="305"/>
      <c r="AR70" s="184">
        <v>0</v>
      </c>
    </row>
    <row r="71" ht="28.5" customHeight="1">
      <c r="E71" s="304" t="s">
        <v>223</v>
      </c>
      <c r="F71" s="304"/>
      <c r="G71" s="305"/>
      <c r="H71" s="305"/>
      <c r="I71" s="305"/>
      <c r="J71" s="305"/>
      <c r="K71" s="305"/>
      <c r="L71" s="305"/>
      <c r="M71" s="305"/>
      <c r="N71" s="305"/>
      <c r="O71" s="305"/>
      <c r="P71" s="305"/>
      <c r="Q71" s="305"/>
      <c r="R71" s="305"/>
      <c r="S71" s="305"/>
      <c r="T71" s="305"/>
      <c r="U71" s="305"/>
      <c r="V71" s="305"/>
      <c r="W71" s="305"/>
      <c r="AR71" s="184">
        <v>0</v>
      </c>
    </row>
    <row r="72" ht="27" customHeight="1">
      <c r="E72" s="304" t="s">
        <v>224</v>
      </c>
      <c r="F72" s="304"/>
      <c r="G72" s="305"/>
      <c r="H72" s="305"/>
      <c r="I72" s="305"/>
      <c r="J72" s="305"/>
      <c r="K72" s="305"/>
      <c r="L72" s="305"/>
      <c r="M72" s="305"/>
      <c r="N72" s="305"/>
      <c r="O72" s="305"/>
      <c r="P72" s="305"/>
      <c r="Q72" s="305"/>
      <c r="R72" s="305"/>
      <c r="S72" s="305"/>
      <c r="T72" s="305"/>
      <c r="U72" s="305"/>
      <c r="V72" s="305"/>
      <c r="W72" s="305"/>
      <c r="AR72" s="184">
        <v>0</v>
      </c>
    </row>
    <row r="73" ht="17.25" customHeight="1">
      <c r="E73" s="304" t="s">
        <v>225</v>
      </c>
      <c r="F73" s="304"/>
      <c r="G73" s="305"/>
      <c r="H73" s="305"/>
      <c r="I73" s="305"/>
      <c r="J73" s="305"/>
      <c r="K73" s="305"/>
      <c r="L73" s="305"/>
      <c r="M73" s="305"/>
      <c r="N73" s="305"/>
      <c r="O73" s="305"/>
      <c r="P73" s="305"/>
      <c r="Q73" s="305"/>
      <c r="R73" s="305"/>
      <c r="S73" s="305"/>
      <c r="T73" s="305"/>
      <c r="U73" s="305"/>
      <c r="V73" s="305"/>
      <c r="W73" s="305"/>
      <c r="AR73" s="184">
        <v>0</v>
      </c>
    </row>
    <row r="74" ht="15" customHeight="1">
      <c r="E74" s="303"/>
      <c r="F74" s="303"/>
      <c r="G74" s="306"/>
      <c r="H74" s="306"/>
      <c r="I74" s="306"/>
      <c r="J74" s="306"/>
      <c r="K74" s="306"/>
      <c r="L74" s="306"/>
      <c r="M74" s="306"/>
      <c r="N74" s="306"/>
      <c r="O74" s="306"/>
      <c r="P74" s="306"/>
      <c r="Q74" s="306"/>
      <c r="R74" s="306"/>
      <c r="S74" s="306"/>
      <c r="T74" s="306"/>
      <c r="U74" s="306"/>
      <c r="V74" s="306"/>
      <c r="W74" s="306"/>
      <c r="AR74" s="184">
        <v>0</v>
      </c>
    </row>
    <row r="75" ht="15" customHeight="1">
      <c r="E75" s="303" t="s">
        <v>226</v>
      </c>
      <c r="F75" s="303"/>
      <c r="G75" s="303"/>
      <c r="H75" s="303"/>
      <c r="I75" s="303"/>
      <c r="J75" s="303"/>
      <c r="K75" s="303"/>
      <c r="L75" s="303"/>
      <c r="M75" s="303"/>
      <c r="N75" s="303"/>
      <c r="O75" s="303"/>
      <c r="P75" s="303"/>
      <c r="Q75" s="303"/>
      <c r="R75" s="303"/>
      <c r="S75" s="303"/>
      <c r="T75" s="303"/>
      <c r="U75" s="303"/>
      <c r="V75" s="303"/>
      <c r="W75" s="303"/>
      <c r="AR75" s="184">
        <v>0</v>
      </c>
    </row>
    <row r="76" ht="17.25" customHeight="1">
      <c r="E76" s="304" t="s">
        <v>227</v>
      </c>
      <c r="F76" s="304"/>
      <c r="G76" s="305"/>
      <c r="H76" s="305"/>
      <c r="I76" s="305"/>
      <c r="J76" s="305"/>
      <c r="K76" s="305"/>
      <c r="L76" s="305"/>
      <c r="M76" s="305"/>
      <c r="N76" s="305"/>
      <c r="O76" s="305"/>
      <c r="P76" s="305"/>
      <c r="Q76" s="305"/>
      <c r="R76" s="305"/>
      <c r="S76" s="305"/>
      <c r="T76" s="305"/>
      <c r="U76" s="305"/>
      <c r="V76" s="305"/>
      <c r="W76" s="305"/>
      <c r="AR76" s="184">
        <v>0</v>
      </c>
    </row>
    <row r="77" ht="17.25" customHeight="1">
      <c r="E77" s="304" t="s">
        <v>228</v>
      </c>
      <c r="F77" s="304"/>
      <c r="G77" s="305"/>
      <c r="H77" s="305"/>
      <c r="I77" s="305"/>
      <c r="J77" s="305"/>
      <c r="K77" s="305"/>
      <c r="L77" s="305"/>
      <c r="M77" s="305"/>
      <c r="N77" s="305"/>
      <c r="O77" s="305"/>
      <c r="P77" s="305"/>
      <c r="Q77" s="305"/>
      <c r="R77" s="305"/>
      <c r="S77" s="305"/>
      <c r="T77" s="305"/>
      <c r="U77" s="305"/>
      <c r="V77" s="305"/>
      <c r="W77" s="305"/>
      <c r="AR77" s="184">
        <v>0</v>
      </c>
    </row>
    <row r="78" s="184" customFormat="1" ht="11.25" hidden="1" customHeight="1">
      <c r="A78" s="129"/>
      <c r="B78" s="129"/>
      <c r="Y78" s="106"/>
      <c r="Z78" s="106"/>
      <c r="AA78" s="106"/>
      <c r="AB78" s="106"/>
      <c r="AC78" s="106"/>
      <c r="AD78" s="106"/>
      <c r="AE78" s="106"/>
      <c r="AF78" s="106"/>
      <c r="AG78" s="106"/>
      <c r="AH78" s="106"/>
      <c r="AI78" s="106"/>
      <c r="AJ78" s="106"/>
      <c r="AK78" s="106"/>
      <c r="AL78" s="106"/>
      <c r="AM78" s="106"/>
      <c r="AN78" s="106"/>
      <c r="AO78" s="106"/>
      <c r="AP78" s="106"/>
      <c r="AQ78" s="106"/>
      <c r="AR78" s="184">
        <v>0</v>
      </c>
    </row>
    <row r="79" s="184" customFormat="1" ht="17.25" hidden="1" customHeight="1">
      <c r="A79" s="253"/>
      <c r="C79" s="128"/>
      <c r="D79" s="254">
        <v>1</v>
      </c>
      <c r="E79" s="255" t="s">
        <v>229</v>
      </c>
      <c r="F79" s="256" t="s">
        <v>19</v>
      </c>
      <c r="G79" s="255"/>
      <c r="H79" s="257"/>
      <c r="I79" s="258"/>
      <c r="J79" s="259"/>
      <c r="K79" s="260"/>
      <c r="L79" s="260"/>
      <c r="M79" s="260"/>
      <c r="N79" s="261"/>
      <c r="O79" s="260"/>
      <c r="P79" s="260"/>
      <c r="Q79" s="260"/>
      <c r="R79" s="262"/>
      <c r="S79" s="260"/>
      <c r="T79" s="260"/>
      <c r="U79" s="260"/>
      <c r="V79" s="262"/>
      <c r="W79" s="263"/>
      <c r="Y79" s="264"/>
      <c r="Z79" s="264"/>
      <c r="AA79" s="264"/>
      <c r="AB79" s="264"/>
      <c r="AC79" s="264" t="s">
        <v>230</v>
      </c>
      <c r="AD79" s="264" t="s">
        <v>231</v>
      </c>
      <c r="AE79" s="264" t="s">
        <v>232</v>
      </c>
      <c r="AF79" s="264" t="s">
        <v>233</v>
      </c>
      <c r="AG79" s="264"/>
      <c r="AH79" s="264" t="str">
        <f>IF($E$79=0,"",$E$79)</f>
        <v xml:space="preserve">Тариф на питьевую воду (питьевое водоснабжение)</v>
      </c>
      <c r="AI79" s="264" t="str">
        <f>IF($G$79=0,"",$G$79)</f>
        <v/>
      </c>
      <c r="AJ79" s="264" t="str">
        <f>IF($J$79=0,"",$J$79)</f>
        <v/>
      </c>
      <c r="AK79" s="264" t="str">
        <f>IF($K$79="нет","без дифференциации",IF($N$79=0,"",$N$79))</f>
        <v/>
      </c>
      <c r="AL79" s="264" t="str">
        <f>IF($O$79="нет","без дифференциации",IF($R$79=0,"",$R$79))</f>
        <v/>
      </c>
      <c r="AM79" s="264" t="str">
        <f>IF($S$79="нет","без дифференциации",IF($V$79=0,"",$V$79))</f>
        <v/>
      </c>
      <c r="AN79" s="264">
        <f>$I$79</f>
        <v>0</v>
      </c>
      <c r="AO79" s="264" t="str">
        <f>$I$79&amp;"."&amp;$M$79</f>
        <v>.</v>
      </c>
      <c r="AP79" s="264" t="str">
        <f>$I$79&amp;"."&amp;$M$79&amp;"."&amp;$Q$79</f>
        <v>..</v>
      </c>
      <c r="AQ79" s="264" t="str">
        <f>$I$79&amp;"."&amp;$M$79&amp;"."&amp;$Q$79&amp;"."&amp;$U$79</f>
        <v>...</v>
      </c>
      <c r="AR79" s="184">
        <v>0</v>
      </c>
    </row>
    <row r="80" s="184" customFormat="1" ht="17.25" hidden="1" customHeight="1">
      <c r="A80" s="253"/>
      <c r="C80" s="184"/>
      <c r="D80" s="254"/>
      <c r="E80" s="255"/>
      <c r="F80" s="265"/>
      <c r="G80" s="255"/>
      <c r="H80" s="266"/>
      <c r="I80" s="267"/>
      <c r="J80" s="268"/>
      <c r="K80" s="125"/>
      <c r="L80" s="125"/>
      <c r="M80" s="125"/>
      <c r="N80" s="269"/>
      <c r="O80" s="125"/>
      <c r="P80" s="125"/>
      <c r="Q80" s="125"/>
      <c r="R80" s="270"/>
      <c r="S80" s="125"/>
      <c r="T80" s="271"/>
      <c r="U80" s="271"/>
      <c r="V80" s="271"/>
      <c r="W80" s="272"/>
      <c r="Y80" s="106"/>
      <c r="Z80" s="106"/>
      <c r="AA80" s="106"/>
      <c r="AB80" s="106"/>
      <c r="AC80" s="106"/>
      <c r="AD80" s="106"/>
      <c r="AE80" s="106"/>
      <c r="AF80" s="106"/>
      <c r="AG80" s="106"/>
      <c r="AH80" s="106"/>
      <c r="AI80" s="106"/>
      <c r="AJ80" s="106"/>
      <c r="AK80" s="106"/>
      <c r="AL80" s="106"/>
      <c r="AM80" s="106"/>
      <c r="AN80" s="106"/>
      <c r="AO80" s="106"/>
      <c r="AP80" s="106"/>
      <c r="AQ80" s="106"/>
      <c r="AR80" s="184">
        <v>0</v>
      </c>
    </row>
    <row r="81" s="184" customFormat="1" ht="17.25" hidden="1" customHeight="1">
      <c r="A81" s="253"/>
      <c r="C81" s="128"/>
      <c r="D81" s="254"/>
      <c r="E81" s="255"/>
      <c r="F81" s="265"/>
      <c r="G81" s="255"/>
      <c r="H81" s="266"/>
      <c r="I81" s="267"/>
      <c r="J81" s="273"/>
      <c r="K81" s="125"/>
      <c r="L81" s="125"/>
      <c r="M81" s="125"/>
      <c r="N81" s="270"/>
      <c r="O81" s="125"/>
      <c r="P81" s="125"/>
      <c r="Q81" s="271"/>
      <c r="R81" s="271"/>
      <c r="S81" s="184"/>
      <c r="T81" s="184"/>
      <c r="U81" s="184"/>
      <c r="V81" s="184"/>
      <c r="W81" s="272"/>
      <c r="Y81" s="264"/>
      <c r="Z81" s="264"/>
      <c r="AA81" s="264"/>
      <c r="AB81" s="264"/>
      <c r="AC81" s="264"/>
      <c r="AD81" s="264"/>
      <c r="AE81" s="264"/>
      <c r="AF81" s="264"/>
      <c r="AG81" s="264"/>
      <c r="AH81" s="264"/>
      <c r="AI81" s="264"/>
      <c r="AJ81" s="264"/>
      <c r="AK81" s="264"/>
      <c r="AL81" s="264"/>
      <c r="AM81" s="264"/>
      <c r="AN81" s="264"/>
      <c r="AO81" s="264"/>
      <c r="AP81" s="264"/>
      <c r="AQ81" s="264"/>
      <c r="AR81" s="184">
        <v>0</v>
      </c>
    </row>
    <row r="82" s="184" customFormat="1" ht="17.25" hidden="1" customHeight="1">
      <c r="A82" s="253"/>
      <c r="C82" s="184"/>
      <c r="D82" s="254"/>
      <c r="E82" s="255"/>
      <c r="F82" s="265"/>
      <c r="G82" s="255"/>
      <c r="H82" s="266"/>
      <c r="I82" s="267"/>
      <c r="J82" s="273"/>
      <c r="K82" s="125"/>
      <c r="L82" s="271"/>
      <c r="M82" s="271"/>
      <c r="N82" s="271"/>
      <c r="O82" s="271"/>
      <c r="P82" s="271"/>
      <c r="Q82" s="271"/>
      <c r="R82" s="271"/>
      <c r="S82" s="184"/>
      <c r="T82" s="184"/>
      <c r="U82" s="184"/>
      <c r="V82" s="184"/>
      <c r="W82" s="272"/>
      <c r="Y82" s="106"/>
      <c r="Z82" s="106"/>
      <c r="AA82" s="106"/>
      <c r="AB82" s="106"/>
      <c r="AC82" s="106"/>
      <c r="AD82" s="106"/>
      <c r="AE82" s="106"/>
      <c r="AF82" s="106"/>
      <c r="AG82" s="106"/>
      <c r="AH82" s="106"/>
      <c r="AI82" s="106"/>
      <c r="AJ82" s="106"/>
      <c r="AK82" s="106"/>
      <c r="AL82" s="106"/>
      <c r="AM82" s="106"/>
      <c r="AN82" s="106"/>
      <c r="AO82" s="106"/>
      <c r="AP82" s="106"/>
      <c r="AQ82" s="106"/>
      <c r="AR82" s="184">
        <v>0</v>
      </c>
    </row>
    <row r="83" s="184" customFormat="1" ht="17.25" hidden="1" customHeight="1">
      <c r="A83" s="253"/>
      <c r="C83" s="184"/>
      <c r="D83" s="274"/>
      <c r="E83" s="275"/>
      <c r="F83" s="276"/>
      <c r="G83" s="275"/>
      <c r="H83" s="277"/>
      <c r="I83" s="278"/>
      <c r="J83" s="278"/>
      <c r="K83" s="278"/>
      <c r="L83" s="278"/>
      <c r="M83" s="278"/>
      <c r="N83" s="278"/>
      <c r="O83" s="278"/>
      <c r="P83" s="278"/>
      <c r="Q83" s="278"/>
      <c r="R83" s="278"/>
      <c r="S83" s="279"/>
      <c r="T83" s="279"/>
      <c r="U83" s="279"/>
      <c r="V83" s="279"/>
      <c r="W83" s="280"/>
      <c r="Y83" s="106"/>
      <c r="Z83" s="106"/>
      <c r="AA83" s="106"/>
      <c r="AB83" s="106"/>
      <c r="AC83" s="106"/>
      <c r="AD83" s="106"/>
      <c r="AE83" s="106"/>
      <c r="AF83" s="106"/>
      <c r="AG83" s="106"/>
      <c r="AH83" s="106"/>
      <c r="AI83" s="106"/>
      <c r="AJ83" s="106"/>
      <c r="AK83" s="106"/>
      <c r="AL83" s="106"/>
      <c r="AM83" s="106"/>
      <c r="AN83" s="106"/>
      <c r="AO83" s="106"/>
      <c r="AP83" s="106"/>
      <c r="AQ83" s="106"/>
      <c r="AR83" s="184">
        <v>0</v>
      </c>
    </row>
    <row r="84" s="184" customFormat="1" ht="17.25" hidden="1" customHeight="1">
      <c r="A84" s="253"/>
      <c r="C84" s="128"/>
      <c r="D84" s="254">
        <v>2</v>
      </c>
      <c r="E84" s="255" t="s">
        <v>234</v>
      </c>
      <c r="F84" s="256" t="s">
        <v>19</v>
      </c>
      <c r="G84" s="255"/>
      <c r="H84" s="257"/>
      <c r="I84" s="258"/>
      <c r="J84" s="259"/>
      <c r="K84" s="260"/>
      <c r="L84" s="260"/>
      <c r="M84" s="260"/>
      <c r="N84" s="261"/>
      <c r="O84" s="260"/>
      <c r="P84" s="260"/>
      <c r="Q84" s="260"/>
      <c r="R84" s="262"/>
      <c r="S84" s="260"/>
      <c r="T84" s="260"/>
      <c r="U84" s="260"/>
      <c r="V84" s="262"/>
      <c r="W84" s="263"/>
      <c r="X84" s="264"/>
      <c r="Y84" s="264"/>
      <c r="Z84" s="264"/>
      <c r="AA84" s="264"/>
      <c r="AB84" s="264"/>
      <c r="AC84" s="264" t="s">
        <v>235</v>
      </c>
      <c r="AD84" s="264" t="s">
        <v>236</v>
      </c>
      <c r="AE84" s="264" t="s">
        <v>237</v>
      </c>
      <c r="AF84" s="264" t="s">
        <v>238</v>
      </c>
      <c r="AG84" s="264"/>
      <c r="AH84" s="264" t="str">
        <f>IF($E$84=0,"",$E$84)</f>
        <v xml:space="preserve">Тариф на техническую воду</v>
      </c>
      <c r="AI84" s="264" t="str">
        <f>IF($G$84=0,"",$G$84)</f>
        <v/>
      </c>
      <c r="AJ84" s="264" t="str">
        <f>IF($J$84=0,"",$J$84)</f>
        <v/>
      </c>
      <c r="AK84" s="264" t="str">
        <f>IF($K$84="нет","без дифференциации",IF($N$84=0,"",$N$84))</f>
        <v/>
      </c>
      <c r="AL84" s="264" t="str">
        <f>IF($O$84="нет","без дифференциации",IF($R$84=0,"",$R$84))</f>
        <v/>
      </c>
      <c r="AM84" s="264" t="str">
        <f>IF($S$84="нет","без дифференциации",IF($V$84=0,"",$V$84))</f>
        <v/>
      </c>
      <c r="AN84" s="282">
        <f>$I$84</f>
        <v>0</v>
      </c>
      <c r="AO84" s="264" t="str">
        <f>$I$84&amp;"."&amp;$M$84</f>
        <v>.</v>
      </c>
      <c r="AP84" s="106" t="str">
        <f>$I$84&amp;"."&amp;$M$84&amp;"."&amp;$Q$84</f>
        <v>..</v>
      </c>
      <c r="AQ84" s="106" t="str">
        <f>$I$84&amp;"."&amp;$M$84&amp;"."&amp;$Q$84&amp;"."&amp;$U$84</f>
        <v>...</v>
      </c>
      <c r="AR84" s="184">
        <v>0</v>
      </c>
    </row>
    <row r="85" s="184" customFormat="1" ht="17.25" hidden="1" customHeight="1">
      <c r="A85" s="253"/>
      <c r="C85" s="184"/>
      <c r="D85" s="254"/>
      <c r="E85" s="255"/>
      <c r="F85" s="265"/>
      <c r="G85" s="255"/>
      <c r="H85" s="266"/>
      <c r="I85" s="267"/>
      <c r="J85" s="268"/>
      <c r="K85" s="125"/>
      <c r="L85" s="125"/>
      <c r="M85" s="125"/>
      <c r="N85" s="269"/>
      <c r="O85" s="125"/>
      <c r="P85" s="125"/>
      <c r="Q85" s="125"/>
      <c r="R85" s="270"/>
      <c r="S85" s="125"/>
      <c r="T85" s="271"/>
      <c r="U85" s="271"/>
      <c r="V85" s="271"/>
      <c r="W85" s="272"/>
      <c r="X85" s="106"/>
      <c r="Y85" s="106"/>
      <c r="Z85" s="106"/>
      <c r="AA85" s="106"/>
      <c r="AB85" s="106"/>
      <c r="AC85" s="106"/>
      <c r="AD85" s="106"/>
      <c r="AE85" s="106"/>
      <c r="AF85" s="106"/>
      <c r="AG85" s="106"/>
      <c r="AH85" s="106"/>
      <c r="AI85" s="106"/>
      <c r="AJ85" s="106"/>
      <c r="AK85" s="106"/>
      <c r="AL85" s="106"/>
      <c r="AM85" s="106"/>
      <c r="AN85" s="106"/>
      <c r="AO85" s="106"/>
      <c r="AP85" s="106"/>
      <c r="AQ85" s="106"/>
      <c r="AR85" s="184">
        <v>0</v>
      </c>
    </row>
    <row r="86" s="184" customFormat="1" ht="17.25" hidden="1" customHeight="1">
      <c r="A86" s="253"/>
      <c r="C86" s="184"/>
      <c r="D86" s="274"/>
      <c r="E86" s="275"/>
      <c r="F86" s="265"/>
      <c r="G86" s="275"/>
      <c r="H86" s="266"/>
      <c r="I86" s="267"/>
      <c r="J86" s="273"/>
      <c r="K86" s="125"/>
      <c r="L86" s="125"/>
      <c r="M86" s="125"/>
      <c r="N86" s="270"/>
      <c r="O86" s="125"/>
      <c r="P86" s="125"/>
      <c r="Q86" s="271"/>
      <c r="R86" s="271"/>
      <c r="S86" s="184"/>
      <c r="T86" s="184"/>
      <c r="U86" s="184"/>
      <c r="V86" s="184"/>
      <c r="W86" s="272"/>
      <c r="X86" s="106"/>
      <c r="Y86" s="106"/>
      <c r="Z86" s="106"/>
      <c r="AA86" s="106"/>
      <c r="AB86" s="106"/>
      <c r="AC86" s="106"/>
      <c r="AD86" s="106"/>
      <c r="AE86" s="106"/>
      <c r="AF86" s="106"/>
      <c r="AG86" s="106"/>
      <c r="AH86" s="106"/>
      <c r="AI86" s="106"/>
      <c r="AJ86" s="106"/>
      <c r="AK86" s="106"/>
      <c r="AL86" s="106"/>
      <c r="AM86" s="106"/>
      <c r="AN86" s="106"/>
      <c r="AO86" s="106"/>
      <c r="AP86" s="106"/>
      <c r="AQ86" s="106"/>
      <c r="AR86" s="184">
        <v>0</v>
      </c>
    </row>
    <row r="87" s="184" customFormat="1" ht="17.25" hidden="1" customHeight="1">
      <c r="A87" s="253"/>
      <c r="C87" s="184"/>
      <c r="D87" s="274"/>
      <c r="E87" s="275"/>
      <c r="F87" s="265"/>
      <c r="G87" s="275"/>
      <c r="H87" s="266"/>
      <c r="I87" s="267"/>
      <c r="J87" s="273"/>
      <c r="K87" s="125"/>
      <c r="L87" s="271"/>
      <c r="M87" s="271"/>
      <c r="N87" s="271"/>
      <c r="O87" s="271"/>
      <c r="P87" s="271"/>
      <c r="Q87" s="271"/>
      <c r="R87" s="271"/>
      <c r="S87" s="184"/>
      <c r="T87" s="184"/>
      <c r="U87" s="184"/>
      <c r="V87" s="184"/>
      <c r="W87" s="272"/>
      <c r="X87" s="106"/>
      <c r="Y87" s="106"/>
      <c r="Z87" s="106"/>
      <c r="AA87" s="106"/>
      <c r="AB87" s="106"/>
      <c r="AC87" s="106"/>
      <c r="AD87" s="106"/>
      <c r="AE87" s="106"/>
      <c r="AF87" s="106"/>
      <c r="AG87" s="106"/>
      <c r="AH87" s="106"/>
      <c r="AI87" s="106"/>
      <c r="AJ87" s="106"/>
      <c r="AK87" s="106"/>
      <c r="AL87" s="106"/>
      <c r="AM87" s="106"/>
      <c r="AN87" s="106"/>
      <c r="AO87" s="106"/>
      <c r="AP87" s="106"/>
      <c r="AQ87" s="106"/>
      <c r="AR87" s="184">
        <v>0</v>
      </c>
    </row>
    <row r="88" s="184" customFormat="1" ht="17.25" hidden="1" customHeight="1">
      <c r="A88" s="253"/>
      <c r="C88" s="184"/>
      <c r="D88" s="274"/>
      <c r="E88" s="275"/>
      <c r="F88" s="276"/>
      <c r="G88" s="275"/>
      <c r="H88" s="277"/>
      <c r="I88" s="278"/>
      <c r="J88" s="278"/>
      <c r="K88" s="278"/>
      <c r="L88" s="278"/>
      <c r="M88" s="278"/>
      <c r="N88" s="278"/>
      <c r="O88" s="278"/>
      <c r="P88" s="278"/>
      <c r="Q88" s="278"/>
      <c r="R88" s="278"/>
      <c r="S88" s="279"/>
      <c r="T88" s="279"/>
      <c r="U88" s="279"/>
      <c r="V88" s="279"/>
      <c r="W88" s="280"/>
      <c r="X88" s="106"/>
      <c r="Y88" s="106"/>
      <c r="Z88" s="106"/>
      <c r="AA88" s="106"/>
      <c r="AB88" s="106"/>
      <c r="AC88" s="106"/>
      <c r="AD88" s="106"/>
      <c r="AE88" s="106"/>
      <c r="AF88" s="106"/>
      <c r="AG88" s="106"/>
      <c r="AH88" s="106"/>
      <c r="AI88" s="106"/>
      <c r="AJ88" s="106"/>
      <c r="AK88" s="106"/>
      <c r="AL88" s="106"/>
      <c r="AM88" s="106"/>
      <c r="AN88" s="106"/>
      <c r="AO88" s="106"/>
      <c r="AP88" s="106"/>
      <c r="AQ88" s="106"/>
      <c r="AR88" s="184">
        <v>0</v>
      </c>
    </row>
    <row r="89" s="184" customFormat="1" ht="17.25" hidden="1" customHeight="1">
      <c r="A89" s="253"/>
      <c r="C89" s="128"/>
      <c r="D89" s="254">
        <v>3</v>
      </c>
      <c r="E89" s="255" t="s">
        <v>239</v>
      </c>
      <c r="F89" s="256" t="s">
        <v>19</v>
      </c>
      <c r="G89" s="255"/>
      <c r="H89" s="257"/>
      <c r="I89" s="258"/>
      <c r="J89" s="259"/>
      <c r="K89" s="260"/>
      <c r="L89" s="260"/>
      <c r="M89" s="260"/>
      <c r="N89" s="261"/>
      <c r="O89" s="260"/>
      <c r="P89" s="260"/>
      <c r="Q89" s="260"/>
      <c r="R89" s="262"/>
      <c r="S89" s="260"/>
      <c r="T89" s="260"/>
      <c r="U89" s="260"/>
      <c r="V89" s="262"/>
      <c r="W89" s="263"/>
      <c r="X89" s="264"/>
      <c r="Y89" s="264"/>
      <c r="Z89" s="264"/>
      <c r="AA89" s="264"/>
      <c r="AB89" s="264"/>
      <c r="AC89" s="264" t="s">
        <v>240</v>
      </c>
      <c r="AD89" s="264" t="s">
        <v>241</v>
      </c>
      <c r="AE89" s="264" t="s">
        <v>242</v>
      </c>
      <c r="AF89" s="264" t="s">
        <v>243</v>
      </c>
      <c r="AG89" s="264"/>
      <c r="AH89" s="264" t="str">
        <f>IF($E$89=0,"",$E$89)</f>
        <v xml:space="preserve">Тариф на транспортировку воды</v>
      </c>
      <c r="AI89" s="264" t="str">
        <f>IF($G$89=0,"",$G$89)</f>
        <v/>
      </c>
      <c r="AJ89" s="264" t="str">
        <f>IF($J$89=0,"",$J$89)</f>
        <v/>
      </c>
      <c r="AK89" s="264" t="str">
        <f>IF($K$89="нет","без дифференциации",IF($N$89=0,"",$N$89))</f>
        <v/>
      </c>
      <c r="AL89" s="264" t="str">
        <f>IF($O$89="нет","без дифференциации",IF($R$89=0,"",$R$89))</f>
        <v/>
      </c>
      <c r="AM89" s="264" t="str">
        <f>IF($S$89="нет","без дифференциации",IF($V$89=0,"",$V$89))</f>
        <v/>
      </c>
      <c r="AN89" s="282">
        <f>$I$89</f>
        <v>0</v>
      </c>
      <c r="AO89" s="264" t="str">
        <f>$I$89&amp;"."&amp;$M$89</f>
        <v>.</v>
      </c>
      <c r="AP89" s="106" t="str">
        <f>$I$89&amp;"."&amp;$M$89&amp;"."&amp;$Q$89</f>
        <v>..</v>
      </c>
      <c r="AQ89" s="106" t="str">
        <f>$I$89&amp;"."&amp;$M$89&amp;"."&amp;$Q$89&amp;"."&amp;$U$89</f>
        <v>...</v>
      </c>
      <c r="AR89" s="184">
        <v>0</v>
      </c>
    </row>
    <row r="90" s="184" customFormat="1" ht="17.25" hidden="1" customHeight="1">
      <c r="A90" s="253"/>
      <c r="C90" s="184"/>
      <c r="D90" s="254"/>
      <c r="E90" s="255"/>
      <c r="F90" s="265"/>
      <c r="G90" s="255"/>
      <c r="H90" s="266"/>
      <c r="I90" s="267"/>
      <c r="J90" s="268"/>
      <c r="K90" s="125"/>
      <c r="L90" s="125"/>
      <c r="M90" s="125"/>
      <c r="N90" s="269"/>
      <c r="O90" s="125"/>
      <c r="P90" s="125"/>
      <c r="Q90" s="125"/>
      <c r="R90" s="270"/>
      <c r="S90" s="125"/>
      <c r="T90" s="271"/>
      <c r="U90" s="271"/>
      <c r="V90" s="271"/>
      <c r="W90" s="272"/>
      <c r="X90" s="106"/>
      <c r="Y90" s="106"/>
      <c r="Z90" s="106"/>
      <c r="AA90" s="106"/>
      <c r="AB90" s="106"/>
      <c r="AC90" s="106"/>
      <c r="AD90" s="106"/>
      <c r="AE90" s="106"/>
      <c r="AF90" s="106"/>
      <c r="AG90" s="106"/>
      <c r="AH90" s="106"/>
      <c r="AI90" s="106"/>
      <c r="AJ90" s="106"/>
      <c r="AK90" s="106"/>
      <c r="AL90" s="106"/>
      <c r="AM90" s="106"/>
      <c r="AN90" s="106"/>
      <c r="AO90" s="106"/>
      <c r="AP90" s="106"/>
      <c r="AQ90" s="106"/>
      <c r="AR90" s="184">
        <v>0</v>
      </c>
    </row>
    <row r="91" s="184" customFormat="1" ht="17.25" hidden="1" customHeight="1">
      <c r="A91" s="253"/>
      <c r="C91" s="184"/>
      <c r="D91" s="274"/>
      <c r="E91" s="275"/>
      <c r="F91" s="265"/>
      <c r="G91" s="275"/>
      <c r="H91" s="266"/>
      <c r="I91" s="267"/>
      <c r="J91" s="273"/>
      <c r="K91" s="125"/>
      <c r="L91" s="125"/>
      <c r="M91" s="125"/>
      <c r="N91" s="270"/>
      <c r="O91" s="125"/>
      <c r="P91" s="125"/>
      <c r="Q91" s="271"/>
      <c r="R91" s="271"/>
      <c r="S91" s="184"/>
      <c r="T91" s="184"/>
      <c r="U91" s="184"/>
      <c r="V91" s="184"/>
      <c r="W91" s="272"/>
      <c r="X91" s="106"/>
      <c r="Y91" s="106"/>
      <c r="Z91" s="106"/>
      <c r="AA91" s="106"/>
      <c r="AB91" s="106"/>
      <c r="AC91" s="106"/>
      <c r="AD91" s="106"/>
      <c r="AE91" s="106"/>
      <c r="AF91" s="106"/>
      <c r="AG91" s="106"/>
      <c r="AH91" s="106"/>
      <c r="AI91" s="106"/>
      <c r="AJ91" s="106"/>
      <c r="AK91" s="106"/>
      <c r="AL91" s="106"/>
      <c r="AM91" s="106"/>
      <c r="AN91" s="106"/>
      <c r="AO91" s="106"/>
      <c r="AP91" s="106"/>
      <c r="AQ91" s="106"/>
      <c r="AR91" s="184">
        <v>0</v>
      </c>
    </row>
    <row r="92" s="184" customFormat="1" ht="17.25" hidden="1" customHeight="1">
      <c r="A92" s="253"/>
      <c r="C92" s="184"/>
      <c r="D92" s="274"/>
      <c r="E92" s="275"/>
      <c r="F92" s="265"/>
      <c r="G92" s="275"/>
      <c r="H92" s="266"/>
      <c r="I92" s="267"/>
      <c r="J92" s="273"/>
      <c r="K92" s="125"/>
      <c r="L92" s="271"/>
      <c r="M92" s="271"/>
      <c r="N92" s="271"/>
      <c r="O92" s="271"/>
      <c r="P92" s="271"/>
      <c r="Q92" s="271"/>
      <c r="R92" s="271"/>
      <c r="S92" s="184"/>
      <c r="T92" s="184"/>
      <c r="U92" s="184"/>
      <c r="V92" s="184"/>
      <c r="W92" s="272"/>
      <c r="X92" s="106"/>
      <c r="Y92" s="106"/>
      <c r="Z92" s="106"/>
      <c r="AA92" s="106"/>
      <c r="AB92" s="106"/>
      <c r="AC92" s="106"/>
      <c r="AD92" s="106"/>
      <c r="AE92" s="106"/>
      <c r="AF92" s="106"/>
      <c r="AG92" s="106"/>
      <c r="AH92" s="106"/>
      <c r="AI92" s="106"/>
      <c r="AJ92" s="106"/>
      <c r="AK92" s="106"/>
      <c r="AL92" s="106"/>
      <c r="AM92" s="106"/>
      <c r="AN92" s="106"/>
      <c r="AO92" s="106"/>
      <c r="AP92" s="106"/>
      <c r="AQ92" s="106"/>
      <c r="AR92" s="184">
        <v>0</v>
      </c>
    </row>
    <row r="93" s="184" customFormat="1" ht="17.25" hidden="1" customHeight="1">
      <c r="A93" s="253"/>
      <c r="C93" s="184"/>
      <c r="D93" s="274"/>
      <c r="E93" s="275"/>
      <c r="F93" s="276"/>
      <c r="G93" s="275"/>
      <c r="H93" s="277"/>
      <c r="I93" s="278"/>
      <c r="J93" s="278"/>
      <c r="K93" s="278"/>
      <c r="L93" s="278"/>
      <c r="M93" s="278"/>
      <c r="N93" s="278"/>
      <c r="O93" s="278"/>
      <c r="P93" s="278"/>
      <c r="Q93" s="278"/>
      <c r="R93" s="278"/>
      <c r="S93" s="279"/>
      <c r="T93" s="279"/>
      <c r="U93" s="279"/>
      <c r="V93" s="279"/>
      <c r="W93" s="280"/>
      <c r="X93" s="106"/>
      <c r="Y93" s="106"/>
      <c r="Z93" s="106"/>
      <c r="AA93" s="106"/>
      <c r="AB93" s="106"/>
      <c r="AC93" s="106"/>
      <c r="AD93" s="106"/>
      <c r="AE93" s="106"/>
      <c r="AF93" s="106"/>
      <c r="AG93" s="106"/>
      <c r="AH93" s="106"/>
      <c r="AI93" s="106"/>
      <c r="AJ93" s="106"/>
      <c r="AK93" s="106"/>
      <c r="AL93" s="106"/>
      <c r="AM93" s="106"/>
      <c r="AN93" s="106"/>
      <c r="AO93" s="106"/>
      <c r="AP93" s="106"/>
      <c r="AQ93" s="106"/>
      <c r="AR93" s="184">
        <v>0</v>
      </c>
    </row>
    <row r="94" s="184" customFormat="1" ht="17.25" hidden="1" customHeight="1">
      <c r="A94" s="253"/>
      <c r="C94" s="128"/>
      <c r="D94" s="254">
        <v>4</v>
      </c>
      <c r="E94" s="255" t="s">
        <v>244</v>
      </c>
      <c r="F94" s="256" t="s">
        <v>19</v>
      </c>
      <c r="G94" s="255"/>
      <c r="H94" s="257"/>
      <c r="I94" s="258"/>
      <c r="J94" s="259"/>
      <c r="K94" s="260"/>
      <c r="L94" s="260"/>
      <c r="M94" s="260"/>
      <c r="N94" s="261"/>
      <c r="O94" s="260"/>
      <c r="P94" s="260"/>
      <c r="Q94" s="260"/>
      <c r="R94" s="262"/>
      <c r="S94" s="260"/>
      <c r="T94" s="260"/>
      <c r="U94" s="260"/>
      <c r="V94" s="262"/>
      <c r="W94" s="263"/>
      <c r="X94" s="264"/>
      <c r="Y94" s="264"/>
      <c r="Z94" s="264"/>
      <c r="AA94" s="264"/>
      <c r="AB94" s="264"/>
      <c r="AC94" s="264" t="s">
        <v>245</v>
      </c>
      <c r="AD94" s="264" t="s">
        <v>246</v>
      </c>
      <c r="AE94" s="264" t="s">
        <v>247</v>
      </c>
      <c r="AF94" s="264" t="s">
        <v>248</v>
      </c>
      <c r="AG94" s="264"/>
      <c r="AH94" s="264" t="str">
        <f>IF($E$94=0,"",$E$94)</f>
        <v xml:space="preserve">Тариф на подвоз воды</v>
      </c>
      <c r="AI94" s="264" t="str">
        <f>IF($G$94=0,"",$G$94)</f>
        <v/>
      </c>
      <c r="AJ94" s="264" t="str">
        <f>IF($J$94=0,"",$J$94)</f>
        <v/>
      </c>
      <c r="AK94" s="264" t="str">
        <f>IF($K$94="нет","без дифференциации",IF($N$94=0,"",$N$94))</f>
        <v/>
      </c>
      <c r="AL94" s="264" t="str">
        <f>IF($O$94="нет","без дифференциации",IF($R$94=0,"",$R$94))</f>
        <v/>
      </c>
      <c r="AM94" s="264" t="str">
        <f>IF($S$94="нет","без дифференциации",IF($V$94=0,"",$V$94))</f>
        <v/>
      </c>
      <c r="AN94" s="282">
        <f>$I$94</f>
        <v>0</v>
      </c>
      <c r="AO94" s="264" t="str">
        <f>$I$94&amp;"."&amp;$M$94</f>
        <v>.</v>
      </c>
      <c r="AP94" s="106" t="str">
        <f>$I$94&amp;"."&amp;$M$94&amp;"."&amp;$Q$94</f>
        <v>..</v>
      </c>
      <c r="AQ94" s="106" t="str">
        <f>$I$94&amp;"."&amp;$M$94&amp;"."&amp;$Q$94&amp;"."&amp;$U$94</f>
        <v>...</v>
      </c>
      <c r="AR94" s="184">
        <v>0</v>
      </c>
    </row>
    <row r="95" s="184" customFormat="1" ht="17.25" hidden="1" customHeight="1">
      <c r="A95" s="253"/>
      <c r="C95" s="184"/>
      <c r="D95" s="254"/>
      <c r="E95" s="255"/>
      <c r="F95" s="265"/>
      <c r="G95" s="255"/>
      <c r="H95" s="266"/>
      <c r="I95" s="267"/>
      <c r="J95" s="268"/>
      <c r="K95" s="125"/>
      <c r="L95" s="125"/>
      <c r="M95" s="125"/>
      <c r="N95" s="269"/>
      <c r="O95" s="125"/>
      <c r="P95" s="125"/>
      <c r="Q95" s="125"/>
      <c r="R95" s="270"/>
      <c r="S95" s="125"/>
      <c r="T95" s="271"/>
      <c r="U95" s="271"/>
      <c r="V95" s="271"/>
      <c r="W95" s="272"/>
      <c r="X95" s="106"/>
      <c r="Y95" s="106"/>
      <c r="Z95" s="106"/>
      <c r="AA95" s="106"/>
      <c r="AB95" s="106"/>
      <c r="AC95" s="106"/>
      <c r="AD95" s="106"/>
      <c r="AE95" s="106"/>
      <c r="AF95" s="106"/>
      <c r="AG95" s="106"/>
      <c r="AH95" s="106"/>
      <c r="AI95" s="106"/>
      <c r="AJ95" s="106"/>
      <c r="AK95" s="106"/>
      <c r="AL95" s="106"/>
      <c r="AM95" s="106"/>
      <c r="AN95" s="106"/>
      <c r="AO95" s="106"/>
      <c r="AP95" s="106"/>
      <c r="AQ95" s="106"/>
      <c r="AR95" s="184">
        <v>0</v>
      </c>
    </row>
    <row r="96" s="184" customFormat="1" ht="17.25" hidden="1" customHeight="1">
      <c r="A96" s="253"/>
      <c r="C96" s="184"/>
      <c r="D96" s="274"/>
      <c r="E96" s="275"/>
      <c r="F96" s="265"/>
      <c r="G96" s="275"/>
      <c r="H96" s="266"/>
      <c r="I96" s="267"/>
      <c r="J96" s="273"/>
      <c r="K96" s="125"/>
      <c r="L96" s="125"/>
      <c r="M96" s="125"/>
      <c r="N96" s="270"/>
      <c r="O96" s="125"/>
      <c r="P96" s="125"/>
      <c r="Q96" s="271"/>
      <c r="R96" s="271"/>
      <c r="S96" s="184"/>
      <c r="T96" s="184"/>
      <c r="U96" s="184"/>
      <c r="V96" s="184"/>
      <c r="W96" s="272"/>
      <c r="X96" s="106"/>
      <c r="Y96" s="106"/>
      <c r="Z96" s="106"/>
      <c r="AA96" s="106"/>
      <c r="AB96" s="106"/>
      <c r="AC96" s="106"/>
      <c r="AD96" s="106"/>
      <c r="AE96" s="106"/>
      <c r="AF96" s="106"/>
      <c r="AG96" s="106"/>
      <c r="AH96" s="106"/>
      <c r="AI96" s="106"/>
      <c r="AJ96" s="106"/>
      <c r="AK96" s="106"/>
      <c r="AL96" s="106"/>
      <c r="AM96" s="106"/>
      <c r="AN96" s="106"/>
      <c r="AO96" s="106"/>
      <c r="AP96" s="106"/>
      <c r="AQ96" s="106"/>
      <c r="AR96" s="184">
        <v>0</v>
      </c>
    </row>
    <row r="97" s="184" customFormat="1" ht="17.25" hidden="1" customHeight="1">
      <c r="A97" s="253"/>
      <c r="C97" s="184"/>
      <c r="D97" s="274"/>
      <c r="E97" s="275"/>
      <c r="F97" s="265"/>
      <c r="G97" s="275"/>
      <c r="H97" s="266"/>
      <c r="I97" s="267"/>
      <c r="J97" s="273"/>
      <c r="K97" s="125"/>
      <c r="L97" s="271"/>
      <c r="M97" s="271"/>
      <c r="N97" s="271"/>
      <c r="O97" s="271"/>
      <c r="P97" s="271"/>
      <c r="Q97" s="271"/>
      <c r="R97" s="271"/>
      <c r="S97" s="184"/>
      <c r="T97" s="184"/>
      <c r="U97" s="184"/>
      <c r="V97" s="184"/>
      <c r="W97" s="272"/>
      <c r="X97" s="106"/>
      <c r="Y97" s="106"/>
      <c r="Z97" s="106"/>
      <c r="AA97" s="106"/>
      <c r="AB97" s="106"/>
      <c r="AC97" s="106"/>
      <c r="AD97" s="106"/>
      <c r="AE97" s="106"/>
      <c r="AF97" s="106"/>
      <c r="AG97" s="106"/>
      <c r="AH97" s="106"/>
      <c r="AI97" s="106"/>
      <c r="AJ97" s="106"/>
      <c r="AK97" s="106"/>
      <c r="AL97" s="106"/>
      <c r="AM97" s="106"/>
      <c r="AN97" s="106"/>
      <c r="AO97" s="106"/>
      <c r="AP97" s="106"/>
      <c r="AQ97" s="106"/>
      <c r="AR97" s="184">
        <v>0</v>
      </c>
    </row>
    <row r="98" s="184" customFormat="1" ht="17.25" hidden="1" customHeight="1">
      <c r="A98" s="253"/>
      <c r="C98" s="184"/>
      <c r="D98" s="274"/>
      <c r="E98" s="275"/>
      <c r="F98" s="276"/>
      <c r="G98" s="275"/>
      <c r="H98" s="277"/>
      <c r="I98" s="278"/>
      <c r="J98" s="278"/>
      <c r="K98" s="278"/>
      <c r="L98" s="278"/>
      <c r="M98" s="278"/>
      <c r="N98" s="278"/>
      <c r="O98" s="278"/>
      <c r="P98" s="278"/>
      <c r="Q98" s="278"/>
      <c r="R98" s="278"/>
      <c r="S98" s="279"/>
      <c r="T98" s="279"/>
      <c r="U98" s="279"/>
      <c r="V98" s="279"/>
      <c r="W98" s="280"/>
      <c r="X98" s="106"/>
      <c r="Y98" s="106"/>
      <c r="Z98" s="106"/>
      <c r="AA98" s="106"/>
      <c r="AB98" s="106"/>
      <c r="AC98" s="106"/>
      <c r="AD98" s="106"/>
      <c r="AE98" s="106"/>
      <c r="AF98" s="106"/>
      <c r="AG98" s="106"/>
      <c r="AH98" s="106"/>
      <c r="AI98" s="106"/>
      <c r="AJ98" s="106"/>
      <c r="AK98" s="106"/>
      <c r="AL98" s="106"/>
      <c r="AM98" s="106"/>
      <c r="AN98" s="106"/>
      <c r="AO98" s="106"/>
      <c r="AP98" s="106"/>
      <c r="AQ98" s="106"/>
      <c r="AR98" s="184">
        <v>0</v>
      </c>
    </row>
    <row r="99" s="184" customFormat="1" ht="17.25" hidden="1" customHeight="1">
      <c r="A99" s="253"/>
      <c r="C99" s="128"/>
      <c r="D99" s="254">
        <v>5</v>
      </c>
      <c r="E99" s="255" t="s">
        <v>249</v>
      </c>
      <c r="F99" s="256" t="s">
        <v>19</v>
      </c>
      <c r="G99" s="255"/>
      <c r="H99" s="257"/>
      <c r="I99" s="258"/>
      <c r="J99" s="259"/>
      <c r="K99" s="260"/>
      <c r="L99" s="260"/>
      <c r="M99" s="260"/>
      <c r="N99" s="261"/>
      <c r="O99" s="260"/>
      <c r="P99" s="260"/>
      <c r="Q99" s="260"/>
      <c r="R99" s="262"/>
      <c r="S99" s="260"/>
      <c r="T99" s="260"/>
      <c r="U99" s="260"/>
      <c r="V99" s="262"/>
      <c r="W99" s="263"/>
      <c r="X99" s="264"/>
      <c r="Y99" s="264"/>
      <c r="Z99" s="264"/>
      <c r="AA99" s="264"/>
      <c r="AB99" s="264"/>
      <c r="AC99" s="264" t="s">
        <v>250</v>
      </c>
      <c r="AD99" s="264" t="s">
        <v>251</v>
      </c>
      <c r="AE99" s="264" t="s">
        <v>252</v>
      </c>
      <c r="AF99" s="264" t="s">
        <v>253</v>
      </c>
      <c r="AG99" s="264"/>
      <c r="AH99" s="264" t="str">
        <f>IF($E$99=0,"",$E$99)</f>
        <v xml:space="preserve">Тариф на подключение (технологическое присоединение) к централизованной системе холодного водоснабжения</v>
      </c>
      <c r="AI99" s="264" t="str">
        <f>IF($G$99=0,"",$G$99)</f>
        <v/>
      </c>
      <c r="AJ99" s="264" t="str">
        <f>IF($J$99=0,"",$J$99)</f>
        <v/>
      </c>
      <c r="AK99" s="264" t="str">
        <f>IF($K$99="нет","без дифференциации",IF($N$99=0,"",$N$99))</f>
        <v/>
      </c>
      <c r="AL99" s="264" t="str">
        <f>IF($O$99="нет","без дифференциации",IF($R$99=0,"",$R$99))</f>
        <v/>
      </c>
      <c r="AM99" s="264" t="str">
        <f>IF($S$99="нет","без дифференциации",IF($V$99=0,"",$V$99))</f>
        <v/>
      </c>
      <c r="AN99" s="282">
        <f>$I$99</f>
        <v>0</v>
      </c>
      <c r="AO99" s="264" t="str">
        <f>$I$99&amp;"."&amp;$M$99</f>
        <v>.</v>
      </c>
      <c r="AP99" s="106" t="str">
        <f>$I$99&amp;"."&amp;$M$99&amp;"."&amp;$Q$99</f>
        <v>..</v>
      </c>
      <c r="AQ99" s="106" t="str">
        <f>$I$99&amp;"."&amp;$M$99&amp;"."&amp;$Q$99&amp;"."&amp;$U$99</f>
        <v>...</v>
      </c>
      <c r="AR99" s="184">
        <v>0</v>
      </c>
    </row>
    <row r="100" s="184" customFormat="1" ht="17.25" hidden="1" customHeight="1">
      <c r="A100" s="253"/>
      <c r="C100" s="184"/>
      <c r="D100" s="254"/>
      <c r="E100" s="255"/>
      <c r="F100" s="265"/>
      <c r="G100" s="255"/>
      <c r="H100" s="266"/>
      <c r="I100" s="267"/>
      <c r="J100" s="268"/>
      <c r="K100" s="125"/>
      <c r="L100" s="125"/>
      <c r="M100" s="125"/>
      <c r="N100" s="269"/>
      <c r="O100" s="125"/>
      <c r="P100" s="125"/>
      <c r="Q100" s="125"/>
      <c r="R100" s="270"/>
      <c r="S100" s="125"/>
      <c r="T100" s="271"/>
      <c r="U100" s="271"/>
      <c r="V100" s="271"/>
      <c r="W100" s="272"/>
      <c r="X100" s="106"/>
      <c r="Y100" s="106"/>
      <c r="Z100" s="106"/>
      <c r="AA100" s="106"/>
      <c r="AB100" s="106"/>
      <c r="AC100" s="106"/>
      <c r="AD100" s="106"/>
      <c r="AE100" s="106"/>
      <c r="AF100" s="106"/>
      <c r="AG100" s="106"/>
      <c r="AH100" s="106"/>
      <c r="AI100" s="106"/>
      <c r="AJ100" s="106"/>
      <c r="AK100" s="106"/>
      <c r="AL100" s="106"/>
      <c r="AM100" s="106"/>
      <c r="AN100" s="106"/>
      <c r="AO100" s="106"/>
      <c r="AP100" s="106"/>
      <c r="AQ100" s="106"/>
      <c r="AR100" s="184">
        <v>0</v>
      </c>
    </row>
    <row r="101" s="184" customFormat="1" ht="17.25" hidden="1" customHeight="1">
      <c r="A101" s="253"/>
      <c r="C101" s="184"/>
      <c r="D101" s="274"/>
      <c r="E101" s="275"/>
      <c r="F101" s="265"/>
      <c r="G101" s="275"/>
      <c r="H101" s="266"/>
      <c r="I101" s="267"/>
      <c r="J101" s="273"/>
      <c r="K101" s="125"/>
      <c r="L101" s="125"/>
      <c r="M101" s="125"/>
      <c r="N101" s="270"/>
      <c r="O101" s="125"/>
      <c r="P101" s="125"/>
      <c r="Q101" s="271"/>
      <c r="R101" s="271"/>
      <c r="S101" s="184"/>
      <c r="T101" s="184"/>
      <c r="U101" s="184"/>
      <c r="V101" s="184"/>
      <c r="W101" s="272"/>
      <c r="X101" s="106"/>
      <c r="Y101" s="106"/>
      <c r="Z101" s="106"/>
      <c r="AA101" s="106"/>
      <c r="AB101" s="106"/>
      <c r="AC101" s="106"/>
      <c r="AD101" s="106"/>
      <c r="AE101" s="106"/>
      <c r="AF101" s="106"/>
      <c r="AG101" s="106"/>
      <c r="AH101" s="106"/>
      <c r="AI101" s="106"/>
      <c r="AJ101" s="106"/>
      <c r="AK101" s="106"/>
      <c r="AL101" s="106"/>
      <c r="AM101" s="106"/>
      <c r="AN101" s="106"/>
      <c r="AO101" s="106"/>
      <c r="AP101" s="106"/>
      <c r="AQ101" s="106"/>
      <c r="AR101" s="184">
        <v>0</v>
      </c>
    </row>
    <row r="102" s="184" customFormat="1" ht="17.25" hidden="1" customHeight="1">
      <c r="A102" s="253"/>
      <c r="C102" s="184"/>
      <c r="D102" s="274"/>
      <c r="E102" s="275"/>
      <c r="F102" s="265"/>
      <c r="G102" s="275"/>
      <c r="H102" s="266"/>
      <c r="I102" s="267"/>
      <c r="J102" s="273"/>
      <c r="K102" s="125"/>
      <c r="L102" s="271"/>
      <c r="M102" s="271"/>
      <c r="N102" s="271"/>
      <c r="O102" s="271"/>
      <c r="P102" s="271"/>
      <c r="Q102" s="271"/>
      <c r="R102" s="271"/>
      <c r="S102" s="184"/>
      <c r="T102" s="184"/>
      <c r="U102" s="184"/>
      <c r="V102" s="184"/>
      <c r="W102" s="272"/>
      <c r="X102" s="106"/>
      <c r="Y102" s="106"/>
      <c r="Z102" s="106"/>
      <c r="AA102" s="106"/>
      <c r="AB102" s="106"/>
      <c r="AC102" s="106"/>
      <c r="AD102" s="106"/>
      <c r="AE102" s="106"/>
      <c r="AF102" s="106"/>
      <c r="AG102" s="106"/>
      <c r="AH102" s="106"/>
      <c r="AI102" s="106"/>
      <c r="AJ102" s="106"/>
      <c r="AK102" s="106"/>
      <c r="AL102" s="106"/>
      <c r="AM102" s="106"/>
      <c r="AN102" s="106"/>
      <c r="AO102" s="106"/>
      <c r="AP102" s="106"/>
      <c r="AQ102" s="106"/>
      <c r="AR102" s="184">
        <v>0</v>
      </c>
    </row>
    <row r="103" s="184" customFormat="1" ht="17.25" hidden="1" customHeight="1">
      <c r="A103" s="253"/>
      <c r="C103" s="184"/>
      <c r="D103" s="274"/>
      <c r="E103" s="275"/>
      <c r="F103" s="276"/>
      <c r="G103" s="275"/>
      <c r="H103" s="277"/>
      <c r="I103" s="278"/>
      <c r="J103" s="278"/>
      <c r="K103" s="278"/>
      <c r="L103" s="278"/>
      <c r="M103" s="278"/>
      <c r="N103" s="278"/>
      <c r="O103" s="278"/>
      <c r="P103" s="278"/>
      <c r="Q103" s="278"/>
      <c r="R103" s="278"/>
      <c r="S103" s="279"/>
      <c r="T103" s="279"/>
      <c r="U103" s="279"/>
      <c r="V103" s="279"/>
      <c r="W103" s="280"/>
      <c r="X103" s="106"/>
      <c r="Y103" s="106"/>
      <c r="Z103" s="106"/>
      <c r="AA103" s="106"/>
      <c r="AB103" s="106"/>
      <c r="AC103" s="106"/>
      <c r="AD103" s="106"/>
      <c r="AE103" s="106"/>
      <c r="AF103" s="106"/>
      <c r="AG103" s="106"/>
      <c r="AH103" s="106"/>
      <c r="AI103" s="106"/>
      <c r="AJ103" s="106"/>
      <c r="AK103" s="106"/>
      <c r="AL103" s="106"/>
      <c r="AM103" s="106"/>
      <c r="AN103" s="106"/>
      <c r="AO103" s="106"/>
      <c r="AP103" s="106"/>
      <c r="AQ103" s="106"/>
      <c r="AR103" s="184">
        <v>0</v>
      </c>
    </row>
    <row r="104" s="184" customFormat="1" ht="11.25" hidden="1" customHeight="1">
      <c r="A104" s="129"/>
      <c r="B104" s="129"/>
      <c r="Y104" s="106"/>
      <c r="Z104" s="106"/>
      <c r="AA104" s="106"/>
      <c r="AB104" s="106"/>
      <c r="AC104" s="106"/>
      <c r="AD104" s="106"/>
      <c r="AE104" s="106"/>
      <c r="AF104" s="106"/>
      <c r="AG104" s="106"/>
      <c r="AH104" s="106"/>
      <c r="AI104" s="106"/>
      <c r="AJ104" s="106"/>
      <c r="AK104" s="106"/>
      <c r="AL104" s="106"/>
      <c r="AM104" s="106"/>
      <c r="AN104" s="106"/>
      <c r="AO104" s="106"/>
      <c r="AP104" s="106"/>
      <c r="AQ104" s="106"/>
      <c r="AR104" s="184">
        <v>0</v>
      </c>
    </row>
    <row r="105" s="184" customFormat="1" ht="17.25" hidden="1" customHeight="1">
      <c r="A105" s="253"/>
      <c r="C105" s="128"/>
      <c r="D105" s="254">
        <v>1</v>
      </c>
      <c r="E105" s="255" t="s">
        <v>254</v>
      </c>
      <c r="F105" s="256" t="s">
        <v>19</v>
      </c>
      <c r="G105" s="255"/>
      <c r="H105" s="257"/>
      <c r="I105" s="258"/>
      <c r="J105" s="259"/>
      <c r="K105" s="260"/>
      <c r="L105" s="260"/>
      <c r="M105" s="260"/>
      <c r="N105" s="261"/>
      <c r="O105" s="260"/>
      <c r="P105" s="260"/>
      <c r="Q105" s="260"/>
      <c r="R105" s="262"/>
      <c r="S105" s="260"/>
      <c r="T105" s="260"/>
      <c r="U105" s="260"/>
      <c r="V105" s="262"/>
      <c r="W105" s="263"/>
      <c r="Y105" s="264"/>
      <c r="Z105" s="264"/>
      <c r="AA105" s="264"/>
      <c r="AB105" s="264"/>
      <c r="AC105" s="264" t="s">
        <v>255</v>
      </c>
      <c r="AD105" s="264" t="s">
        <v>256</v>
      </c>
      <c r="AE105" s="264" t="s">
        <v>257</v>
      </c>
      <c r="AF105" s="264" t="s">
        <v>258</v>
      </c>
      <c r="AG105" s="264"/>
      <c r="AH105" s="264" t="str">
        <f>IF($E$105=0,"",$E$105)</f>
        <v xml:space="preserve">Тариф на горячую воду (горячее водоснабжение)</v>
      </c>
      <c r="AI105" s="264" t="str">
        <f>IF($G$105=0,"",$G$105)</f>
        <v/>
      </c>
      <c r="AJ105" s="264" t="str">
        <f>IF($J$105=0,"",$J$105)</f>
        <v/>
      </c>
      <c r="AK105" s="264" t="str">
        <f>IF($K$105="нет","без дифференциации",IF($N$105=0,"",$N$105))</f>
        <v/>
      </c>
      <c r="AL105" s="264" t="str">
        <f>IF($O$105="нет","без дифференциации",IF($R$105=0,"",$R$105))</f>
        <v/>
      </c>
      <c r="AM105" s="264" t="str">
        <f>IF($S$105="нет","без дифференциации",IF($V$105=0,"",$V$105))</f>
        <v/>
      </c>
      <c r="AN105" s="264">
        <f>$I$105</f>
        <v>0</v>
      </c>
      <c r="AO105" s="264" t="str">
        <f>$I$105&amp;"."&amp;$M$105</f>
        <v>.</v>
      </c>
      <c r="AP105" s="264" t="str">
        <f>$I$105&amp;"."&amp;$M$105&amp;"."&amp;$Q$105</f>
        <v>..</v>
      </c>
      <c r="AQ105" s="264" t="str">
        <f>$I$105&amp;"."&amp;$M$105&amp;"."&amp;$Q$105&amp;"."&amp;$U$105</f>
        <v>...</v>
      </c>
      <c r="AR105" s="184">
        <v>0</v>
      </c>
    </row>
    <row r="106" s="184" customFormat="1" ht="17.25" hidden="1" customHeight="1">
      <c r="A106" s="253"/>
      <c r="C106" s="184"/>
      <c r="D106" s="254"/>
      <c r="E106" s="255"/>
      <c r="F106" s="265"/>
      <c r="G106" s="255"/>
      <c r="H106" s="266"/>
      <c r="I106" s="267"/>
      <c r="J106" s="268"/>
      <c r="K106" s="125"/>
      <c r="L106" s="125"/>
      <c r="M106" s="125"/>
      <c r="N106" s="269"/>
      <c r="O106" s="125"/>
      <c r="P106" s="125"/>
      <c r="Q106" s="125"/>
      <c r="R106" s="270"/>
      <c r="S106" s="125"/>
      <c r="T106" s="271"/>
      <c r="U106" s="271"/>
      <c r="V106" s="271"/>
      <c r="W106" s="272"/>
      <c r="Y106" s="106"/>
      <c r="Z106" s="106"/>
      <c r="AA106" s="106"/>
      <c r="AB106" s="106"/>
      <c r="AC106" s="106"/>
      <c r="AD106" s="106"/>
      <c r="AE106" s="106"/>
      <c r="AF106" s="106"/>
      <c r="AG106" s="106"/>
      <c r="AH106" s="106"/>
      <c r="AI106" s="106"/>
      <c r="AJ106" s="106"/>
      <c r="AK106" s="106"/>
      <c r="AL106" s="106"/>
      <c r="AM106" s="106"/>
      <c r="AN106" s="106"/>
      <c r="AO106" s="106"/>
      <c r="AP106" s="106"/>
      <c r="AQ106" s="106"/>
      <c r="AR106" s="184">
        <v>0</v>
      </c>
    </row>
    <row r="107" s="184" customFormat="1" ht="17.25" hidden="1" customHeight="1">
      <c r="A107" s="253"/>
      <c r="C107" s="128"/>
      <c r="D107" s="254"/>
      <c r="E107" s="255"/>
      <c r="F107" s="265"/>
      <c r="G107" s="255"/>
      <c r="H107" s="266"/>
      <c r="I107" s="267"/>
      <c r="J107" s="273"/>
      <c r="K107" s="125"/>
      <c r="L107" s="125"/>
      <c r="M107" s="125"/>
      <c r="N107" s="270"/>
      <c r="O107" s="125"/>
      <c r="P107" s="125"/>
      <c r="Q107" s="271"/>
      <c r="R107" s="271"/>
      <c r="S107" s="184"/>
      <c r="T107" s="184"/>
      <c r="U107" s="184"/>
      <c r="V107" s="184"/>
      <c r="W107" s="272"/>
      <c r="Y107" s="264"/>
      <c r="Z107" s="264"/>
      <c r="AA107" s="264"/>
      <c r="AB107" s="264"/>
      <c r="AC107" s="264"/>
      <c r="AD107" s="264"/>
      <c r="AE107" s="264"/>
      <c r="AF107" s="264"/>
      <c r="AG107" s="264"/>
      <c r="AH107" s="264"/>
      <c r="AI107" s="264"/>
      <c r="AJ107" s="264"/>
      <c r="AK107" s="264"/>
      <c r="AL107" s="264"/>
      <c r="AM107" s="264"/>
      <c r="AN107" s="264"/>
      <c r="AO107" s="264"/>
      <c r="AP107" s="264"/>
      <c r="AQ107" s="264"/>
      <c r="AR107" s="184">
        <v>0</v>
      </c>
    </row>
    <row r="108" s="184" customFormat="1" ht="17.25" hidden="1" customHeight="1">
      <c r="A108" s="253"/>
      <c r="C108" s="184"/>
      <c r="D108" s="254"/>
      <c r="E108" s="255"/>
      <c r="F108" s="265"/>
      <c r="G108" s="255"/>
      <c r="H108" s="266"/>
      <c r="I108" s="267"/>
      <c r="J108" s="273"/>
      <c r="K108" s="125"/>
      <c r="L108" s="271"/>
      <c r="M108" s="271"/>
      <c r="N108" s="271"/>
      <c r="O108" s="271"/>
      <c r="P108" s="271"/>
      <c r="Q108" s="271"/>
      <c r="R108" s="271"/>
      <c r="S108" s="184"/>
      <c r="T108" s="184"/>
      <c r="U108" s="184"/>
      <c r="V108" s="184"/>
      <c r="W108" s="272"/>
      <c r="Y108" s="106"/>
      <c r="Z108" s="106"/>
      <c r="AA108" s="106"/>
      <c r="AB108" s="106"/>
      <c r="AC108" s="106"/>
      <c r="AD108" s="106"/>
      <c r="AE108" s="106"/>
      <c r="AF108" s="106"/>
      <c r="AG108" s="106"/>
      <c r="AH108" s="106"/>
      <c r="AI108" s="106"/>
      <c r="AJ108" s="106"/>
      <c r="AK108" s="106"/>
      <c r="AL108" s="106"/>
      <c r="AM108" s="106"/>
      <c r="AN108" s="106"/>
      <c r="AO108" s="106"/>
      <c r="AP108" s="106"/>
      <c r="AQ108" s="106"/>
      <c r="AR108" s="184">
        <v>0</v>
      </c>
    </row>
    <row r="109" s="184" customFormat="1" ht="17.25" hidden="1" customHeight="1">
      <c r="A109" s="253"/>
      <c r="C109" s="184"/>
      <c r="D109" s="274"/>
      <c r="E109" s="275"/>
      <c r="F109" s="276"/>
      <c r="G109" s="275"/>
      <c r="H109" s="277"/>
      <c r="I109" s="278"/>
      <c r="J109" s="278"/>
      <c r="K109" s="278"/>
      <c r="L109" s="278"/>
      <c r="M109" s="278"/>
      <c r="N109" s="278"/>
      <c r="O109" s="278"/>
      <c r="P109" s="278"/>
      <c r="Q109" s="278"/>
      <c r="R109" s="278"/>
      <c r="S109" s="279"/>
      <c r="T109" s="279"/>
      <c r="U109" s="279"/>
      <c r="V109" s="279"/>
      <c r="W109" s="280"/>
      <c r="Y109" s="106"/>
      <c r="Z109" s="106"/>
      <c r="AA109" s="106"/>
      <c r="AB109" s="106"/>
      <c r="AC109" s="106"/>
      <c r="AD109" s="106"/>
      <c r="AE109" s="106"/>
      <c r="AF109" s="106"/>
      <c r="AG109" s="106"/>
      <c r="AH109" s="106"/>
      <c r="AI109" s="106"/>
      <c r="AJ109" s="106"/>
      <c r="AK109" s="106"/>
      <c r="AL109" s="106"/>
      <c r="AM109" s="106"/>
      <c r="AN109" s="106"/>
      <c r="AO109" s="106"/>
      <c r="AP109" s="106"/>
      <c r="AQ109" s="106"/>
      <c r="AR109" s="184">
        <v>0</v>
      </c>
    </row>
    <row r="110" s="184" customFormat="1" ht="17.25" hidden="1" customHeight="1">
      <c r="A110" s="253"/>
      <c r="C110" s="128"/>
      <c r="D110" s="254">
        <v>2</v>
      </c>
      <c r="E110" s="255" t="s">
        <v>259</v>
      </c>
      <c r="F110" s="256" t="s">
        <v>19</v>
      </c>
      <c r="G110" s="255"/>
      <c r="H110" s="257"/>
      <c r="I110" s="258"/>
      <c r="J110" s="259"/>
      <c r="K110" s="260"/>
      <c r="L110" s="260"/>
      <c r="M110" s="260"/>
      <c r="N110" s="261"/>
      <c r="O110" s="260"/>
      <c r="P110" s="260"/>
      <c r="Q110" s="260"/>
      <c r="R110" s="262"/>
      <c r="S110" s="260"/>
      <c r="T110" s="260"/>
      <c r="U110" s="260"/>
      <c r="V110" s="262"/>
      <c r="W110" s="263"/>
      <c r="X110" s="264"/>
      <c r="Y110" s="264"/>
      <c r="Z110" s="264"/>
      <c r="AA110" s="264"/>
      <c r="AB110" s="264"/>
      <c r="AC110" s="264" t="s">
        <v>260</v>
      </c>
      <c r="AD110" s="264" t="s">
        <v>261</v>
      </c>
      <c r="AE110" s="264" t="s">
        <v>262</v>
      </c>
      <c r="AF110" s="264" t="s">
        <v>263</v>
      </c>
      <c r="AG110" s="264"/>
      <c r="AH110" s="264" t="str">
        <f>IF($E$110=0,"",$E$110)</f>
        <v xml:space="preserve">Тариф на транспортировку горячей воды</v>
      </c>
      <c r="AI110" s="264" t="str">
        <f>IF($G$110=0,"",$G$110)</f>
        <v/>
      </c>
      <c r="AJ110" s="264" t="str">
        <f>IF($J$110=0,"",$J$110)</f>
        <v/>
      </c>
      <c r="AK110" s="264" t="str">
        <f>IF($K$110="нет","без дифференциации",IF($N$110=0,"",$N$110))</f>
        <v/>
      </c>
      <c r="AL110" s="264" t="str">
        <f>IF($O$110="нет","без дифференциации",IF($R$110=0,"",$R$110))</f>
        <v/>
      </c>
      <c r="AM110" s="264" t="str">
        <f>IF($S$110="нет","без дифференциации",IF($V$110=0,"",$V$110))</f>
        <v/>
      </c>
      <c r="AN110" s="282">
        <f>$I$110</f>
        <v>0</v>
      </c>
      <c r="AO110" s="264" t="str">
        <f>$I$110&amp;"."&amp;$M$110</f>
        <v>.</v>
      </c>
      <c r="AP110" s="106" t="str">
        <f>$I$110&amp;"."&amp;$M$110&amp;"."&amp;$Q$110</f>
        <v>..</v>
      </c>
      <c r="AQ110" s="106" t="str">
        <f>$I$110&amp;"."&amp;$M$110&amp;"."&amp;$Q$110&amp;"."&amp;$U$110</f>
        <v>...</v>
      </c>
      <c r="AR110" s="184">
        <v>0</v>
      </c>
    </row>
    <row r="111" s="184" customFormat="1" ht="17.25" hidden="1" customHeight="1">
      <c r="A111" s="253"/>
      <c r="C111" s="184"/>
      <c r="D111" s="254"/>
      <c r="E111" s="255"/>
      <c r="F111" s="265"/>
      <c r="G111" s="255"/>
      <c r="H111" s="266"/>
      <c r="I111" s="267"/>
      <c r="J111" s="268"/>
      <c r="K111" s="125"/>
      <c r="L111" s="125"/>
      <c r="M111" s="125"/>
      <c r="N111" s="269"/>
      <c r="O111" s="125"/>
      <c r="P111" s="125"/>
      <c r="Q111" s="125"/>
      <c r="R111" s="270"/>
      <c r="S111" s="125"/>
      <c r="T111" s="271"/>
      <c r="U111" s="271"/>
      <c r="V111" s="271"/>
      <c r="W111" s="272"/>
      <c r="X111" s="106"/>
      <c r="Y111" s="106"/>
      <c r="Z111" s="106"/>
      <c r="AA111" s="106"/>
      <c r="AB111" s="106"/>
      <c r="AC111" s="106"/>
      <c r="AD111" s="106"/>
      <c r="AE111" s="106"/>
      <c r="AF111" s="106"/>
      <c r="AG111" s="106"/>
      <c r="AH111" s="106"/>
      <c r="AI111" s="106"/>
      <c r="AJ111" s="106"/>
      <c r="AK111" s="106"/>
      <c r="AL111" s="106"/>
      <c r="AM111" s="106"/>
      <c r="AN111" s="106"/>
      <c r="AO111" s="106"/>
      <c r="AP111" s="106"/>
      <c r="AQ111" s="106"/>
      <c r="AR111" s="184">
        <v>0</v>
      </c>
    </row>
    <row r="112" s="184" customFormat="1" ht="17.25" hidden="1" customHeight="1">
      <c r="A112" s="253"/>
      <c r="C112" s="184"/>
      <c r="D112" s="274"/>
      <c r="E112" s="275"/>
      <c r="F112" s="265"/>
      <c r="G112" s="275"/>
      <c r="H112" s="266"/>
      <c r="I112" s="267"/>
      <c r="J112" s="273"/>
      <c r="K112" s="125"/>
      <c r="L112" s="125"/>
      <c r="M112" s="125"/>
      <c r="N112" s="270"/>
      <c r="O112" s="125"/>
      <c r="P112" s="125"/>
      <c r="Q112" s="271"/>
      <c r="R112" s="271"/>
      <c r="S112" s="184"/>
      <c r="T112" s="184"/>
      <c r="U112" s="184"/>
      <c r="V112" s="184"/>
      <c r="W112" s="272"/>
      <c r="X112" s="106"/>
      <c r="Y112" s="106"/>
      <c r="Z112" s="106"/>
      <c r="AA112" s="106"/>
      <c r="AB112" s="106"/>
      <c r="AC112" s="106"/>
      <c r="AD112" s="106"/>
      <c r="AE112" s="106"/>
      <c r="AF112" s="106"/>
      <c r="AG112" s="106"/>
      <c r="AH112" s="106"/>
      <c r="AI112" s="106"/>
      <c r="AJ112" s="106"/>
      <c r="AK112" s="106"/>
      <c r="AL112" s="106"/>
      <c r="AM112" s="106"/>
      <c r="AN112" s="106"/>
      <c r="AO112" s="106"/>
      <c r="AP112" s="106"/>
      <c r="AQ112" s="106"/>
      <c r="AR112" s="184">
        <v>0</v>
      </c>
    </row>
    <row r="113" s="184" customFormat="1" ht="17.25" hidden="1" customHeight="1">
      <c r="A113" s="253"/>
      <c r="C113" s="184"/>
      <c r="D113" s="274"/>
      <c r="E113" s="275"/>
      <c r="F113" s="265"/>
      <c r="G113" s="275"/>
      <c r="H113" s="266"/>
      <c r="I113" s="267"/>
      <c r="J113" s="273"/>
      <c r="K113" s="125"/>
      <c r="L113" s="271"/>
      <c r="M113" s="271"/>
      <c r="N113" s="271"/>
      <c r="O113" s="271"/>
      <c r="P113" s="271"/>
      <c r="Q113" s="271"/>
      <c r="R113" s="271"/>
      <c r="S113" s="184"/>
      <c r="T113" s="184"/>
      <c r="U113" s="184"/>
      <c r="V113" s="184"/>
      <c r="W113" s="272"/>
      <c r="X113" s="106"/>
      <c r="Y113" s="106"/>
      <c r="Z113" s="106"/>
      <c r="AA113" s="106"/>
      <c r="AB113" s="106"/>
      <c r="AC113" s="106"/>
      <c r="AD113" s="106"/>
      <c r="AE113" s="106"/>
      <c r="AF113" s="106"/>
      <c r="AG113" s="106"/>
      <c r="AH113" s="106"/>
      <c r="AI113" s="106"/>
      <c r="AJ113" s="106"/>
      <c r="AK113" s="106"/>
      <c r="AL113" s="106"/>
      <c r="AM113" s="106"/>
      <c r="AN113" s="106"/>
      <c r="AO113" s="106"/>
      <c r="AP113" s="106"/>
      <c r="AQ113" s="106"/>
      <c r="AR113" s="184">
        <v>0</v>
      </c>
    </row>
    <row r="114" s="184" customFormat="1" ht="17.25" hidden="1" customHeight="1">
      <c r="A114" s="253"/>
      <c r="C114" s="184"/>
      <c r="D114" s="274"/>
      <c r="E114" s="275"/>
      <c r="F114" s="276"/>
      <c r="G114" s="275"/>
      <c r="H114" s="277"/>
      <c r="I114" s="278"/>
      <c r="J114" s="278"/>
      <c r="K114" s="278"/>
      <c r="L114" s="278"/>
      <c r="M114" s="278"/>
      <c r="N114" s="278"/>
      <c r="O114" s="278"/>
      <c r="P114" s="278"/>
      <c r="Q114" s="278"/>
      <c r="R114" s="278"/>
      <c r="S114" s="279"/>
      <c r="T114" s="279"/>
      <c r="U114" s="279"/>
      <c r="V114" s="279"/>
      <c r="W114" s="280"/>
      <c r="X114" s="106"/>
      <c r="Y114" s="106"/>
      <c r="Z114" s="106"/>
      <c r="AA114" s="106"/>
      <c r="AB114" s="106"/>
      <c r="AC114" s="106"/>
      <c r="AD114" s="106"/>
      <c r="AE114" s="106"/>
      <c r="AF114" s="106"/>
      <c r="AG114" s="106"/>
      <c r="AH114" s="106"/>
      <c r="AI114" s="106"/>
      <c r="AJ114" s="106"/>
      <c r="AK114" s="106"/>
      <c r="AL114" s="106"/>
      <c r="AM114" s="106"/>
      <c r="AN114" s="106"/>
      <c r="AO114" s="106"/>
      <c r="AP114" s="106"/>
      <c r="AQ114" s="106"/>
      <c r="AR114" s="184">
        <v>0</v>
      </c>
    </row>
    <row r="115" s="184" customFormat="1" ht="17.25" hidden="1" customHeight="1">
      <c r="A115" s="253"/>
      <c r="C115" s="128"/>
      <c r="D115" s="254">
        <v>3</v>
      </c>
      <c r="E115" s="255" t="s">
        <v>264</v>
      </c>
      <c r="F115" s="256" t="s">
        <v>19</v>
      </c>
      <c r="G115" s="255"/>
      <c r="H115" s="257"/>
      <c r="I115" s="258"/>
      <c r="J115" s="259"/>
      <c r="K115" s="260"/>
      <c r="L115" s="260"/>
      <c r="M115" s="260"/>
      <c r="N115" s="261"/>
      <c r="O115" s="260"/>
      <c r="P115" s="260"/>
      <c r="Q115" s="260"/>
      <c r="R115" s="262"/>
      <c r="S115" s="260"/>
      <c r="T115" s="260"/>
      <c r="U115" s="260"/>
      <c r="V115" s="262"/>
      <c r="W115" s="263"/>
      <c r="X115" s="264"/>
      <c r="Y115" s="264"/>
      <c r="Z115" s="264"/>
      <c r="AA115" s="264"/>
      <c r="AB115" s="264"/>
      <c r="AC115" s="264" t="s">
        <v>265</v>
      </c>
      <c r="AD115" s="264" t="s">
        <v>266</v>
      </c>
      <c r="AE115" s="264" t="s">
        <v>267</v>
      </c>
      <c r="AF115" s="264" t="s">
        <v>268</v>
      </c>
      <c r="AG115" s="264"/>
      <c r="AH115" s="264" t="str">
        <f>IF($E$115=0,"",$E$115)</f>
        <v xml:space="preserve">Тариф на подключение (технологическое присоединение) к централизованной системе горячего водоснабжения</v>
      </c>
      <c r="AI115" s="264" t="str">
        <f>IF($G$115=0,"",$G$115)</f>
        <v/>
      </c>
      <c r="AJ115" s="264" t="str">
        <f>IF($J$115=0,"",$J$115)</f>
        <v/>
      </c>
      <c r="AK115" s="264" t="str">
        <f>IF($K$115="нет","без дифференциации",IF($N$115=0,"",$N$115))</f>
        <v/>
      </c>
      <c r="AL115" s="264" t="str">
        <f>IF($O$115="нет","без дифференциации",IF($R$115=0,"",$R$115))</f>
        <v/>
      </c>
      <c r="AM115" s="264" t="str">
        <f>IF($S$115="нет","без дифференциации",IF($V$115=0,"",$V$115))</f>
        <v/>
      </c>
      <c r="AN115" s="282">
        <f>$I$115</f>
        <v>0</v>
      </c>
      <c r="AO115" s="264" t="str">
        <f>$I$115&amp;"."&amp;$M$115</f>
        <v>.</v>
      </c>
      <c r="AP115" s="106" t="str">
        <f>$I$115&amp;"."&amp;$M$115&amp;"."&amp;$Q$115</f>
        <v>..</v>
      </c>
      <c r="AQ115" s="106" t="str">
        <f>$I$115&amp;"."&amp;$M$115&amp;"."&amp;$Q$115&amp;"."&amp;$U$115</f>
        <v>...</v>
      </c>
      <c r="AR115" s="184">
        <v>0</v>
      </c>
    </row>
    <row r="116" s="184" customFormat="1" ht="17.25" hidden="1" customHeight="1">
      <c r="A116" s="253"/>
      <c r="C116" s="184"/>
      <c r="D116" s="254"/>
      <c r="E116" s="255"/>
      <c r="F116" s="265"/>
      <c r="G116" s="255"/>
      <c r="H116" s="266"/>
      <c r="I116" s="267"/>
      <c r="J116" s="268"/>
      <c r="K116" s="125"/>
      <c r="L116" s="125"/>
      <c r="M116" s="125"/>
      <c r="N116" s="269"/>
      <c r="O116" s="125"/>
      <c r="P116" s="125"/>
      <c r="Q116" s="125"/>
      <c r="R116" s="270"/>
      <c r="S116" s="125"/>
      <c r="T116" s="271"/>
      <c r="U116" s="271"/>
      <c r="V116" s="271"/>
      <c r="W116" s="272"/>
      <c r="X116" s="106"/>
      <c r="Y116" s="106"/>
      <c r="Z116" s="106"/>
      <c r="AA116" s="106"/>
      <c r="AB116" s="106"/>
      <c r="AC116" s="106"/>
      <c r="AD116" s="106"/>
      <c r="AE116" s="106"/>
      <c r="AF116" s="106"/>
      <c r="AG116" s="106"/>
      <c r="AH116" s="106"/>
      <c r="AI116" s="106"/>
      <c r="AJ116" s="106"/>
      <c r="AK116" s="106"/>
      <c r="AL116" s="106"/>
      <c r="AM116" s="106"/>
      <c r="AN116" s="106"/>
      <c r="AO116" s="106"/>
      <c r="AP116" s="106"/>
      <c r="AQ116" s="106"/>
      <c r="AR116" s="184">
        <v>0</v>
      </c>
    </row>
    <row r="117" s="184" customFormat="1" ht="17.25" hidden="1" customHeight="1">
      <c r="A117" s="253"/>
      <c r="C117" s="184"/>
      <c r="D117" s="274"/>
      <c r="E117" s="275"/>
      <c r="F117" s="265"/>
      <c r="G117" s="275"/>
      <c r="H117" s="266"/>
      <c r="I117" s="267"/>
      <c r="J117" s="273"/>
      <c r="K117" s="125"/>
      <c r="L117" s="125"/>
      <c r="M117" s="125"/>
      <c r="N117" s="270"/>
      <c r="O117" s="125"/>
      <c r="P117" s="125"/>
      <c r="Q117" s="271"/>
      <c r="R117" s="271"/>
      <c r="S117" s="184"/>
      <c r="T117" s="184"/>
      <c r="U117" s="184"/>
      <c r="V117" s="184"/>
      <c r="W117" s="272"/>
      <c r="X117" s="106"/>
      <c r="Y117" s="106"/>
      <c r="Z117" s="106"/>
      <c r="AA117" s="106"/>
      <c r="AB117" s="106"/>
      <c r="AC117" s="106"/>
      <c r="AD117" s="106"/>
      <c r="AE117" s="106"/>
      <c r="AF117" s="106"/>
      <c r="AG117" s="106"/>
      <c r="AH117" s="106"/>
      <c r="AI117" s="106"/>
      <c r="AJ117" s="106"/>
      <c r="AK117" s="106"/>
      <c r="AL117" s="106"/>
      <c r="AM117" s="106"/>
      <c r="AN117" s="106"/>
      <c r="AO117" s="106"/>
      <c r="AP117" s="106"/>
      <c r="AQ117" s="106"/>
      <c r="AR117" s="184">
        <v>0</v>
      </c>
    </row>
    <row r="118" s="184" customFormat="1" ht="17.25" hidden="1" customHeight="1">
      <c r="A118" s="253"/>
      <c r="C118" s="184"/>
      <c r="D118" s="274"/>
      <c r="E118" s="275"/>
      <c r="F118" s="265"/>
      <c r="G118" s="275"/>
      <c r="H118" s="266"/>
      <c r="I118" s="267"/>
      <c r="J118" s="273"/>
      <c r="K118" s="125"/>
      <c r="L118" s="271"/>
      <c r="M118" s="271"/>
      <c r="N118" s="271"/>
      <c r="O118" s="271"/>
      <c r="P118" s="271"/>
      <c r="Q118" s="271"/>
      <c r="R118" s="271"/>
      <c r="S118" s="184"/>
      <c r="T118" s="184"/>
      <c r="U118" s="184"/>
      <c r="V118" s="184"/>
      <c r="W118" s="272"/>
      <c r="X118" s="106"/>
      <c r="Y118" s="106"/>
      <c r="Z118" s="106"/>
      <c r="AA118" s="106"/>
      <c r="AB118" s="106"/>
      <c r="AC118" s="106"/>
      <c r="AD118" s="106"/>
      <c r="AE118" s="106"/>
      <c r="AF118" s="106"/>
      <c r="AG118" s="106"/>
      <c r="AH118" s="106"/>
      <c r="AI118" s="106"/>
      <c r="AJ118" s="106"/>
      <c r="AK118" s="106"/>
      <c r="AL118" s="106"/>
      <c r="AM118" s="106"/>
      <c r="AN118" s="106"/>
      <c r="AO118" s="106"/>
      <c r="AP118" s="106"/>
      <c r="AQ118" s="106"/>
      <c r="AR118" s="184">
        <v>0</v>
      </c>
    </row>
    <row r="119" s="184" customFormat="1" ht="17.25" hidden="1" customHeight="1">
      <c r="A119" s="253"/>
      <c r="C119" s="184"/>
      <c r="D119" s="274"/>
      <c r="E119" s="275"/>
      <c r="F119" s="276"/>
      <c r="G119" s="275"/>
      <c r="H119" s="277"/>
      <c r="I119" s="278"/>
      <c r="J119" s="278"/>
      <c r="K119" s="278"/>
      <c r="L119" s="278"/>
      <c r="M119" s="278"/>
      <c r="N119" s="278"/>
      <c r="O119" s="278"/>
      <c r="P119" s="278"/>
      <c r="Q119" s="278"/>
      <c r="R119" s="278"/>
      <c r="S119" s="279"/>
      <c r="T119" s="279"/>
      <c r="U119" s="279"/>
      <c r="V119" s="279"/>
      <c r="W119" s="280"/>
      <c r="X119" s="106"/>
      <c r="Y119" s="106"/>
      <c r="Z119" s="106"/>
      <c r="AA119" s="106"/>
      <c r="AB119" s="106"/>
      <c r="AC119" s="106"/>
      <c r="AD119" s="106"/>
      <c r="AE119" s="106"/>
      <c r="AF119" s="106"/>
      <c r="AG119" s="106"/>
      <c r="AH119" s="106"/>
      <c r="AI119" s="106"/>
      <c r="AJ119" s="106"/>
      <c r="AK119" s="106"/>
      <c r="AL119" s="106"/>
      <c r="AM119" s="106"/>
      <c r="AN119" s="106"/>
      <c r="AO119" s="106"/>
      <c r="AP119" s="106"/>
      <c r="AQ119" s="106"/>
      <c r="AR119" s="184">
        <v>0</v>
      </c>
    </row>
    <row r="120" s="184" customFormat="1" ht="11.25" hidden="1" customHeight="1">
      <c r="A120" s="129"/>
      <c r="B120" s="129"/>
      <c r="Y120" s="106"/>
      <c r="Z120" s="106"/>
      <c r="AA120" s="106"/>
      <c r="AB120" s="106"/>
      <c r="AC120" s="106"/>
      <c r="AD120" s="106"/>
      <c r="AE120" s="106"/>
      <c r="AF120" s="106"/>
      <c r="AG120" s="106"/>
      <c r="AH120" s="106"/>
      <c r="AI120" s="106"/>
      <c r="AJ120" s="106"/>
      <c r="AK120" s="106"/>
      <c r="AL120" s="106"/>
      <c r="AM120" s="106"/>
      <c r="AN120" s="106"/>
      <c r="AO120" s="106"/>
      <c r="AP120" s="106"/>
      <c r="AQ120" s="106"/>
      <c r="AR120" s="184">
        <v>0</v>
      </c>
    </row>
    <row r="121" s="184" customFormat="1" ht="17.25" hidden="1" customHeight="1">
      <c r="A121" s="253"/>
      <c r="C121" s="128"/>
      <c r="D121" s="254">
        <v>1</v>
      </c>
      <c r="E121" s="255" t="s">
        <v>269</v>
      </c>
      <c r="F121" s="256" t="s">
        <v>19</v>
      </c>
      <c r="G121" s="255"/>
      <c r="H121" s="257"/>
      <c r="I121" s="258"/>
      <c r="J121" s="259"/>
      <c r="K121" s="260"/>
      <c r="L121" s="260"/>
      <c r="M121" s="260"/>
      <c r="N121" s="261"/>
      <c r="O121" s="260"/>
      <c r="P121" s="260"/>
      <c r="Q121" s="260"/>
      <c r="R121" s="262"/>
      <c r="S121" s="260"/>
      <c r="T121" s="260"/>
      <c r="U121" s="260"/>
      <c r="V121" s="262"/>
      <c r="W121" s="263"/>
      <c r="Y121" s="264"/>
      <c r="Z121" s="264"/>
      <c r="AA121" s="264"/>
      <c r="AB121" s="264"/>
      <c r="AC121" s="264" t="s">
        <v>270</v>
      </c>
      <c r="AD121" s="264" t="s">
        <v>271</v>
      </c>
      <c r="AE121" s="264" t="s">
        <v>272</v>
      </c>
      <c r="AF121" s="264" t="s">
        <v>273</v>
      </c>
      <c r="AG121" s="264"/>
      <c r="AH121" s="264" t="str">
        <f>IF($E$121=0,"",$E$121)</f>
        <v xml:space="preserve">Тариф на водоотведение</v>
      </c>
      <c r="AI121" s="264" t="str">
        <f>IF($G$121=0,"",$G$121)</f>
        <v/>
      </c>
      <c r="AJ121" s="264" t="str">
        <f>IF($J$121=0,"",$J$121)</f>
        <v/>
      </c>
      <c r="AK121" s="264" t="str">
        <f>IF($K$121="нет","без дифференциации",IF($N$121=0,"",$N$121))</f>
        <v/>
      </c>
      <c r="AL121" s="264" t="str">
        <f>IF($O$121="нет","без дифференциации",IF($R$121=0,"",$R$121))</f>
        <v/>
      </c>
      <c r="AM121" s="264" t="str">
        <f>IF($S$121="нет","без дифференциации",IF($V$121=0,"",$V$121))</f>
        <v/>
      </c>
      <c r="AN121" s="264">
        <f>$I$121</f>
        <v>0</v>
      </c>
      <c r="AO121" s="264" t="str">
        <f>$I$121&amp;"."&amp;$M$121</f>
        <v>.</v>
      </c>
      <c r="AP121" s="264" t="str">
        <f>$I$121&amp;"."&amp;$M$121&amp;"."&amp;$Q$121</f>
        <v>..</v>
      </c>
      <c r="AQ121" s="264" t="str">
        <f>$I$121&amp;"."&amp;$M$121&amp;"."&amp;$Q$121&amp;"."&amp;$U$121</f>
        <v>...</v>
      </c>
      <c r="AR121" s="184">
        <v>0</v>
      </c>
    </row>
    <row r="122" s="184" customFormat="1" ht="17.25" hidden="1" customHeight="1">
      <c r="A122" s="253"/>
      <c r="C122" s="184"/>
      <c r="D122" s="254"/>
      <c r="E122" s="255"/>
      <c r="F122" s="265"/>
      <c r="G122" s="255"/>
      <c r="H122" s="266"/>
      <c r="I122" s="267"/>
      <c r="J122" s="268"/>
      <c r="K122" s="125"/>
      <c r="L122" s="125"/>
      <c r="M122" s="125"/>
      <c r="N122" s="269"/>
      <c r="O122" s="125"/>
      <c r="P122" s="125"/>
      <c r="Q122" s="125"/>
      <c r="R122" s="270"/>
      <c r="S122" s="125"/>
      <c r="T122" s="271"/>
      <c r="U122" s="271"/>
      <c r="V122" s="271"/>
      <c r="W122" s="272"/>
      <c r="Y122" s="106"/>
      <c r="Z122" s="106"/>
      <c r="AA122" s="106"/>
      <c r="AB122" s="106"/>
      <c r="AC122" s="106"/>
      <c r="AD122" s="106"/>
      <c r="AE122" s="106"/>
      <c r="AF122" s="106"/>
      <c r="AG122" s="106"/>
      <c r="AH122" s="106"/>
      <c r="AI122" s="106"/>
      <c r="AJ122" s="106"/>
      <c r="AK122" s="106"/>
      <c r="AL122" s="106"/>
      <c r="AM122" s="106"/>
      <c r="AN122" s="106"/>
      <c r="AO122" s="106"/>
      <c r="AP122" s="106"/>
      <c r="AQ122" s="106"/>
      <c r="AR122" s="184">
        <v>0</v>
      </c>
    </row>
    <row r="123" s="184" customFormat="1" ht="17.25" hidden="1" customHeight="1">
      <c r="A123" s="253"/>
      <c r="C123" s="128"/>
      <c r="D123" s="254"/>
      <c r="E123" s="255"/>
      <c r="F123" s="265"/>
      <c r="G123" s="255"/>
      <c r="H123" s="266"/>
      <c r="I123" s="267"/>
      <c r="J123" s="273"/>
      <c r="K123" s="125"/>
      <c r="L123" s="125"/>
      <c r="M123" s="125"/>
      <c r="N123" s="270"/>
      <c r="O123" s="125"/>
      <c r="P123" s="125"/>
      <c r="Q123" s="271"/>
      <c r="R123" s="271"/>
      <c r="S123" s="184"/>
      <c r="T123" s="184"/>
      <c r="U123" s="184"/>
      <c r="V123" s="184"/>
      <c r="W123" s="272"/>
      <c r="Y123" s="264"/>
      <c r="Z123" s="264"/>
      <c r="AA123" s="264"/>
      <c r="AB123" s="264"/>
      <c r="AC123" s="264"/>
      <c r="AD123" s="264"/>
      <c r="AE123" s="264"/>
      <c r="AF123" s="264"/>
      <c r="AG123" s="264"/>
      <c r="AH123" s="264"/>
      <c r="AI123" s="264"/>
      <c r="AJ123" s="264"/>
      <c r="AK123" s="264"/>
      <c r="AL123" s="264"/>
      <c r="AM123" s="264"/>
      <c r="AN123" s="264"/>
      <c r="AO123" s="264"/>
      <c r="AP123" s="264"/>
      <c r="AQ123" s="264"/>
      <c r="AR123" s="184">
        <v>0</v>
      </c>
    </row>
    <row r="124" s="184" customFormat="1" ht="17.25" hidden="1" customHeight="1">
      <c r="A124" s="253"/>
      <c r="C124" s="184"/>
      <c r="D124" s="254"/>
      <c r="E124" s="255"/>
      <c r="F124" s="265"/>
      <c r="G124" s="255"/>
      <c r="H124" s="266"/>
      <c r="I124" s="267"/>
      <c r="J124" s="273"/>
      <c r="K124" s="125"/>
      <c r="L124" s="271"/>
      <c r="M124" s="271"/>
      <c r="N124" s="271"/>
      <c r="O124" s="271"/>
      <c r="P124" s="271"/>
      <c r="Q124" s="271"/>
      <c r="R124" s="271"/>
      <c r="S124" s="184"/>
      <c r="T124" s="184"/>
      <c r="U124" s="184"/>
      <c r="V124" s="184"/>
      <c r="W124" s="272"/>
      <c r="Y124" s="106"/>
      <c r="Z124" s="106"/>
      <c r="AA124" s="106"/>
      <c r="AB124" s="106"/>
      <c r="AC124" s="106"/>
      <c r="AD124" s="106"/>
      <c r="AE124" s="106"/>
      <c r="AF124" s="106"/>
      <c r="AG124" s="106"/>
      <c r="AH124" s="106"/>
      <c r="AI124" s="106"/>
      <c r="AJ124" s="106"/>
      <c r="AK124" s="106"/>
      <c r="AL124" s="106"/>
      <c r="AM124" s="106"/>
      <c r="AN124" s="106"/>
      <c r="AO124" s="106"/>
      <c r="AP124" s="106"/>
      <c r="AQ124" s="106"/>
      <c r="AR124" s="184">
        <v>0</v>
      </c>
    </row>
    <row r="125" s="184" customFormat="1" ht="17.25" hidden="1" customHeight="1">
      <c r="A125" s="253"/>
      <c r="C125" s="184"/>
      <c r="D125" s="274"/>
      <c r="E125" s="275"/>
      <c r="F125" s="276"/>
      <c r="G125" s="275"/>
      <c r="H125" s="277"/>
      <c r="I125" s="278"/>
      <c r="J125" s="278"/>
      <c r="K125" s="278"/>
      <c r="L125" s="278"/>
      <c r="M125" s="278"/>
      <c r="N125" s="278"/>
      <c r="O125" s="278"/>
      <c r="P125" s="278"/>
      <c r="Q125" s="278"/>
      <c r="R125" s="278"/>
      <c r="S125" s="279"/>
      <c r="T125" s="279"/>
      <c r="U125" s="279"/>
      <c r="V125" s="279"/>
      <c r="W125" s="280"/>
      <c r="Y125" s="106"/>
      <c r="Z125" s="106"/>
      <c r="AA125" s="106"/>
      <c r="AB125" s="106"/>
      <c r="AC125" s="106"/>
      <c r="AD125" s="106"/>
      <c r="AE125" s="106"/>
      <c r="AF125" s="106"/>
      <c r="AG125" s="106"/>
      <c r="AH125" s="106"/>
      <c r="AI125" s="106"/>
      <c r="AJ125" s="106"/>
      <c r="AK125" s="106"/>
      <c r="AL125" s="106"/>
      <c r="AM125" s="106"/>
      <c r="AN125" s="106"/>
      <c r="AO125" s="106"/>
      <c r="AP125" s="106"/>
      <c r="AQ125" s="106"/>
      <c r="AR125" s="184">
        <v>0</v>
      </c>
    </row>
    <row r="126" s="184" customFormat="1" ht="17.25" hidden="1" customHeight="1">
      <c r="A126" s="253"/>
      <c r="C126" s="128"/>
      <c r="D126" s="254">
        <v>2</v>
      </c>
      <c r="E126" s="255" t="s">
        <v>274</v>
      </c>
      <c r="F126" s="256" t="s">
        <v>19</v>
      </c>
      <c r="G126" s="255"/>
      <c r="H126" s="257"/>
      <c r="I126" s="258"/>
      <c r="J126" s="259"/>
      <c r="K126" s="260"/>
      <c r="L126" s="260"/>
      <c r="M126" s="260"/>
      <c r="N126" s="261"/>
      <c r="O126" s="260"/>
      <c r="P126" s="260"/>
      <c r="Q126" s="260"/>
      <c r="R126" s="262"/>
      <c r="S126" s="260"/>
      <c r="T126" s="260"/>
      <c r="U126" s="260"/>
      <c r="V126" s="262"/>
      <c r="W126" s="263"/>
      <c r="X126" s="264"/>
      <c r="Y126" s="264"/>
      <c r="Z126" s="264"/>
      <c r="AA126" s="264"/>
      <c r="AB126" s="264"/>
      <c r="AC126" s="264" t="s">
        <v>275</v>
      </c>
      <c r="AD126" s="264" t="s">
        <v>276</v>
      </c>
      <c r="AE126" s="264" t="s">
        <v>277</v>
      </c>
      <c r="AF126" s="264" t="s">
        <v>278</v>
      </c>
      <c r="AG126" s="264"/>
      <c r="AH126" s="264" t="str">
        <f>IF($E$126=0,"",$E$126)</f>
        <v xml:space="preserve">Тариф на транспортировку сточных вод</v>
      </c>
      <c r="AI126" s="264" t="str">
        <f>IF($G$126=0,"",$G$126)</f>
        <v/>
      </c>
      <c r="AJ126" s="264" t="str">
        <f>IF($J$126=0,"",$J$126)</f>
        <v/>
      </c>
      <c r="AK126" s="264" t="str">
        <f>IF($K$126="нет","без дифференциации",IF($N$126=0,"",$N$126))</f>
        <v/>
      </c>
      <c r="AL126" s="264" t="str">
        <f>IF($O$126="нет","без дифференциации",IF($R$126=0,"",$R$126))</f>
        <v/>
      </c>
      <c r="AM126" s="264" t="str">
        <f>IF($S$126="нет","без дифференциации",IF($V$126=0,"",$V$126))</f>
        <v/>
      </c>
      <c r="AN126" s="282">
        <f>$I$126</f>
        <v>0</v>
      </c>
      <c r="AO126" s="264" t="str">
        <f>$I$126&amp;"."&amp;$M$126</f>
        <v>.</v>
      </c>
      <c r="AP126" s="106" t="str">
        <f>$I$126&amp;"."&amp;$M$126&amp;"."&amp;$Q$126</f>
        <v>..</v>
      </c>
      <c r="AQ126" s="106" t="str">
        <f>$I$126&amp;"."&amp;$M$126&amp;"."&amp;$Q$126&amp;"."&amp;$U$126</f>
        <v>...</v>
      </c>
      <c r="AR126" s="184">
        <v>0</v>
      </c>
    </row>
    <row r="127" s="184" customFormat="1" ht="17.25" hidden="1" customHeight="1">
      <c r="A127" s="253"/>
      <c r="C127" s="184"/>
      <c r="D127" s="254"/>
      <c r="E127" s="255"/>
      <c r="F127" s="265"/>
      <c r="G127" s="255"/>
      <c r="H127" s="266"/>
      <c r="I127" s="267"/>
      <c r="J127" s="268"/>
      <c r="K127" s="125"/>
      <c r="L127" s="125"/>
      <c r="M127" s="125"/>
      <c r="N127" s="269"/>
      <c r="O127" s="125"/>
      <c r="P127" s="125"/>
      <c r="Q127" s="125"/>
      <c r="R127" s="270"/>
      <c r="S127" s="125"/>
      <c r="T127" s="271"/>
      <c r="U127" s="271"/>
      <c r="V127" s="271"/>
      <c r="W127" s="272"/>
      <c r="X127" s="106"/>
      <c r="Y127" s="106"/>
      <c r="Z127" s="106"/>
      <c r="AA127" s="106"/>
      <c r="AB127" s="106"/>
      <c r="AC127" s="106"/>
      <c r="AD127" s="106"/>
      <c r="AE127" s="106"/>
      <c r="AF127" s="106"/>
      <c r="AG127" s="106"/>
      <c r="AH127" s="106"/>
      <c r="AI127" s="106"/>
      <c r="AJ127" s="106"/>
      <c r="AK127" s="106"/>
      <c r="AL127" s="106"/>
      <c r="AM127" s="106"/>
      <c r="AN127" s="106"/>
      <c r="AO127" s="106"/>
      <c r="AP127" s="106"/>
      <c r="AQ127" s="106"/>
      <c r="AR127" s="184">
        <v>0</v>
      </c>
    </row>
    <row r="128" s="184" customFormat="1" ht="17.25" hidden="1" customHeight="1">
      <c r="A128" s="253"/>
      <c r="C128" s="184"/>
      <c r="D128" s="274"/>
      <c r="E128" s="275"/>
      <c r="F128" s="265"/>
      <c r="G128" s="275"/>
      <c r="H128" s="266"/>
      <c r="I128" s="267"/>
      <c r="J128" s="273"/>
      <c r="K128" s="125"/>
      <c r="L128" s="125"/>
      <c r="M128" s="125"/>
      <c r="N128" s="270"/>
      <c r="O128" s="125"/>
      <c r="P128" s="125"/>
      <c r="Q128" s="271"/>
      <c r="R128" s="271"/>
      <c r="S128" s="184"/>
      <c r="T128" s="184"/>
      <c r="U128" s="184"/>
      <c r="V128" s="184"/>
      <c r="W128" s="272"/>
      <c r="X128" s="106"/>
      <c r="Y128" s="106"/>
      <c r="Z128" s="106"/>
      <c r="AA128" s="106"/>
      <c r="AB128" s="106"/>
      <c r="AC128" s="106"/>
      <c r="AD128" s="106"/>
      <c r="AE128" s="106"/>
      <c r="AF128" s="106"/>
      <c r="AG128" s="106"/>
      <c r="AH128" s="106"/>
      <c r="AI128" s="106"/>
      <c r="AJ128" s="106"/>
      <c r="AK128" s="106"/>
      <c r="AL128" s="106"/>
      <c r="AM128" s="106"/>
      <c r="AN128" s="106"/>
      <c r="AO128" s="106"/>
      <c r="AP128" s="106"/>
      <c r="AQ128" s="106"/>
      <c r="AR128" s="184">
        <v>0</v>
      </c>
    </row>
    <row r="129" s="184" customFormat="1" ht="17.25" hidden="1" customHeight="1">
      <c r="A129" s="253"/>
      <c r="C129" s="184"/>
      <c r="D129" s="274"/>
      <c r="E129" s="275"/>
      <c r="F129" s="265"/>
      <c r="G129" s="275"/>
      <c r="H129" s="266"/>
      <c r="I129" s="267"/>
      <c r="J129" s="273"/>
      <c r="K129" s="125"/>
      <c r="L129" s="271"/>
      <c r="M129" s="271"/>
      <c r="N129" s="271"/>
      <c r="O129" s="271"/>
      <c r="P129" s="271"/>
      <c r="Q129" s="271"/>
      <c r="R129" s="271"/>
      <c r="S129" s="184"/>
      <c r="T129" s="184"/>
      <c r="U129" s="184"/>
      <c r="V129" s="184"/>
      <c r="W129" s="272"/>
      <c r="X129" s="106"/>
      <c r="Y129" s="106"/>
      <c r="Z129" s="106"/>
      <c r="AA129" s="106"/>
      <c r="AB129" s="106"/>
      <c r="AC129" s="106"/>
      <c r="AD129" s="106"/>
      <c r="AE129" s="106"/>
      <c r="AF129" s="106"/>
      <c r="AG129" s="106"/>
      <c r="AH129" s="106"/>
      <c r="AI129" s="106"/>
      <c r="AJ129" s="106"/>
      <c r="AK129" s="106"/>
      <c r="AL129" s="106"/>
      <c r="AM129" s="106"/>
      <c r="AN129" s="106"/>
      <c r="AO129" s="106"/>
      <c r="AP129" s="106"/>
      <c r="AQ129" s="106"/>
      <c r="AR129" s="184">
        <v>0</v>
      </c>
    </row>
    <row r="130" s="184" customFormat="1" ht="17.25" hidden="1" customHeight="1">
      <c r="A130" s="253"/>
      <c r="C130" s="184"/>
      <c r="D130" s="274"/>
      <c r="E130" s="275"/>
      <c r="F130" s="276"/>
      <c r="G130" s="275"/>
      <c r="H130" s="277"/>
      <c r="I130" s="278"/>
      <c r="J130" s="278"/>
      <c r="K130" s="278"/>
      <c r="L130" s="278"/>
      <c r="M130" s="278"/>
      <c r="N130" s="278"/>
      <c r="O130" s="278"/>
      <c r="P130" s="278"/>
      <c r="Q130" s="278"/>
      <c r="R130" s="278"/>
      <c r="S130" s="279"/>
      <c r="T130" s="279"/>
      <c r="U130" s="279"/>
      <c r="V130" s="279"/>
      <c r="W130" s="280"/>
      <c r="X130" s="106"/>
      <c r="Y130" s="106"/>
      <c r="Z130" s="106"/>
      <c r="AA130" s="106"/>
      <c r="AB130" s="106"/>
      <c r="AC130" s="106"/>
      <c r="AD130" s="106"/>
      <c r="AE130" s="106"/>
      <c r="AF130" s="106"/>
      <c r="AG130" s="106"/>
      <c r="AH130" s="106"/>
      <c r="AI130" s="106"/>
      <c r="AJ130" s="106"/>
      <c r="AK130" s="106"/>
      <c r="AL130" s="106"/>
      <c r="AM130" s="106"/>
      <c r="AN130" s="106"/>
      <c r="AO130" s="106"/>
      <c r="AP130" s="106"/>
      <c r="AQ130" s="106"/>
      <c r="AR130" s="184">
        <v>0</v>
      </c>
    </row>
    <row r="131" s="184" customFormat="1" ht="17.25" hidden="1" customHeight="1">
      <c r="A131" s="253"/>
      <c r="C131" s="128"/>
      <c r="D131" s="254">
        <v>3</v>
      </c>
      <c r="E131" s="255" t="s">
        <v>279</v>
      </c>
      <c r="F131" s="256" t="s">
        <v>19</v>
      </c>
      <c r="G131" s="255"/>
      <c r="H131" s="257"/>
      <c r="I131" s="258"/>
      <c r="J131" s="259"/>
      <c r="K131" s="260"/>
      <c r="L131" s="260"/>
      <c r="M131" s="260"/>
      <c r="N131" s="261"/>
      <c r="O131" s="260"/>
      <c r="P131" s="260"/>
      <c r="Q131" s="260"/>
      <c r="R131" s="262"/>
      <c r="S131" s="260"/>
      <c r="T131" s="260"/>
      <c r="U131" s="260"/>
      <c r="V131" s="262"/>
      <c r="W131" s="263"/>
      <c r="X131" s="264"/>
      <c r="Y131" s="264"/>
      <c r="Z131" s="264"/>
      <c r="AA131" s="264"/>
      <c r="AB131" s="264"/>
      <c r="AC131" s="264" t="s">
        <v>280</v>
      </c>
      <c r="AD131" s="264" t="s">
        <v>281</v>
      </c>
      <c r="AE131" s="264" t="s">
        <v>282</v>
      </c>
      <c r="AF131" s="264" t="s">
        <v>283</v>
      </c>
      <c r="AG131" s="264"/>
      <c r="AH131" s="264" t="str">
        <f>IF($E$131=0,"",$E$131)</f>
        <v xml:space="preserve">Тариф на подключение (технологическое присоединение) к централизованной системе водоотведения</v>
      </c>
      <c r="AI131" s="264" t="str">
        <f>IF($G$131=0,"",$G$131)</f>
        <v/>
      </c>
      <c r="AJ131" s="264" t="str">
        <f>IF($J$131=0,"",$J$131)</f>
        <v/>
      </c>
      <c r="AK131" s="264" t="str">
        <f>IF($K$131="нет","без дифференциации",IF($N$131=0,"",$N$131))</f>
        <v/>
      </c>
      <c r="AL131" s="264" t="str">
        <f>IF($O$131="нет","без дифференциации",IF($R$131=0,"",$R$131))</f>
        <v/>
      </c>
      <c r="AM131" s="264" t="str">
        <f>IF($S$131="нет","без дифференциации",IF($V$131=0,"",$V$131))</f>
        <v/>
      </c>
      <c r="AN131" s="282">
        <f>$I$131</f>
        <v>0</v>
      </c>
      <c r="AO131" s="264" t="str">
        <f>$I$131&amp;"."&amp;$M$131</f>
        <v>.</v>
      </c>
      <c r="AP131" s="106" t="str">
        <f>$I$131&amp;"."&amp;$M$131&amp;"."&amp;$Q$131</f>
        <v>..</v>
      </c>
      <c r="AQ131" s="106" t="str">
        <f>$I$131&amp;"."&amp;$M$131&amp;"."&amp;$Q$131&amp;"."&amp;$U$131</f>
        <v>...</v>
      </c>
      <c r="AR131" s="184">
        <v>0</v>
      </c>
    </row>
    <row r="132" s="184" customFormat="1" ht="17.25" hidden="1" customHeight="1">
      <c r="A132" s="253"/>
      <c r="C132" s="184"/>
      <c r="D132" s="254"/>
      <c r="E132" s="255"/>
      <c r="F132" s="265"/>
      <c r="G132" s="255"/>
      <c r="H132" s="266"/>
      <c r="I132" s="267"/>
      <c r="J132" s="268"/>
      <c r="K132" s="125"/>
      <c r="L132" s="125"/>
      <c r="M132" s="125"/>
      <c r="N132" s="269"/>
      <c r="O132" s="125"/>
      <c r="P132" s="125"/>
      <c r="Q132" s="125"/>
      <c r="R132" s="270"/>
      <c r="S132" s="125"/>
      <c r="T132" s="271"/>
      <c r="U132" s="271"/>
      <c r="V132" s="271"/>
      <c r="W132" s="272"/>
      <c r="X132" s="106"/>
      <c r="Y132" s="106"/>
      <c r="Z132" s="106"/>
      <c r="AA132" s="106"/>
      <c r="AB132" s="106"/>
      <c r="AC132" s="106"/>
      <c r="AD132" s="106"/>
      <c r="AE132" s="106"/>
      <c r="AF132" s="106"/>
      <c r="AG132" s="106"/>
      <c r="AH132" s="106"/>
      <c r="AI132" s="106"/>
      <c r="AJ132" s="106"/>
      <c r="AK132" s="106"/>
      <c r="AL132" s="106"/>
      <c r="AM132" s="106"/>
      <c r="AN132" s="106"/>
      <c r="AO132" s="106"/>
      <c r="AP132" s="106"/>
      <c r="AQ132" s="106"/>
      <c r="AR132" s="184">
        <v>0</v>
      </c>
    </row>
    <row r="133" s="184" customFormat="1" ht="17.25" hidden="1" customHeight="1">
      <c r="A133" s="253"/>
      <c r="C133" s="184"/>
      <c r="D133" s="274"/>
      <c r="E133" s="275"/>
      <c r="F133" s="265"/>
      <c r="G133" s="275"/>
      <c r="H133" s="266"/>
      <c r="I133" s="267"/>
      <c r="J133" s="273"/>
      <c r="K133" s="125"/>
      <c r="L133" s="125"/>
      <c r="M133" s="125"/>
      <c r="N133" s="270"/>
      <c r="O133" s="125"/>
      <c r="P133" s="125"/>
      <c r="Q133" s="271"/>
      <c r="R133" s="271"/>
      <c r="S133" s="184"/>
      <c r="T133" s="184"/>
      <c r="U133" s="184"/>
      <c r="V133" s="184"/>
      <c r="W133" s="272"/>
      <c r="X133" s="106"/>
      <c r="Y133" s="106"/>
      <c r="Z133" s="106"/>
      <c r="AA133" s="106"/>
      <c r="AB133" s="106"/>
      <c r="AC133" s="106"/>
      <c r="AD133" s="106"/>
      <c r="AE133" s="106"/>
      <c r="AF133" s="106"/>
      <c r="AG133" s="106"/>
      <c r="AH133" s="106"/>
      <c r="AI133" s="106"/>
      <c r="AJ133" s="106"/>
      <c r="AK133" s="106"/>
      <c r="AL133" s="106"/>
      <c r="AM133" s="106"/>
      <c r="AN133" s="106"/>
      <c r="AO133" s="106"/>
      <c r="AP133" s="106"/>
      <c r="AQ133" s="106"/>
      <c r="AR133" s="184">
        <v>0</v>
      </c>
    </row>
    <row r="134" s="184" customFormat="1" ht="17.25" hidden="1" customHeight="1">
      <c r="A134" s="253"/>
      <c r="C134" s="184"/>
      <c r="D134" s="274"/>
      <c r="E134" s="275"/>
      <c r="F134" s="265"/>
      <c r="G134" s="275"/>
      <c r="H134" s="266"/>
      <c r="I134" s="267"/>
      <c r="J134" s="273"/>
      <c r="K134" s="125"/>
      <c r="L134" s="271"/>
      <c r="M134" s="271"/>
      <c r="N134" s="271"/>
      <c r="O134" s="271"/>
      <c r="P134" s="271"/>
      <c r="Q134" s="271"/>
      <c r="R134" s="271"/>
      <c r="S134" s="184"/>
      <c r="T134" s="184"/>
      <c r="U134" s="184"/>
      <c r="V134" s="184"/>
      <c r="W134" s="272"/>
      <c r="X134" s="106"/>
      <c r="Y134" s="106"/>
      <c r="Z134" s="106"/>
      <c r="AA134" s="106"/>
      <c r="AB134" s="106"/>
      <c r="AC134" s="106"/>
      <c r="AD134" s="106"/>
      <c r="AE134" s="106"/>
      <c r="AF134" s="106"/>
      <c r="AG134" s="106"/>
      <c r="AH134" s="106"/>
      <c r="AI134" s="106"/>
      <c r="AJ134" s="106"/>
      <c r="AK134" s="106"/>
      <c r="AL134" s="106"/>
      <c r="AM134" s="106"/>
      <c r="AN134" s="106"/>
      <c r="AO134" s="106"/>
      <c r="AP134" s="106"/>
      <c r="AQ134" s="106"/>
      <c r="AR134" s="184">
        <v>0</v>
      </c>
    </row>
    <row r="135" s="184" customFormat="1" ht="17.25" hidden="1" customHeight="1">
      <c r="A135" s="253"/>
      <c r="C135" s="184"/>
      <c r="D135" s="274"/>
      <c r="E135" s="275"/>
      <c r="F135" s="276"/>
      <c r="G135" s="275"/>
      <c r="H135" s="277"/>
      <c r="I135" s="278"/>
      <c r="J135" s="278"/>
      <c r="K135" s="278"/>
      <c r="L135" s="278"/>
      <c r="M135" s="278"/>
      <c r="N135" s="278"/>
      <c r="O135" s="278"/>
      <c r="P135" s="278"/>
      <c r="Q135" s="278"/>
      <c r="R135" s="278"/>
      <c r="S135" s="279"/>
      <c r="T135" s="279"/>
      <c r="U135" s="279"/>
      <c r="V135" s="279"/>
      <c r="W135" s="280"/>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84">
        <v>0</v>
      </c>
    </row>
    <row r="136" ht="11.5" customHeight="1">
      <c r="AR136" s="184">
        <v>11</v>
      </c>
    </row>
    <row r="137" ht="11.5" customHeight="1">
      <c r="AR137" s="184">
        <v>11</v>
      </c>
    </row>
    <row r="138" ht="11.5" customHeight="1">
      <c r="AR138" s="184">
        <v>11</v>
      </c>
    </row>
    <row r="139" ht="11.5" customHeight="1">
      <c r="E139" s="184"/>
      <c r="AR139" s="184">
        <v>11</v>
      </c>
    </row>
    <row r="140" ht="11.5" customHeight="1">
      <c r="E140" s="184"/>
      <c r="AR140" s="184">
        <v>11</v>
      </c>
    </row>
    <row r="141" ht="11.5" customHeight="1">
      <c r="E141" s="184"/>
      <c r="AR141" s="184">
        <v>11</v>
      </c>
    </row>
    <row r="142" ht="11.5" customHeight="1">
      <c r="E142" s="184"/>
      <c r="AR142" s="184">
        <v>11</v>
      </c>
    </row>
    <row r="143" ht="11.5" customHeight="1">
      <c r="E143" s="184"/>
      <c r="AR143" s="184">
        <v>11</v>
      </c>
    </row>
    <row r="144" ht="11.5" customHeight="1">
      <c r="E144" s="184"/>
      <c r="AR144" s="184">
        <v>11</v>
      </c>
    </row>
    <row r="145" ht="11.5" customHeight="1">
      <c r="E145" s="184"/>
      <c r="AR145" s="184">
        <v>11</v>
      </c>
    </row>
    <row r="146" ht="11.25" hidden="1" customHeight="1">
      <c r="A146" s="129" t="s">
        <v>83</v>
      </c>
      <c r="B146" s="129">
        <v>0</v>
      </c>
      <c r="C146" s="184">
        <v>3</v>
      </c>
      <c r="D146" s="184">
        <v>6</v>
      </c>
      <c r="E146" s="184">
        <v>42</v>
      </c>
      <c r="F146" s="184">
        <v>14</v>
      </c>
      <c r="G146" s="184">
        <v>42</v>
      </c>
      <c r="H146" s="184">
        <v>3</v>
      </c>
      <c r="I146" s="184">
        <v>5</v>
      </c>
      <c r="J146" s="184">
        <v>47</v>
      </c>
      <c r="K146" s="184">
        <v>3</v>
      </c>
      <c r="L146" s="184">
        <v>3</v>
      </c>
      <c r="M146" s="184">
        <v>5</v>
      </c>
      <c r="N146" s="184">
        <v>28</v>
      </c>
      <c r="O146" s="184">
        <v>3</v>
      </c>
      <c r="P146" s="184">
        <v>3</v>
      </c>
      <c r="Q146" s="184">
        <v>5</v>
      </c>
      <c r="R146" s="184">
        <v>34</v>
      </c>
      <c r="S146" s="184">
        <v>0</v>
      </c>
      <c r="T146" s="184">
        <v>0</v>
      </c>
      <c r="U146" s="184">
        <v>0</v>
      </c>
      <c r="V146" s="184">
        <v>0</v>
      </c>
      <c r="W146" s="184">
        <v>30</v>
      </c>
      <c r="X146" s="184">
        <v>3</v>
      </c>
      <c r="Y146" s="106">
        <v>0</v>
      </c>
      <c r="Z146" s="106">
        <v>0</v>
      </c>
      <c r="AA146" s="106">
        <v>0</v>
      </c>
      <c r="AB146" s="106">
        <v>0</v>
      </c>
      <c r="AC146" s="106">
        <v>0</v>
      </c>
      <c r="AD146" s="106">
        <v>0</v>
      </c>
      <c r="AE146" s="106">
        <v>0</v>
      </c>
      <c r="AF146" s="106">
        <v>0</v>
      </c>
      <c r="AG146" s="106">
        <v>0</v>
      </c>
      <c r="AH146" s="106">
        <v>0</v>
      </c>
      <c r="AI146" s="106">
        <v>0</v>
      </c>
      <c r="AJ146" s="106">
        <v>0</v>
      </c>
      <c r="AK146" s="106">
        <v>0</v>
      </c>
      <c r="AL146" s="106">
        <v>0</v>
      </c>
      <c r="AM146" s="106">
        <v>0</v>
      </c>
      <c r="AN146" s="106">
        <v>0</v>
      </c>
      <c r="AO146" s="106">
        <v>0</v>
      </c>
      <c r="AP146" s="106">
        <v>0</v>
      </c>
      <c r="AQ146" s="106">
        <v>0</v>
      </c>
      <c r="AR146" s="184">
        <v>11</v>
      </c>
    </row>
  </sheetData>
  <sheetProtection autoFilter="0" deleteColumns="1" deleteRows="1" formatCells="1" formatColumns="0" formatRows="0" insertColumns="1" insertHyperlinks="1" insertRows="1" objects="0" pivotTables="1" scenarios="0" selectLockedCells="0" selectUnlockedCells="0" sheet="1" sort="1"/>
  <mergeCells count="379">
    <mergeCell ref="D5:J5"/>
    <mergeCell ref="D6:J6"/>
    <mergeCell ref="D7:J7"/>
    <mergeCell ref="D9:D10"/>
    <mergeCell ref="E9:F9"/>
    <mergeCell ref="G9:G10"/>
    <mergeCell ref="H9:I10"/>
    <mergeCell ref="J9:J10"/>
    <mergeCell ref="K9:N9"/>
    <mergeCell ref="O9:R9"/>
    <mergeCell ref="S9:V9"/>
    <mergeCell ref="W9:W10"/>
    <mergeCell ref="L10:M10"/>
    <mergeCell ref="P10:Q10"/>
    <mergeCell ref="T10:U10"/>
    <mergeCell ref="H11:I11"/>
    <mergeCell ref="L11:M11"/>
    <mergeCell ref="P11:Q11"/>
    <mergeCell ref="T11:U11"/>
    <mergeCell ref="D13:D17"/>
    <mergeCell ref="E13:E17"/>
    <mergeCell ref="F13:F17"/>
    <mergeCell ref="G13:G17"/>
    <mergeCell ref="H13:H16"/>
    <mergeCell ref="I13:I16"/>
    <mergeCell ref="J13:J16"/>
    <mergeCell ref="K13:K16"/>
    <mergeCell ref="L13:L15"/>
    <mergeCell ref="M13:M15"/>
    <mergeCell ref="N13:N15"/>
    <mergeCell ref="O13:O15"/>
    <mergeCell ref="P13:P14"/>
    <mergeCell ref="Q13:Q14"/>
    <mergeCell ref="R13:R14"/>
    <mergeCell ref="S13:S14"/>
    <mergeCell ref="D18:D22"/>
    <mergeCell ref="E18:E22"/>
    <mergeCell ref="F18:F22"/>
    <mergeCell ref="G18:G22"/>
    <mergeCell ref="H18:H21"/>
    <mergeCell ref="I18:I21"/>
    <mergeCell ref="J18:J21"/>
    <mergeCell ref="K18:K21"/>
    <mergeCell ref="L18:L20"/>
    <mergeCell ref="M18:M20"/>
    <mergeCell ref="N18:N20"/>
    <mergeCell ref="O18:O20"/>
    <mergeCell ref="P18:P19"/>
    <mergeCell ref="Q18:Q19"/>
    <mergeCell ref="R18:R19"/>
    <mergeCell ref="S18:S19"/>
    <mergeCell ref="D23:D27"/>
    <mergeCell ref="E23:E27"/>
    <mergeCell ref="F23:F27"/>
    <mergeCell ref="G23:G27"/>
    <mergeCell ref="H23:H26"/>
    <mergeCell ref="I23:I26"/>
    <mergeCell ref="J23:J26"/>
    <mergeCell ref="K23:K26"/>
    <mergeCell ref="L23:L25"/>
    <mergeCell ref="M23:M25"/>
    <mergeCell ref="N23:N25"/>
    <mergeCell ref="O23:O25"/>
    <mergeCell ref="P23:P24"/>
    <mergeCell ref="Q23:Q24"/>
    <mergeCell ref="R23:R24"/>
    <mergeCell ref="S23:S24"/>
    <mergeCell ref="D28:D32"/>
    <mergeCell ref="E28:E32"/>
    <mergeCell ref="F28:F32"/>
    <mergeCell ref="G28:G32"/>
    <mergeCell ref="H28:H31"/>
    <mergeCell ref="I28:I31"/>
    <mergeCell ref="J28:J31"/>
    <mergeCell ref="K28:K31"/>
    <mergeCell ref="L28:L30"/>
    <mergeCell ref="M28:M30"/>
    <mergeCell ref="N28:N30"/>
    <mergeCell ref="O28:O30"/>
    <mergeCell ref="P28:P29"/>
    <mergeCell ref="Q28:Q29"/>
    <mergeCell ref="R28:R29"/>
    <mergeCell ref="S28:S29"/>
    <mergeCell ref="D33:D37"/>
    <mergeCell ref="E33:E37"/>
    <mergeCell ref="F33:F37"/>
    <mergeCell ref="G33:G37"/>
    <mergeCell ref="H33:H36"/>
    <mergeCell ref="I33:I36"/>
    <mergeCell ref="J33:J36"/>
    <mergeCell ref="K33:K36"/>
    <mergeCell ref="L33:L35"/>
    <mergeCell ref="M33:M35"/>
    <mergeCell ref="N33:N35"/>
    <mergeCell ref="O33:O35"/>
    <mergeCell ref="P33:P34"/>
    <mergeCell ref="Q33:Q34"/>
    <mergeCell ref="R33:R34"/>
    <mergeCell ref="S33:S34"/>
    <mergeCell ref="D38:D42"/>
    <mergeCell ref="E38:E42"/>
    <mergeCell ref="F38:F42"/>
    <mergeCell ref="G38:G42"/>
    <mergeCell ref="H38:H41"/>
    <mergeCell ref="I38:I41"/>
    <mergeCell ref="J38:J41"/>
    <mergeCell ref="K38:K41"/>
    <mergeCell ref="L38:L40"/>
    <mergeCell ref="M38:M40"/>
    <mergeCell ref="N38:N40"/>
    <mergeCell ref="O38:O40"/>
    <mergeCell ref="P38:P39"/>
    <mergeCell ref="Q38:Q39"/>
    <mergeCell ref="R38:R39"/>
    <mergeCell ref="S38:S39"/>
    <mergeCell ref="D43:D47"/>
    <mergeCell ref="E43:E47"/>
    <mergeCell ref="F43:F47"/>
    <mergeCell ref="G43:G47"/>
    <mergeCell ref="H43:H46"/>
    <mergeCell ref="I43:I46"/>
    <mergeCell ref="J43:J46"/>
    <mergeCell ref="K43:K46"/>
    <mergeCell ref="L43:L45"/>
    <mergeCell ref="M43:M45"/>
    <mergeCell ref="N43:N45"/>
    <mergeCell ref="O43:O45"/>
    <mergeCell ref="P43:P44"/>
    <mergeCell ref="Q43:Q44"/>
    <mergeCell ref="R43:R44"/>
    <mergeCell ref="S43:S44"/>
    <mergeCell ref="D48:D52"/>
    <mergeCell ref="E48:E52"/>
    <mergeCell ref="F48:F52"/>
    <mergeCell ref="G48:G52"/>
    <mergeCell ref="H48:H51"/>
    <mergeCell ref="I48:I51"/>
    <mergeCell ref="J48:J51"/>
    <mergeCell ref="K48:K51"/>
    <mergeCell ref="L48:L50"/>
    <mergeCell ref="M48:M50"/>
    <mergeCell ref="N48:N50"/>
    <mergeCell ref="O48:O50"/>
    <mergeCell ref="P48:P49"/>
    <mergeCell ref="Q48:Q49"/>
    <mergeCell ref="R48:R49"/>
    <mergeCell ref="S48:S49"/>
    <mergeCell ref="D53:D57"/>
    <mergeCell ref="E53:E57"/>
    <mergeCell ref="F53:F57"/>
    <mergeCell ref="G53:G57"/>
    <mergeCell ref="H53:H56"/>
    <mergeCell ref="I53:I56"/>
    <mergeCell ref="J53:J56"/>
    <mergeCell ref="K53:K56"/>
    <mergeCell ref="L53:L55"/>
    <mergeCell ref="M53:M55"/>
    <mergeCell ref="N53:N55"/>
    <mergeCell ref="O53:O55"/>
    <mergeCell ref="P53:P54"/>
    <mergeCell ref="Q53:Q54"/>
    <mergeCell ref="R53:R54"/>
    <mergeCell ref="S53:S54"/>
    <mergeCell ref="D58:D62"/>
    <mergeCell ref="E58:E62"/>
    <mergeCell ref="F58:F62"/>
    <mergeCell ref="G58:G62"/>
    <mergeCell ref="H58:H61"/>
    <mergeCell ref="I58:I61"/>
    <mergeCell ref="J58:J61"/>
    <mergeCell ref="K58:K61"/>
    <mergeCell ref="L58:L60"/>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69:W69"/>
    <mergeCell ref="E70:W70"/>
    <mergeCell ref="E71:W71"/>
    <mergeCell ref="E72:W72"/>
    <mergeCell ref="E73:W73"/>
    <mergeCell ref="E75:W75"/>
    <mergeCell ref="E76:W76"/>
    <mergeCell ref="E77:W77"/>
    <mergeCell ref="D79:D83"/>
    <mergeCell ref="E79:E83"/>
    <mergeCell ref="F79:F83"/>
    <mergeCell ref="G79:G83"/>
    <mergeCell ref="H79:H82"/>
    <mergeCell ref="I79:I82"/>
    <mergeCell ref="J79:J82"/>
    <mergeCell ref="K79:K82"/>
    <mergeCell ref="L79:L81"/>
    <mergeCell ref="M79:M81"/>
    <mergeCell ref="N79:N81"/>
    <mergeCell ref="O79:O81"/>
    <mergeCell ref="P79:P80"/>
    <mergeCell ref="Q79:Q80"/>
    <mergeCell ref="R79:R80"/>
    <mergeCell ref="S79:S80"/>
    <mergeCell ref="D84:D88"/>
    <mergeCell ref="E84:E88"/>
    <mergeCell ref="F84:F88"/>
    <mergeCell ref="G84:G88"/>
    <mergeCell ref="H84:H87"/>
    <mergeCell ref="I84:I87"/>
    <mergeCell ref="J84:J87"/>
    <mergeCell ref="K84:K87"/>
    <mergeCell ref="L84:L86"/>
    <mergeCell ref="M84:M86"/>
    <mergeCell ref="N84:N86"/>
    <mergeCell ref="O84:O86"/>
    <mergeCell ref="P84:P85"/>
    <mergeCell ref="Q84:Q85"/>
    <mergeCell ref="R84:R85"/>
    <mergeCell ref="S84:S85"/>
    <mergeCell ref="D89:D93"/>
    <mergeCell ref="E89:E93"/>
    <mergeCell ref="F89:F93"/>
    <mergeCell ref="G89:G93"/>
    <mergeCell ref="H89:H92"/>
    <mergeCell ref="I89:I92"/>
    <mergeCell ref="J89:J92"/>
    <mergeCell ref="K89:K92"/>
    <mergeCell ref="L89:L91"/>
    <mergeCell ref="M89:M91"/>
    <mergeCell ref="N89:N91"/>
    <mergeCell ref="O89:O91"/>
    <mergeCell ref="P89:P90"/>
    <mergeCell ref="Q89:Q90"/>
    <mergeCell ref="R89:R90"/>
    <mergeCell ref="S89:S90"/>
    <mergeCell ref="D94:D98"/>
    <mergeCell ref="E94:E98"/>
    <mergeCell ref="F94:F98"/>
    <mergeCell ref="G94:G98"/>
    <mergeCell ref="H94:H97"/>
    <mergeCell ref="I94:I97"/>
    <mergeCell ref="J94:J97"/>
    <mergeCell ref="K94:K97"/>
    <mergeCell ref="L94:L96"/>
    <mergeCell ref="M94:M96"/>
    <mergeCell ref="N94:N96"/>
    <mergeCell ref="O94:O96"/>
    <mergeCell ref="P94:P95"/>
    <mergeCell ref="Q94:Q95"/>
    <mergeCell ref="R94:R95"/>
    <mergeCell ref="S94:S95"/>
    <mergeCell ref="D99:D103"/>
    <mergeCell ref="E99:E103"/>
    <mergeCell ref="F99:F103"/>
    <mergeCell ref="G99:G103"/>
    <mergeCell ref="H99:H102"/>
    <mergeCell ref="I99:I102"/>
    <mergeCell ref="J99:J102"/>
    <mergeCell ref="K99:K102"/>
    <mergeCell ref="L99:L101"/>
    <mergeCell ref="M99:M101"/>
    <mergeCell ref="N99:N101"/>
    <mergeCell ref="O99:O101"/>
    <mergeCell ref="P99:P100"/>
    <mergeCell ref="Q99:Q100"/>
    <mergeCell ref="R99:R100"/>
    <mergeCell ref="S99:S100"/>
    <mergeCell ref="D105:D109"/>
    <mergeCell ref="E105:E109"/>
    <mergeCell ref="F105:F109"/>
    <mergeCell ref="G105:G109"/>
    <mergeCell ref="H105:H108"/>
    <mergeCell ref="I105:I108"/>
    <mergeCell ref="J105:J108"/>
    <mergeCell ref="K105:K108"/>
    <mergeCell ref="L105:L107"/>
    <mergeCell ref="M105:M107"/>
    <mergeCell ref="N105:N107"/>
    <mergeCell ref="O105:O107"/>
    <mergeCell ref="P105:P106"/>
    <mergeCell ref="Q105:Q106"/>
    <mergeCell ref="R105:R106"/>
    <mergeCell ref="S105:S106"/>
    <mergeCell ref="D110:D114"/>
    <mergeCell ref="E110:E114"/>
    <mergeCell ref="F110:F114"/>
    <mergeCell ref="G110:G114"/>
    <mergeCell ref="H110:H113"/>
    <mergeCell ref="I110:I113"/>
    <mergeCell ref="J110:J113"/>
    <mergeCell ref="K110:K113"/>
    <mergeCell ref="L110:L112"/>
    <mergeCell ref="M110:M112"/>
    <mergeCell ref="N110:N112"/>
    <mergeCell ref="O110:O112"/>
    <mergeCell ref="P110:P111"/>
    <mergeCell ref="Q110:Q111"/>
    <mergeCell ref="R110:R111"/>
    <mergeCell ref="S110:S111"/>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121:D125"/>
    <mergeCell ref="E121:E125"/>
    <mergeCell ref="F121:F125"/>
    <mergeCell ref="G121:G125"/>
    <mergeCell ref="H121:H124"/>
    <mergeCell ref="I121:I124"/>
    <mergeCell ref="J121:J124"/>
    <mergeCell ref="K121:K124"/>
    <mergeCell ref="L121:L123"/>
    <mergeCell ref="M121:M123"/>
    <mergeCell ref="N121:N123"/>
    <mergeCell ref="O121:O123"/>
    <mergeCell ref="P121:P122"/>
    <mergeCell ref="Q121:Q122"/>
    <mergeCell ref="R121:R122"/>
    <mergeCell ref="S121:S122"/>
    <mergeCell ref="D126:D130"/>
    <mergeCell ref="E126:E130"/>
    <mergeCell ref="F126:F130"/>
    <mergeCell ref="G126:G130"/>
    <mergeCell ref="H126:H129"/>
    <mergeCell ref="I126:I129"/>
    <mergeCell ref="J126:J129"/>
    <mergeCell ref="K126:K129"/>
    <mergeCell ref="L126:L128"/>
    <mergeCell ref="M126:M128"/>
    <mergeCell ref="N126:N128"/>
    <mergeCell ref="O126:O128"/>
    <mergeCell ref="P126:P127"/>
    <mergeCell ref="Q126:Q127"/>
    <mergeCell ref="R126:R127"/>
    <mergeCell ref="S126:S127"/>
    <mergeCell ref="D131:D135"/>
    <mergeCell ref="E131:E135"/>
    <mergeCell ref="F131:F135"/>
    <mergeCell ref="G131:G135"/>
    <mergeCell ref="H131:H134"/>
    <mergeCell ref="I131:I134"/>
    <mergeCell ref="J131:J134"/>
    <mergeCell ref="K131:K134"/>
    <mergeCell ref="L131:L133"/>
    <mergeCell ref="M131:M133"/>
    <mergeCell ref="N131:N133"/>
    <mergeCell ref="O131:O133"/>
    <mergeCell ref="P131:P132"/>
    <mergeCell ref="Q131:Q132"/>
    <mergeCell ref="R131:R132"/>
    <mergeCell ref="S131:S132"/>
  </mergeCells>
  <dataValidations count="9" disablePrompts="0">
    <dataValidation sqref="N60" type="none" allowBlank="1" errorStyle="stop" imeMode="noControl" operator="between"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howDropDown="0" showErrorMessage="1" showInputMessage="1"/>
    <dataValidation sqref="S59"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N59" type="none" allowBlank="1" errorStyle="stop" imeMode="noControl" operator="between"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howDropDown="0" showErrorMessage="1" showInputMessage="1"/>
    <dataValidation sqref="S58"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O58"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N58" type="none" allowBlank="1" errorStyle="stop" imeMode="noControl" operator="between"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howDropDown="0" showErrorMessage="1" showInputMessage="1"/>
    <dataValidation sqref="K58"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G105:G119 G121:G135 G79:G103 G13:G67" type="none" allowBlank="1" errorStyle="stop" imeMode="noControl" operator="between" prompt="Выберите виды деятельности, выполнив двойной щелчок левой кнопки мыши по ячейке." showDropDown="0" showErrorMessage="1" showInputMessage="1"/>
    <dataValidation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K63:K64 O63:O64 S63:S64 F79:F103 K99:K100 O99:O100 F105:F119 S115:S116 K115:K116 F121:F135 S131:S132 K131:K132 F13:F67 K23:K24 O23:O24 S23:S24"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9" disablePrompts="0">
        <x14:dataValidation xr:uid="{00CF0069-0023-416E-A879-0028003F0078}" type="textLength" allowBlank="1" error="Допускается ввод не более 900 символов!" errorStyle="stop" errorTitle="Ошибка" imeMode="noControl" operator="lessThanOrEqual" showDropDown="0" showErrorMessage="1" showInputMessage="1">
          <x14:formula1>
            <xm:f>900</xm:f>
          </x14:formula1>
          <xm:sqref>R59</xm:sqref>
        </x14:dataValidation>
        <x14:dataValidation xr:uid="{00C30029-0083-4E76-B4E9-00EB00B500E7}" type="textLength" allowBlank="1" error="Допускается ввод не более 900 символов!" errorStyle="stop" errorTitle="Ошибка" imeMode="noControl" operator="lessThanOrEqual" showDropDown="0" showErrorMessage="1" showInputMessage="1">
          <x14:formula1>
            <xm:f>900</xm:f>
          </x14:formula1>
          <xm:sqref>J59</xm:sqref>
        </x14:dataValidation>
        <x14:dataValidation xr:uid="{00C700E2-0013-4849-A386-00EE00BF00B6}" type="textLength" allowBlank="1" error="Допускается ввод не более 900 символов!" errorStyle="stop" errorTitle="Ошибка" imeMode="noControl" operator="lessThanOrEqual" showDropDown="0" showErrorMessage="1" showInputMessage="1">
          <x14:formula1>
            <xm:f>900</xm:f>
          </x14:formula1>
          <xm:sqref>W58</xm:sqref>
        </x14:dataValidation>
        <x14:dataValidation xr:uid="{00EF00F9-007C-4A76-9ADE-00EF006F00A1}" type="textLength" allowBlank="1" error="Допускается ввод не более 900 символов!" errorStyle="stop" errorTitle="Ошибка" imeMode="noControl" operator="lessThanOrEqual" showDropDown="0" showErrorMessage="1" showInputMessage="1">
          <x14:formula1>
            <xm:f>900</xm:f>
          </x14:formula1>
          <xm:sqref>V58</xm:sqref>
        </x14:dataValidation>
        <x14:dataValidation xr:uid="{002C00F8-0043-4D45-AD10-00D9002100BB}" type="textLength" allowBlank="1" error="Допускается ввод не более 900 символов!" errorStyle="stop" errorTitle="Ошибка" imeMode="noControl" operator="lessThanOrEqual" showDropDown="0" showErrorMessage="1" showInputMessage="1">
          <x14:formula1>
            <xm:f>900</xm:f>
          </x14:formula1>
          <xm:sqref>R58</xm:sqref>
        </x14:dataValidation>
        <x14:dataValidation xr:uid="{001D0031-0085-4867-BA2D-005B00E300F8}" type="textLength" allowBlank="1" error="Допускается ввод не более 900 символов!" errorStyle="stop" errorTitle="Ошибка" imeMode="noControl" operator="lessThanOrEqual" showDropDown="0" showErrorMessage="1" showInputMessage="1">
          <x14:formula1>
            <xm:f>900</xm:f>
          </x14:formula1>
          <xm:sqref>J58</xm:sqref>
        </x14:dataValidation>
        <x14:dataValidation xr:uid="{00D40055-0099-4933-8791-00B7001F0044}" type="list" allowBlank="1" error="Выберите значение из списка" errorStyle="stop" errorTitle="Ошибка" imeMode="noControl" operator="between" prompt="Выберите значение из списка" showDropDown="0" showErrorMessage="1" showInputMessage="1">
          <x14:formula1>
            <xm:f>kind_of_tariff_RHEAT</xm:f>
          </x14:formula1>
          <xm:sqref>E18:E22</xm:sqref>
        </x14:dataValidation>
        <x14:dataValidation xr:uid="{007B006E-0091-44C0-92B5-009800440008}" type="list" allowBlank="1" error="Выберите значение из списка" errorStyle="stop" errorTitle="Ошибка" imeMode="noControl" operator="between"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howDropDown="0" showErrorMessage="1" showInputMessage="1">
          <x14:formula1>
            <xm:f>DESCRIPTION_TERRITORY</xm:f>
          </x14:formula1>
          <xm:sqref>N48:N50 N18:N20 N43:N45 N28:N30 N38:N40 N13:N15 N33:N35 N79:N81 N94:N96 N84:N86 N89:N91 N53:N55 N105:N107 N110:N112 N126:N128 N121:N123 N63:N65 N99:N101 N115:N117 N131:N133 N23:N25</xm:sqref>
        </x14:dataValidation>
        <x14:dataValidation xr:uid="{00820024-009D-4C8A-834A-00A5004700B3}" type="textLength" allowBlank="1" error="Допускается ввод не более 900 символов!" errorStyle="stop" errorTitle="Ошибка" imeMode="noControl" operator="lessThanOrEqual" showDropDown="0" showErrorMessage="1" showInputMessage="1">
          <x14:formula1>
            <xm:f>900</xm:f>
          </x14:formula1>
          <xm: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J63:J64 R63:R64 V63:W63 J99:J100 R99:R100 V99:W99 J115:J116 R115:R116 V115:W115 J131:J132 R131:R132 V131:W131 J23:J24 R23:R24 V23:W23</xm:sqref>
        </x14:dataValidation>
      </x14:dataValidations>
    </ext>
  </extLst>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2" tint="-0.10000000000000001"/>
    <outlinePr applyStyles="0" summaryBelow="1" summaryRight="1" showOutlineSymbols="1"/>
    <pageSetUpPr autoPageBreaks="1" fitToPage="0"/>
  </sheetPr>
  <sheetViews>
    <sheetView showGridLines="0" zoomScale="90" workbookViewId="0">
      <pane xSplit="8" ySplit="18" topLeftCell="I19" activePane="bottomRight" state="frozen"/>
      <selection activeCell="A1" activeCellId="0" sqref="A1"/>
    </sheetView>
  </sheetViews>
  <sheetFormatPr defaultColWidth="10.57421875" defaultRowHeight="15" customHeight="1"/>
  <cols>
    <col customWidth="1" hidden="1" min="1" max="1" style="56" width="9.140625"/>
    <col customWidth="1" hidden="1" min="2" max="2" style="50" width="9.140625"/>
    <col customWidth="1" min="3" max="3" style="149" width="4.00390625"/>
    <col customWidth="1" min="4" max="4" style="50" width="6.00390625"/>
    <col customWidth="1" min="5" max="5" style="50" width="47.00390625"/>
    <col customWidth="1" min="6" max="6" style="50" width="9.00390625"/>
    <col customWidth="1" hidden="1" min="7" max="7" style="50" width="25.7109375"/>
    <col customWidth="1" hidden="1" min="8" max="8" style="50" width="34.00390625"/>
    <col customWidth="1" min="9" max="9" style="50" width="25.7109375"/>
    <col customWidth="1" min="10" max="10" style="50" width="33.00390625"/>
    <col customWidth="1" min="11" max="11" style="53" width="50.00390625"/>
    <col customWidth="1" min="12" max="20" style="50" width="10.00390625"/>
    <col customWidth="1" min="21" max="21" style="114" width="10.00390625"/>
    <col hidden="1" min="22" max="22" style="50" width="10.57421875"/>
  </cols>
  <sheetData>
    <row r="1" s="53" customFormat="1" ht="22.5" hidden="1" customHeight="1">
      <c r="C1" s="113"/>
      <c r="G1" s="53">
        <v>4</v>
      </c>
      <c r="I1" s="53">
        <v>4</v>
      </c>
      <c r="U1" s="166"/>
      <c r="V1" s="53" t="s">
        <v>14</v>
      </c>
    </row>
    <row r="2" s="50" customFormat="1" ht="15" hidden="1" customHeight="1">
      <c r="A2" s="56"/>
      <c r="C2" s="149"/>
      <c r="D2" s="125"/>
      <c r="E2" s="268"/>
      <c r="F2" s="51"/>
      <c r="G2" s="142"/>
      <c r="H2" s="142"/>
      <c r="I2" s="142"/>
      <c r="J2" s="142"/>
      <c r="U2" s="114"/>
      <c r="V2" s="50">
        <v>0</v>
      </c>
    </row>
    <row r="3" s="53" customFormat="1" ht="15" hidden="1" customHeight="1">
      <c r="C3" s="113"/>
      <c r="U3" s="166"/>
      <c r="V3" s="53">
        <v>0</v>
      </c>
    </row>
    <row r="4" ht="15.75" customHeight="1">
      <c r="C4" s="149"/>
      <c r="D4" s="50"/>
      <c r="E4" s="50"/>
      <c r="F4" s="50"/>
      <c r="G4" s="50"/>
      <c r="H4" s="50"/>
      <c r="I4" s="50"/>
      <c r="J4" s="50"/>
      <c r="V4" s="50">
        <v>15</v>
      </c>
    </row>
    <row r="5" ht="66" customHeight="1">
      <c r="C5" s="149"/>
      <c r="D5" s="461" t="s">
        <v>1163</v>
      </c>
      <c r="E5" s="461"/>
      <c r="F5" s="461"/>
      <c r="G5" s="461"/>
      <c r="H5" s="461"/>
      <c r="I5" s="461"/>
      <c r="J5" s="461"/>
      <c r="V5" s="50">
        <v>63</v>
      </c>
    </row>
    <row r="6" ht="15.75" customHeight="1">
      <c r="C6" s="149"/>
      <c r="D6" s="316" t="str">
        <f>IF(org=0,"Не определено",org)</f>
        <v xml:space="preserve">АО "ДГК"</v>
      </c>
      <c r="E6" s="316"/>
      <c r="F6" s="316"/>
      <c r="G6" s="316"/>
      <c r="H6" s="316"/>
      <c r="I6" s="316"/>
      <c r="J6" s="316"/>
      <c r="K6" s="53"/>
      <c r="V6" s="50">
        <v>15</v>
      </c>
    </row>
    <row r="7" ht="15.75" customHeight="1">
      <c r="C7" s="149"/>
      <c r="D7" s="352"/>
      <c r="E7" s="50"/>
      <c r="F7" s="50"/>
      <c r="G7" s="53">
        <v>22</v>
      </c>
      <c r="I7" s="53">
        <v>1</v>
      </c>
      <c r="J7" s="352"/>
      <c r="V7" s="50">
        <v>15</v>
      </c>
    </row>
    <row r="8" s="50" customFormat="1" ht="1.05" customHeight="1">
      <c r="A8" s="56"/>
      <c r="C8" s="149"/>
      <c r="D8" s="50"/>
      <c r="E8" s="50"/>
      <c r="F8" s="50"/>
      <c r="G8" s="53"/>
      <c r="H8" s="352"/>
      <c r="I8" s="53" t="s">
        <v>117</v>
      </c>
      <c r="J8" s="352"/>
      <c r="K8" s="53"/>
      <c r="U8" s="114"/>
      <c r="V8" s="50">
        <v>1</v>
      </c>
    </row>
    <row r="9" ht="15.75" customHeight="1">
      <c r="C9" s="149"/>
      <c r="D9" s="731"/>
      <c r="E9" s="732" t="s">
        <v>105</v>
      </c>
      <c r="F9" s="733"/>
      <c r="G9" s="888" t="str">
        <f>IF(G8="","",INDEX(DIFFERENTIATION_UNMERGE_VD,MATCH(G8,DIFFERENTIATION_ID_DIFF,0)))</f>
        <v/>
      </c>
      <c r="H9" s="889"/>
      <c r="I9" s="888">
        <f>IF(I8="","",INDEX(DIFFERENTIATION_UNMERGE_VD,MATCH(I8,DIFFERENTIATION_ID_DIFF,0)))</f>
        <v>0</v>
      </c>
      <c r="J9" s="889"/>
      <c r="K9" s="320" t="s">
        <v>306</v>
      </c>
      <c r="V9" s="50">
        <v>15</v>
      </c>
    </row>
    <row r="10" s="50" customFormat="1" ht="15.75" customHeight="1">
      <c r="A10" s="56"/>
      <c r="C10" s="149"/>
      <c r="D10" s="731"/>
      <c r="E10" s="732" t="s">
        <v>568</v>
      </c>
      <c r="F10" s="733"/>
      <c r="G10" s="888" t="str">
        <f>IF(G8="","",INDEX(DIFFERENTIATION_UNMERGE_AREA,MATCH(G8,DIFFERENTIATION_ID_DIFF,0)))</f>
        <v/>
      </c>
      <c r="H10" s="889"/>
      <c r="I10" s="888" t="str">
        <f>IF(I8="","",INDEX(DIFFERENTIATION_UNMERGE_AREA,MATCH(I8,DIFFERENTIATION_ID_DIFF,0)))</f>
        <v/>
      </c>
      <c r="J10" s="889"/>
      <c r="K10" s="319"/>
      <c r="U10" s="114"/>
      <c r="V10" s="50">
        <v>15</v>
      </c>
    </row>
    <row r="11" s="50" customFormat="1" ht="15.75" customHeight="1">
      <c r="A11" s="56"/>
      <c r="C11" s="149"/>
      <c r="D11" s="731"/>
      <c r="E11" s="732" t="s">
        <v>569</v>
      </c>
      <c r="F11" s="733"/>
      <c r="G11" s="888" t="str">
        <f>IF(G8="","",INDEX(DIFFERENTIATION_UNMERGE_SYSTEM,MATCH(G8,DIFFERENTIATION_ID_DIFF,0)))</f>
        <v/>
      </c>
      <c r="H11" s="889"/>
      <c r="I11" s="888" t="str">
        <f>IF(I8="","",INDEX(DIFFERENTIATION_UNMERGE_SYSTEM,MATCH(I8,DIFFERENTIATION_ID_DIFF,0)))</f>
        <v xml:space="preserve">без дифференциации</v>
      </c>
      <c r="J11" s="889"/>
      <c r="K11" s="319"/>
      <c r="U11" s="114"/>
      <c r="V11" s="50">
        <v>15</v>
      </c>
    </row>
    <row r="12" s="50" customFormat="1" ht="15.75" customHeight="1">
      <c r="A12" s="56"/>
      <c r="C12" s="149"/>
      <c r="D12" s="735" t="s">
        <v>305</v>
      </c>
      <c r="E12" s="736"/>
      <c r="F12" s="736"/>
      <c r="G12" s="732"/>
      <c r="H12" s="732"/>
      <c r="I12" s="732"/>
      <c r="J12" s="732"/>
      <c r="K12" s="319"/>
      <c r="U12" s="114"/>
      <c r="V12" s="50">
        <v>15</v>
      </c>
    </row>
    <row r="13" ht="35.649999999999999" customHeight="1">
      <c r="C13" s="149"/>
      <c r="D13" s="157" t="s">
        <v>89</v>
      </c>
      <c r="E13" s="157" t="s">
        <v>307</v>
      </c>
      <c r="F13" s="157" t="s">
        <v>570</v>
      </c>
      <c r="G13" s="73" t="s">
        <v>308</v>
      </c>
      <c r="H13" s="157" t="s">
        <v>395</v>
      </c>
      <c r="I13" s="73" t="s">
        <v>308</v>
      </c>
      <c r="J13" s="157" t="s">
        <v>395</v>
      </c>
      <c r="K13" s="162"/>
      <c r="V13" s="50">
        <v>34</v>
      </c>
    </row>
    <row r="14" ht="15" hidden="1" customHeight="1">
      <c r="C14" s="149"/>
      <c r="D14" s="206" t="s">
        <v>109</v>
      </c>
      <c r="E14" s="206" t="s">
        <v>110</v>
      </c>
      <c r="F14" s="206" t="s">
        <v>91</v>
      </c>
      <c r="G14" s="149" t="str">
        <f>G1&amp;".1"</f>
        <v>4.1</v>
      </c>
      <c r="H14" s="149"/>
      <c r="I14" s="149" t="str">
        <f>I1&amp;".1"</f>
        <v>4.1</v>
      </c>
      <c r="J14" s="149"/>
      <c r="K14" s="494"/>
      <c r="V14" s="50">
        <v>0</v>
      </c>
    </row>
    <row r="15" ht="22.5" hidden="1" customHeight="1">
      <c r="A15" s="50"/>
      <c r="C15" s="128"/>
      <c r="D15" s="157">
        <v>1</v>
      </c>
      <c r="E15" s="326" t="s">
        <v>813</v>
      </c>
      <c r="F15" s="157" t="s">
        <v>814</v>
      </c>
      <c r="G15" s="998"/>
      <c r="H15" s="998"/>
      <c r="I15" s="998"/>
      <c r="J15" s="998"/>
      <c r="K15" s="494" t="s">
        <v>815</v>
      </c>
      <c r="V15" s="50">
        <v>0</v>
      </c>
    </row>
    <row r="16" ht="22.5" hidden="1" customHeight="1">
      <c r="A16" s="50"/>
      <c r="C16" s="128"/>
      <c r="D16" s="157">
        <v>2</v>
      </c>
      <c r="E16" s="326" t="s">
        <v>816</v>
      </c>
      <c r="F16" s="157" t="s">
        <v>817</v>
      </c>
      <c r="G16" s="998"/>
      <c r="H16" s="998"/>
      <c r="I16" s="998"/>
      <c r="J16" s="998"/>
      <c r="K16" s="494" t="s">
        <v>818</v>
      </c>
      <c r="V16" s="50">
        <v>0</v>
      </c>
    </row>
    <row r="17" ht="123.75" hidden="1" customHeight="1">
      <c r="A17" s="50"/>
      <c r="C17" s="128"/>
      <c r="D17" s="157">
        <v>3</v>
      </c>
      <c r="E17" s="326" t="s">
        <v>1164</v>
      </c>
      <c r="F17" s="157" t="s">
        <v>311</v>
      </c>
      <c r="G17" s="998"/>
      <c r="H17" s="998"/>
      <c r="I17" s="998"/>
      <c r="J17" s="998"/>
      <c r="K17" s="494" t="s">
        <v>1165</v>
      </c>
      <c r="V17" s="50">
        <v>0</v>
      </c>
    </row>
    <row r="18" ht="48.25" customHeight="1">
      <c r="A18" s="50"/>
      <c r="C18" s="128"/>
      <c r="D18" s="157">
        <v>3</v>
      </c>
      <c r="E18" s="326" t="s">
        <v>819</v>
      </c>
      <c r="F18" s="157" t="s">
        <v>311</v>
      </c>
      <c r="G18" s="157" t="s">
        <v>311</v>
      </c>
      <c r="H18" s="320" t="s">
        <v>311</v>
      </c>
      <c r="I18" s="157" t="s">
        <v>311</v>
      </c>
      <c r="J18" s="320" t="s">
        <v>311</v>
      </c>
      <c r="K18" s="494" t="s">
        <v>1166</v>
      </c>
      <c r="V18" s="50">
        <v>46</v>
      </c>
    </row>
    <row r="19" ht="35.649999999999999" customHeight="1">
      <c r="A19" s="50"/>
      <c r="C19" s="128"/>
      <c r="D19" s="218" t="s">
        <v>329</v>
      </c>
      <c r="E19" s="682" t="s">
        <v>821</v>
      </c>
      <c r="F19" s="157" t="s">
        <v>822</v>
      </c>
      <c r="G19" s="856"/>
      <c r="H19" s="291"/>
      <c r="I19" s="856"/>
      <c r="J19" s="768"/>
      <c r="K19" s="892"/>
      <c r="V19" s="50">
        <v>34</v>
      </c>
    </row>
    <row r="20" ht="35.649999999999999" customHeight="1">
      <c r="A20" s="50"/>
      <c r="C20" s="128"/>
      <c r="D20" s="218" t="s">
        <v>337</v>
      </c>
      <c r="E20" s="682" t="s">
        <v>823</v>
      </c>
      <c r="F20" s="157" t="s">
        <v>824</v>
      </c>
      <c r="G20" s="856"/>
      <c r="H20" s="291"/>
      <c r="I20" s="856"/>
      <c r="J20" s="291"/>
      <c r="K20" s="892"/>
      <c r="V20" s="50">
        <v>34</v>
      </c>
    </row>
    <row r="21" ht="48.25" customHeight="1">
      <c r="A21" s="50"/>
      <c r="C21" s="128"/>
      <c r="D21" s="218" t="s">
        <v>339</v>
      </c>
      <c r="E21" s="682" t="s">
        <v>825</v>
      </c>
      <c r="F21" s="157" t="s">
        <v>575</v>
      </c>
      <c r="G21" s="857"/>
      <c r="H21" s="291"/>
      <c r="I21" s="857"/>
      <c r="J21" s="291"/>
      <c r="K21" s="892"/>
      <c r="V21" s="50">
        <v>46</v>
      </c>
    </row>
    <row r="22" ht="67.5" hidden="1" customHeight="1">
      <c r="A22" s="50"/>
      <c r="C22" s="128"/>
      <c r="D22" s="157">
        <v>5</v>
      </c>
      <c r="E22" s="326" t="s">
        <v>1167</v>
      </c>
      <c r="F22" s="157" t="s">
        <v>562</v>
      </c>
      <c r="G22" s="999"/>
      <c r="H22" s="694"/>
      <c r="I22" s="999"/>
      <c r="J22" s="694"/>
      <c r="K22" s="494" t="s">
        <v>1168</v>
      </c>
      <c r="V22" s="50">
        <v>0</v>
      </c>
    </row>
    <row r="23" ht="33.75" hidden="1" customHeight="1">
      <c r="C23" s="128"/>
      <c r="D23" s="157">
        <v>6</v>
      </c>
      <c r="E23" s="326" t="s">
        <v>1169</v>
      </c>
      <c r="F23" s="157" t="s">
        <v>1170</v>
      </c>
      <c r="G23" s="999"/>
      <c r="H23" s="999"/>
      <c r="I23" s="999"/>
      <c r="J23" s="999"/>
      <c r="K23" s="494" t="s">
        <v>1171</v>
      </c>
      <c r="V23" s="50">
        <v>0</v>
      </c>
    </row>
    <row r="24" ht="15.75" customHeight="1">
      <c r="V24" s="50">
        <v>15</v>
      </c>
    </row>
    <row r="25" ht="15.75" customHeight="1">
      <c r="V25" s="50">
        <v>15</v>
      </c>
    </row>
    <row r="26" ht="15.75" customHeight="1">
      <c r="V26" s="50">
        <v>15</v>
      </c>
    </row>
    <row r="27" ht="15.75" customHeight="1">
      <c r="V27" s="50">
        <v>15</v>
      </c>
    </row>
    <row r="28" ht="15.75" customHeight="1">
      <c r="V28" s="50">
        <v>15</v>
      </c>
    </row>
    <row r="29" ht="15.75" customHeight="1">
      <c r="J29" s="1000"/>
      <c r="V29" s="50">
        <v>15</v>
      </c>
    </row>
    <row r="30" ht="22.5" hidden="1" customHeight="1">
      <c r="A30" s="56" t="s">
        <v>83</v>
      </c>
      <c r="B30" s="50">
        <v>0</v>
      </c>
      <c r="C30" s="149">
        <v>4</v>
      </c>
      <c r="D30" s="50">
        <v>6</v>
      </c>
      <c r="E30" s="50">
        <v>47</v>
      </c>
      <c r="F30" s="50">
        <v>9</v>
      </c>
      <c r="G30" s="50">
        <v>0</v>
      </c>
      <c r="H30" s="50">
        <v>0</v>
      </c>
      <c r="I30" s="50">
        <v>25</v>
      </c>
      <c r="J30" s="50">
        <v>33</v>
      </c>
      <c r="K30" s="53">
        <v>50</v>
      </c>
      <c r="L30" s="50">
        <v>10</v>
      </c>
      <c r="M30" s="50">
        <v>10</v>
      </c>
      <c r="N30" s="50">
        <v>10</v>
      </c>
      <c r="O30" s="50">
        <v>10</v>
      </c>
      <c r="P30" s="50">
        <v>10</v>
      </c>
      <c r="Q30" s="50">
        <v>10</v>
      </c>
      <c r="R30" s="50">
        <v>10</v>
      </c>
      <c r="S30" s="50">
        <v>10</v>
      </c>
      <c r="T30" s="50">
        <v>10</v>
      </c>
      <c r="U30" s="114">
        <v>10</v>
      </c>
      <c r="V30" s="50">
        <v>23</v>
      </c>
    </row>
  </sheetData>
  <sheetProtection autoFilter="0" deleteColumns="1" deleteRows="1" formatCells="1" formatColumns="0" formatRows="0" insertColumns="1" insertHyperlinks="1" insertRows="1" objects="0" pivotTables="1" scenarios="0" selectLockedCells="0" selectUnlockedCells="0" sheet="1" sort="1"/>
  <mergeCells count="13">
    <mergeCell ref="D5:J5"/>
    <mergeCell ref="D6:J6"/>
    <mergeCell ref="E9:F9"/>
    <mergeCell ref="G9:H9"/>
    <mergeCell ref="I9:J9"/>
    <mergeCell ref="K9:K13"/>
    <mergeCell ref="E10:F10"/>
    <mergeCell ref="G10:H10"/>
    <mergeCell ref="I10:J10"/>
    <mergeCell ref="E11:F11"/>
    <mergeCell ref="G11:H11"/>
    <mergeCell ref="I11:J11"/>
    <mergeCell ref="D12:F12"/>
  </mergeCells>
  <dataValidations count="1" disablePrompts="0">
    <dataValidation sqref="E15 E13" type="none" allowBlank="1" errorStyle="stop" imeMode="noControl" operator="between" prompt="Количество поданных заявок на подключение (технологическое присоединение) к системе теплоснабжения в течение квартала, шт."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3" disablePrompts="0">
        <x14:dataValidation xr:uid="{00AF00A4-0008-4D89-869B-0098005C000E}" type="decimal" allowBlank="1" error="Допускается ввод только неотрицательных чисел!" errorStyle="stop" errorTitle="Ошибка" imeMode="noControl" operator="between" showDropDown="0" showErrorMessage="1" showInputMessage="0">
          <x14:formula1>
            <xm:f>0</xm:f>
          </x14:formula1>
          <x14:formula2>
            <xm:f>9.99999999999999E+23</xm:f>
          </x14:formula2>
          <xm:sqref>G21 I21</xm:sqref>
        </x14:dataValidation>
        <x14:dataValidation xr:uid="{003D0042-0044-410D-B119-00C200820020}" type="whole" allowBlank="1" error="Допускается ввод только неотрицательных целых чисел!" errorStyle="stop" errorTitle="Ошибка" imeMode="noControl" operator="between" showDropDown="0" showErrorMessage="1" showInputMessage="0">
          <x14:formula1>
            <xm:f>0</xm:f>
          </x14:formula1>
          <x14:formula2>
            <xm:f>9.99999999999999E+23</xm:f>
          </x14:formula2>
          <xm:sqref>G19:G20 I19:I20</xm:sqref>
        </x14:dataValidation>
        <x14:dataValidation xr:uid="{0031001F-0006-40BC-9C40-005D00360025}" type="textLength" allowBlank="1" error="Допускается ввод не более 900 символов!" errorStyle="stop" errorTitle="Ошибка" imeMode="noControl" operator="lessThanOrEqual" showDropDown="0" showErrorMessage="1" showInputMessage="1">
          <x14:formula1>
            <xm:f>900</xm:f>
          </x14:formula1>
          <xm:sqref>H19:H21 J19:J21</xm:sqref>
        </x14:dataValidation>
      </x14:dataValidations>
    </ext>
  </extLst>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topLeftCell="A1" zoomScale="100" workbookViewId="0">
      <selection activeCell="A1" activeCellId="0" sqref="A1"/>
    </sheetView>
  </sheetViews>
  <sheetFormatPr defaultColWidth="9.140625" defaultRowHeight="11.25" customHeight="1"/>
  <cols>
    <col customWidth="1" min="1" max="1" style="959" width="32.57421875"/>
    <col customWidth="1" min="2" max="2" style="63" width="11.00390625"/>
    <col min="3" max="3" style="63" width="9.140625"/>
    <col customWidth="1" min="4" max="4" style="63" width="26.57421875"/>
    <col customWidth="1" min="5" max="5" style="143" width="36.8515625"/>
    <col customWidth="1" min="6" max="6" style="143" width="23.57421875"/>
    <col customWidth="1" min="7" max="7" style="143" width="31.421875"/>
    <col customWidth="1" min="8" max="8" style="143" width="40.8515625"/>
    <col customWidth="1" min="9" max="9" style="143" width="14.57421875"/>
    <col customWidth="1" min="10" max="10" style="143" width="26.8515625"/>
    <col customWidth="1" min="11" max="11" style="143" width="50.00390625"/>
    <col customWidth="1" min="12" max="12" style="143" width="52.421875"/>
    <col customWidth="1" min="13" max="13" style="143" width="10.7109375"/>
    <col customWidth="1" min="14" max="14" style="143" width="55.140625"/>
    <col customWidth="1" min="15" max="15" style="143" width="31.8515625"/>
    <col customWidth="1" min="16" max="16" style="143" width="23.8515625"/>
    <col customWidth="1" min="17" max="17" style="143" width="46.57421875"/>
    <col customWidth="1" min="18" max="18" style="143" width="24.00390625"/>
    <col customWidth="1" min="19" max="19" style="143" width="20.57421875"/>
    <col customWidth="1" min="20" max="20" style="143" width="22.00390625"/>
    <col customWidth="1" min="21" max="22" style="143" width="26.421875"/>
    <col customWidth="1" hidden="1" min="23" max="23" style="143" width="8.28125"/>
    <col customWidth="1" min="24" max="24" style="143" width="59.7109375"/>
    <col customWidth="1" min="25" max="25" style="143" width="49.140625"/>
    <col customWidth="1" min="26" max="26" style="143" width="11.140625"/>
    <col customWidth="1" min="27" max="30" style="143" width="29.00390625"/>
    <col min="31" max="31" style="143" width="9.140625"/>
    <col customWidth="1" min="32" max="32" style="143" width="34.7109375"/>
    <col min="33" max="33" style="143" width="9.140625"/>
    <col customWidth="1" min="34" max="35" style="143" width="34.421875"/>
    <col min="36" max="36" style="143" width="9.140625"/>
    <col customWidth="1" min="37" max="37" style="143" width="24.57421875"/>
    <col min="38" max="38" style="143" width="9.140625"/>
    <col customWidth="1" min="39" max="39" style="143" width="26.140625"/>
    <col customWidth="1" min="40" max="40" style="143" width="1.7109375"/>
    <col min="41" max="41" style="143" width="9.140625"/>
    <col customWidth="1" min="42" max="43" style="143" width="47.8515625"/>
    <col customWidth="1" min="44" max="44" style="143" width="1.7109375"/>
    <col customWidth="1" min="45" max="45" style="143" width="21.421875"/>
    <col customWidth="1" min="46" max="46" style="143" width="1.7109375"/>
    <col customWidth="1" min="47" max="47" style="143" width="31.28125"/>
    <col customWidth="1" min="48" max="48" style="143" width="1.7109375"/>
    <col min="49" max="50" style="143" width="9.140625"/>
    <col customWidth="1" min="51" max="51" style="143" width="3.7109375"/>
    <col customWidth="1" min="52" max="52" style="143" width="60.8515625"/>
    <col customWidth="1" min="53" max="53" style="143" width="49.28125"/>
    <col customWidth="1" min="54" max="54" style="143" width="35.140625"/>
    <col min="55" max="55" style="143" width="9.140625"/>
    <col customWidth="1" min="56" max="56" style="143" width="1.7109375"/>
    <col customWidth="1" min="57" max="57" style="1001" width="12.57421875"/>
    <col customWidth="1" min="58" max="58" style="1001" width="14.28125"/>
    <col customWidth="1" min="59" max="59" style="143" width="30.7109375"/>
    <col customWidth="1" min="60" max="60" style="253" width="40.7109375"/>
    <col customWidth="1" min="61" max="61" style="253" width="15.00390625"/>
    <col customWidth="1" min="62" max="62" style="253" width="40.7109375"/>
    <col customWidth="1" min="63" max="63" style="253" width="2.7109375"/>
    <col customWidth="1" min="64" max="64" style="253" width="44.7109375"/>
    <col customWidth="1" min="65" max="65" style="253" width="2.7109375"/>
    <col customWidth="1" min="66" max="66" style="253" width="40.7109375"/>
    <col min="67" max="68" style="143" width="9.140625"/>
    <col customWidth="1" min="69" max="69" style="143" width="18.140625"/>
    <col customWidth="1" min="70" max="70" style="143" width="57.8515625"/>
    <col customWidth="1" min="71" max="71" style="143" width="1.7109375"/>
    <col customWidth="1" min="72" max="72" style="143" width="22.57421875"/>
    <col customWidth="1" min="73" max="73" style="143" width="57.8515625"/>
    <col customWidth="1" min="74" max="74" style="143" width="1.7109375"/>
    <col customWidth="1" min="75" max="75" style="143" width="22.57421875"/>
    <col customWidth="1" min="76" max="76" style="143" width="57.8515625"/>
    <col customWidth="1" min="77" max="77" style="143" width="1.7109375"/>
    <col customWidth="1" min="78" max="78" style="143" width="22.57421875"/>
    <col customWidth="1" min="79" max="79" style="143" width="57.8515625"/>
    <col min="80" max="81" style="143" width="9.140625"/>
    <col customWidth="1" min="82" max="82" style="143" width="49.57421875"/>
  </cols>
  <sheetData>
    <row r="1" s="1002" customFormat="1" ht="11.25" customHeight="1">
      <c r="A1" s="1003" t="s">
        <v>1172</v>
      </c>
      <c r="B1" s="1003" t="s">
        <v>1173</v>
      </c>
      <c r="C1" s="1003" t="s">
        <v>1174</v>
      </c>
      <c r="D1" s="1003" t="s">
        <v>1175</v>
      </c>
      <c r="E1" s="1003" t="s">
        <v>1176</v>
      </c>
      <c r="F1" s="1003" t="s">
        <v>1177</v>
      </c>
      <c r="G1" s="1003" t="s">
        <v>1178</v>
      </c>
      <c r="H1" s="1003" t="s">
        <v>1179</v>
      </c>
      <c r="I1" s="1003" t="s">
        <v>1180</v>
      </c>
      <c r="J1" s="1003" t="s">
        <v>1181</v>
      </c>
      <c r="K1" s="1003" t="s">
        <v>1182</v>
      </c>
      <c r="L1" s="1003" t="s">
        <v>1183</v>
      </c>
      <c r="M1" s="1003"/>
      <c r="N1" s="1003" t="s">
        <v>1184</v>
      </c>
      <c r="O1" s="1003" t="s">
        <v>1185</v>
      </c>
      <c r="P1" s="1003" t="s">
        <v>1186</v>
      </c>
      <c r="Q1" s="1003" t="s">
        <v>1187</v>
      </c>
      <c r="R1" s="1003" t="s">
        <v>1188</v>
      </c>
      <c r="S1" s="1003" t="s">
        <v>1189</v>
      </c>
      <c r="T1" s="1003" t="s">
        <v>1190</v>
      </c>
      <c r="U1" s="1003" t="s">
        <v>1191</v>
      </c>
      <c r="V1" s="1003"/>
      <c r="W1" s="1004" t="s">
        <v>1192</v>
      </c>
      <c r="X1" s="1003" t="s">
        <v>1193</v>
      </c>
      <c r="Y1" s="1003" t="s">
        <v>1194</v>
      </c>
      <c r="Z1" s="1003"/>
      <c r="AA1" s="1003" t="s">
        <v>1195</v>
      </c>
      <c r="AB1" s="1003"/>
      <c r="AC1" s="1003" t="s">
        <v>1196</v>
      </c>
      <c r="AD1" s="1003"/>
      <c r="AF1" s="1003" t="s">
        <v>1197</v>
      </c>
      <c r="AH1" s="1003" t="s">
        <v>1198</v>
      </c>
      <c r="AI1" s="1003" t="s">
        <v>1199</v>
      </c>
      <c r="AK1" s="1003" t="s">
        <v>1200</v>
      </c>
      <c r="AM1" s="1003" t="s">
        <v>1201</v>
      </c>
      <c r="AP1" s="1003" t="s">
        <v>1202</v>
      </c>
      <c r="AQ1" s="1003" t="s">
        <v>1203</v>
      </c>
      <c r="AS1" s="1003" t="s">
        <v>1204</v>
      </c>
      <c r="AU1" s="1003" t="s">
        <v>1205</v>
      </c>
      <c r="AW1" s="1003" t="s">
        <v>1206</v>
      </c>
      <c r="AX1" s="1003" t="s">
        <v>1207</v>
      </c>
      <c r="AZ1" s="1005" t="s">
        <v>1208</v>
      </c>
      <c r="BB1" s="1003" t="s">
        <v>1209</v>
      </c>
      <c r="BC1" s="1003"/>
      <c r="BE1" s="1003" t="s">
        <v>1210</v>
      </c>
      <c r="BF1" s="1003" t="s">
        <v>1211</v>
      </c>
      <c r="BH1" s="1006" t="s">
        <v>812</v>
      </c>
      <c r="BI1" s="253"/>
      <c r="BJ1" s="1007" t="s">
        <v>1212</v>
      </c>
      <c r="BK1" s="253"/>
      <c r="BL1" s="1008" t="s">
        <v>911</v>
      </c>
      <c r="BM1" s="253"/>
      <c r="BN1" s="1009" t="s">
        <v>1213</v>
      </c>
      <c r="BS1" s="1002"/>
    </row>
    <row r="2" ht="11.25" customHeight="1">
      <c r="A2" s="143" t="s">
        <v>1214</v>
      </c>
      <c r="B2" s="1010">
        <v>2000</v>
      </c>
      <c r="C2" s="1010">
        <v>2022</v>
      </c>
      <c r="D2" s="1010" t="s">
        <v>67</v>
      </c>
      <c r="E2" s="1011" t="s">
        <v>1215</v>
      </c>
      <c r="F2" s="1011" t="s">
        <v>1216</v>
      </c>
      <c r="G2" s="1011" t="s">
        <v>1217</v>
      </c>
      <c r="H2" s="1011" t="s">
        <v>56</v>
      </c>
      <c r="I2" s="1011" t="s">
        <v>109</v>
      </c>
      <c r="J2" s="1011" t="s">
        <v>1218</v>
      </c>
      <c r="K2" s="1012" t="s">
        <v>1155</v>
      </c>
      <c r="L2" s="1012"/>
      <c r="M2" s="1012">
        <v>1</v>
      </c>
      <c r="N2" s="1013" t="s">
        <v>1219</v>
      </c>
      <c r="O2" s="1011" t="s">
        <v>1220</v>
      </c>
      <c r="P2" s="1014" t="s">
        <v>1221</v>
      </c>
      <c r="Q2" s="1015" t="s">
        <v>1222</v>
      </c>
      <c r="R2" s="1016" t="s">
        <v>1223</v>
      </c>
      <c r="S2" s="1016" t="s">
        <v>1224</v>
      </c>
      <c r="T2" s="1017" t="s">
        <v>1225</v>
      </c>
      <c r="U2" s="1012" t="s">
        <v>1226</v>
      </c>
      <c r="V2" s="1018">
        <v>1</v>
      </c>
      <c r="W2" s="1019"/>
      <c r="X2" s="1019" t="s">
        <v>1227</v>
      </c>
      <c r="Y2" s="1010" t="s">
        <v>1228</v>
      </c>
      <c r="Z2" s="1020"/>
      <c r="AA2" s="1010" t="s">
        <v>1229</v>
      </c>
      <c r="AB2" s="1021" t="s">
        <v>1229</v>
      </c>
      <c r="AC2" s="1010" t="s">
        <v>1230</v>
      </c>
      <c r="AD2" s="1021" t="s">
        <v>1230</v>
      </c>
      <c r="AF2" s="1011" t="s">
        <v>1226</v>
      </c>
      <c r="AH2" s="1011" t="s">
        <v>1231</v>
      </c>
      <c r="AI2" s="1011" t="s">
        <v>1231</v>
      </c>
      <c r="AK2" s="1011" t="s">
        <v>1232</v>
      </c>
      <c r="AM2" s="1011" t="s">
        <v>1233</v>
      </c>
      <c r="AP2" s="793" t="s">
        <v>1227</v>
      </c>
      <c r="AQ2" s="1022" t="s">
        <v>1227</v>
      </c>
      <c r="AS2" s="1010" t="s">
        <v>1234</v>
      </c>
      <c r="AU2" s="1023" t="s">
        <v>1235</v>
      </c>
      <c r="AW2" s="1023" t="s">
        <v>1236</v>
      </c>
      <c r="AX2" s="1023" t="s">
        <v>1236</v>
      </c>
      <c r="AZ2" s="1023" t="s">
        <v>54</v>
      </c>
      <c r="BB2" s="1023" t="s">
        <v>1237</v>
      </c>
      <c r="BC2" s="1023" t="s">
        <v>1238</v>
      </c>
      <c r="BE2" s="1023">
        <v>2000</v>
      </c>
      <c r="BF2" s="1023" t="s">
        <v>1239</v>
      </c>
    </row>
    <row r="3" ht="11.25" customHeight="1">
      <c r="A3" s="143" t="s">
        <v>1240</v>
      </c>
      <c r="B3" s="1010">
        <v>2001</v>
      </c>
      <c r="C3" s="1010">
        <v>2023</v>
      </c>
      <c r="D3" s="1010" t="s">
        <v>19</v>
      </c>
      <c r="E3" s="1011" t="s">
        <v>1241</v>
      </c>
      <c r="F3" s="1011" t="s">
        <v>1242</v>
      </c>
      <c r="G3" s="1011" t="s">
        <v>1243</v>
      </c>
      <c r="H3" s="1011" t="s">
        <v>1244</v>
      </c>
      <c r="I3" s="1011" t="s">
        <v>110</v>
      </c>
      <c r="J3" s="1011" t="s">
        <v>560</v>
      </c>
      <c r="K3" s="1012" t="s">
        <v>1245</v>
      </c>
      <c r="L3" s="1012">
        <f t="shared" ref="L3:L5" si="49">_xlfn.IFERROR(MATCH(K3,OFFER_METHOD,0),0)</f>
        <v>0</v>
      </c>
      <c r="M3" s="1012">
        <v>2</v>
      </c>
      <c r="N3" s="1013" t="s">
        <v>1246</v>
      </c>
      <c r="O3" s="1011" t="s">
        <v>1247</v>
      </c>
      <c r="P3" s="1014" t="s">
        <v>37</v>
      </c>
      <c r="Q3" s="1015" t="s">
        <v>1248</v>
      </c>
      <c r="R3" s="1016" t="s">
        <v>1249</v>
      </c>
      <c r="S3" s="1016" t="s">
        <v>1250</v>
      </c>
      <c r="T3" s="1017" t="s">
        <v>1251</v>
      </c>
      <c r="U3" s="1012" t="s">
        <v>1252</v>
      </c>
      <c r="V3" s="1018">
        <v>2</v>
      </c>
      <c r="W3" s="1019"/>
      <c r="X3" s="1019" t="s">
        <v>1253</v>
      </c>
      <c r="Y3" s="1010" t="s">
        <v>1228</v>
      </c>
      <c r="Z3" s="1020"/>
      <c r="AA3" s="1010" t="s">
        <v>1254</v>
      </c>
      <c r="AB3" s="1021" t="s">
        <v>1254</v>
      </c>
      <c r="AC3" s="1010" t="s">
        <v>1255</v>
      </c>
      <c r="AD3" s="1021" t="s">
        <v>1255</v>
      </c>
      <c r="AF3" s="1011" t="s">
        <v>1252</v>
      </c>
      <c r="AH3" s="1011" t="s">
        <v>1256</v>
      </c>
      <c r="AI3" s="1011" t="s">
        <v>1257</v>
      </c>
      <c r="AK3" s="1011" t="s">
        <v>1258</v>
      </c>
      <c r="AM3" s="1011" t="s">
        <v>1259</v>
      </c>
      <c r="AP3" s="793" t="s">
        <v>1260</v>
      </c>
      <c r="AQ3" s="1022" t="s">
        <v>1260</v>
      </c>
      <c r="AS3" s="1010" t="s">
        <v>1261</v>
      </c>
      <c r="AU3" s="1023" t="s">
        <v>1262</v>
      </c>
      <c r="AW3" s="1023" t="s">
        <v>1263</v>
      </c>
      <c r="AX3" s="1023" t="s">
        <v>1263</v>
      </c>
      <c r="AZ3" s="1023" t="s">
        <v>1264</v>
      </c>
      <c r="BB3" s="1023" t="s">
        <v>1265</v>
      </c>
      <c r="BC3" s="1023" t="s">
        <v>1238</v>
      </c>
      <c r="BE3" s="1023">
        <v>2001</v>
      </c>
      <c r="BF3" s="1023" t="s">
        <v>1266</v>
      </c>
      <c r="BH3" s="1003" t="s">
        <v>1267</v>
      </c>
      <c r="BJ3" s="1003" t="s">
        <v>1268</v>
      </c>
      <c r="BL3" s="1003" t="s">
        <v>1269</v>
      </c>
      <c r="BN3" s="1003" t="s">
        <v>1270</v>
      </c>
      <c r="BR3" s="1003" t="s">
        <v>1271</v>
      </c>
      <c r="BS3" s="1024"/>
      <c r="BT3" s="253"/>
      <c r="BU3" s="1003" t="s">
        <v>1272</v>
      </c>
      <c r="BV3" s="253"/>
      <c r="BW3" s="63"/>
      <c r="BX3" s="1003" t="s">
        <v>1273</v>
      </c>
      <c r="CA3" s="1003" t="s">
        <v>1274</v>
      </c>
    </row>
    <row r="4" ht="11.25" customHeight="1">
      <c r="A4" s="143" t="s">
        <v>1275</v>
      </c>
      <c r="B4" s="1010">
        <v>2002</v>
      </c>
      <c r="C4" s="1010">
        <v>2024</v>
      </c>
      <c r="E4" s="1011" t="s">
        <v>1276</v>
      </c>
      <c r="F4" s="1011" t="s">
        <v>1277</v>
      </c>
      <c r="H4" s="1011" t="s">
        <v>1278</v>
      </c>
      <c r="I4" s="1011" t="s">
        <v>91</v>
      </c>
      <c r="J4" s="1011" t="s">
        <v>1279</v>
      </c>
      <c r="K4" s="1012" t="s">
        <v>1280</v>
      </c>
      <c r="L4" s="1012">
        <f t="shared" si="49"/>
        <v>0</v>
      </c>
      <c r="M4" s="1012">
        <v>3</v>
      </c>
      <c r="N4" s="1013" t="s">
        <v>1281</v>
      </c>
      <c r="O4" s="1011" t="s">
        <v>1282</v>
      </c>
      <c r="Q4" s="1015" t="s">
        <v>1283</v>
      </c>
      <c r="R4" s="1016" t="s">
        <v>1284</v>
      </c>
      <c r="S4" s="1016" t="s">
        <v>1285</v>
      </c>
      <c r="T4" s="1017" t="s">
        <v>1286</v>
      </c>
      <c r="U4" s="1012" t="s">
        <v>1287</v>
      </c>
      <c r="V4" s="1018">
        <v>3</v>
      </c>
      <c r="W4" s="1019"/>
      <c r="X4" s="1019" t="s">
        <v>1288</v>
      </c>
      <c r="Y4" s="1010" t="s">
        <v>1228</v>
      </c>
      <c r="Z4" s="106"/>
      <c r="AC4" s="1010" t="s">
        <v>1289</v>
      </c>
      <c r="AD4" s="1021" t="s">
        <v>1289</v>
      </c>
      <c r="AF4" s="1011" t="s">
        <v>1287</v>
      </c>
      <c r="AH4" s="1011" t="s">
        <v>1290</v>
      </c>
      <c r="AK4" s="1011" t="s">
        <v>1291</v>
      </c>
      <c r="AM4" s="1011" t="s">
        <v>1292</v>
      </c>
      <c r="AP4" s="793" t="s">
        <v>1253</v>
      </c>
      <c r="AQ4" s="1022" t="s">
        <v>1253</v>
      </c>
      <c r="AS4" s="1010" t="s">
        <v>1293</v>
      </c>
      <c r="AU4" s="1023" t="s">
        <v>1294</v>
      </c>
      <c r="AW4" s="1023" t="s">
        <v>1295</v>
      </c>
      <c r="AX4" s="1023" t="s">
        <v>1295</v>
      </c>
      <c r="AZ4" s="1023" t="s">
        <v>1296</v>
      </c>
      <c r="BB4" s="1023" t="s">
        <v>1297</v>
      </c>
      <c r="BC4" s="1023" t="s">
        <v>1298</v>
      </c>
      <c r="BE4" s="1023">
        <v>2002</v>
      </c>
      <c r="BF4" s="1023" t="s">
        <v>1299</v>
      </c>
      <c r="BH4" s="1025" t="s">
        <v>1300</v>
      </c>
      <c r="BJ4" s="1025" t="s">
        <v>1300</v>
      </c>
      <c r="BL4" s="1025" t="s">
        <v>1300</v>
      </c>
      <c r="BN4" s="1025" t="s">
        <v>1300</v>
      </c>
      <c r="BQ4" s="1026" t="s">
        <v>1301</v>
      </c>
      <c r="BR4" s="793" t="s">
        <v>1302</v>
      </c>
      <c r="BS4" s="793"/>
      <c r="BT4" s="1026" t="s">
        <v>1303</v>
      </c>
      <c r="BU4" s="793" t="s">
        <v>1304</v>
      </c>
      <c r="BV4" s="253"/>
      <c r="BW4" s="1026" t="s">
        <v>1305</v>
      </c>
      <c r="BX4" s="793" t="s">
        <v>1306</v>
      </c>
      <c r="BZ4" s="1026" t="s">
        <v>1307</v>
      </c>
      <c r="CA4" s="793" t="s">
        <v>1308</v>
      </c>
    </row>
    <row r="5" ht="11.25" customHeight="1">
      <c r="A5" s="143" t="s">
        <v>1309</v>
      </c>
      <c r="B5" s="1010">
        <v>2003</v>
      </c>
      <c r="C5" s="1010">
        <v>2025</v>
      </c>
      <c r="E5" s="1011" t="s">
        <v>1310</v>
      </c>
      <c r="F5" s="1011" t="s">
        <v>1311</v>
      </c>
      <c r="H5" s="1011" t="s">
        <v>1312</v>
      </c>
      <c r="I5" s="1011" t="s">
        <v>92</v>
      </c>
      <c r="K5" s="1012" t="s">
        <v>1313</v>
      </c>
      <c r="L5" s="1012">
        <f t="shared" si="49"/>
        <v>0</v>
      </c>
      <c r="M5" s="1012">
        <v>4</v>
      </c>
      <c r="N5" s="1027" t="s">
        <v>1314</v>
      </c>
      <c r="O5" s="1011" t="s">
        <v>1315</v>
      </c>
      <c r="Q5" s="1015" t="s">
        <v>1316</v>
      </c>
      <c r="R5" s="1016" t="s">
        <v>1317</v>
      </c>
      <c r="T5" s="1011" t="s">
        <v>1318</v>
      </c>
      <c r="U5" s="1012" t="s">
        <v>1319</v>
      </c>
      <c r="V5" s="1018">
        <v>4</v>
      </c>
      <c r="W5" s="1019"/>
      <c r="X5" s="1019" t="s">
        <v>166</v>
      </c>
      <c r="Y5" s="1010" t="s">
        <v>1320</v>
      </c>
      <c r="Z5" s="106">
        <v>1</v>
      </c>
      <c r="AF5" s="1011" t="s">
        <v>1321</v>
      </c>
      <c r="AH5" s="1011" t="s">
        <v>1322</v>
      </c>
      <c r="AK5" s="1011" t="s">
        <v>1323</v>
      </c>
      <c r="AM5" s="1011" t="s">
        <v>1324</v>
      </c>
      <c r="AP5" s="793" t="s">
        <v>166</v>
      </c>
      <c r="AQ5" s="1022" t="s">
        <v>166</v>
      </c>
      <c r="AU5" s="1023" t="s">
        <v>1325</v>
      </c>
      <c r="AW5" s="1023" t="s">
        <v>1326</v>
      </c>
      <c r="AX5" s="1023" t="s">
        <v>1326</v>
      </c>
      <c r="AZ5" s="1023" t="s">
        <v>1327</v>
      </c>
      <c r="BB5" s="1023" t="s">
        <v>1328</v>
      </c>
      <c r="BC5" s="1023" t="s">
        <v>1329</v>
      </c>
      <c r="BE5" s="1023">
        <v>2003</v>
      </c>
      <c r="BF5" s="1023" t="s">
        <v>1330</v>
      </c>
      <c r="BH5" s="1025" t="s">
        <v>1331</v>
      </c>
      <c r="BJ5" s="1025" t="s">
        <v>1331</v>
      </c>
      <c r="BL5" s="1025" t="s">
        <v>1331</v>
      </c>
      <c r="BN5" s="1025" t="s">
        <v>1332</v>
      </c>
      <c r="BQ5" s="1023">
        <v>4213775</v>
      </c>
      <c r="BR5" s="1025" t="s">
        <v>1227</v>
      </c>
      <c r="BS5" s="1028"/>
      <c r="BT5" s="1023">
        <v>64236871</v>
      </c>
      <c r="BU5" s="1025" t="s">
        <v>234</v>
      </c>
      <c r="BV5" s="253"/>
      <c r="BW5" s="1023">
        <v>4213767</v>
      </c>
      <c r="BX5" s="1025" t="s">
        <v>1333</v>
      </c>
      <c r="BZ5" s="1023">
        <v>64237509</v>
      </c>
      <c r="CA5" s="1029" t="s">
        <v>1334</v>
      </c>
    </row>
    <row r="6" ht="11.25" customHeight="1">
      <c r="A6" s="143" t="s">
        <v>1335</v>
      </c>
      <c r="B6" s="1010">
        <v>2004</v>
      </c>
      <c r="C6" s="1010">
        <v>2026</v>
      </c>
      <c r="E6" s="1011" t="s">
        <v>1336</v>
      </c>
      <c r="F6" s="184"/>
      <c r="H6" s="1011" t="s">
        <v>1337</v>
      </c>
      <c r="I6" s="1011" t="s">
        <v>111</v>
      </c>
      <c r="J6" s="1003" t="s">
        <v>1338</v>
      </c>
      <c r="L6" s="1012">
        <f>SUM(kind_of_control_method_filter)</f>
        <v>0</v>
      </c>
      <c r="N6" s="1027" t="s">
        <v>1339</v>
      </c>
      <c r="O6" s="1011" t="s">
        <v>1340</v>
      </c>
      <c r="R6" s="1016" t="s">
        <v>1222</v>
      </c>
      <c r="T6" s="1011" t="s">
        <v>1341</v>
      </c>
      <c r="U6" s="1012" t="s">
        <v>1321</v>
      </c>
      <c r="V6" s="1018">
        <v>5</v>
      </c>
      <c r="W6" s="1019"/>
      <c r="X6" s="1010" t="s">
        <v>172</v>
      </c>
      <c r="Y6" s="1010" t="s">
        <v>1342</v>
      </c>
      <c r="Z6" s="106"/>
      <c r="AA6" s="858"/>
      <c r="AH6" s="1011" t="s">
        <v>1343</v>
      </c>
      <c r="AK6" s="1011" t="s">
        <v>1344</v>
      </c>
      <c r="AM6" s="1011" t="s">
        <v>1345</v>
      </c>
      <c r="AP6" s="793" t="s">
        <v>172</v>
      </c>
      <c r="AQ6" s="1022" t="s">
        <v>172</v>
      </c>
      <c r="AU6" s="1023" t="s">
        <v>1346</v>
      </c>
      <c r="AW6" s="1023" t="s">
        <v>1347</v>
      </c>
      <c r="AX6" s="1023" t="s">
        <v>1347</v>
      </c>
      <c r="BB6" s="1023" t="s">
        <v>1348</v>
      </c>
      <c r="BC6" s="1023" t="s">
        <v>1329</v>
      </c>
      <c r="BE6" s="1023">
        <v>2004</v>
      </c>
      <c r="BF6" s="1023" t="s">
        <v>1349</v>
      </c>
      <c r="BH6" s="1025" t="s">
        <v>1350</v>
      </c>
      <c r="BJ6" s="1025" t="s">
        <v>1351</v>
      </c>
      <c r="BL6" s="1025" t="s">
        <v>1351</v>
      </c>
      <c r="BN6" s="1025" t="s">
        <v>1352</v>
      </c>
      <c r="BQ6" s="1023">
        <v>4213784</v>
      </c>
      <c r="BR6" s="1029" t="s">
        <v>1260</v>
      </c>
      <c r="BS6" s="1030"/>
      <c r="BT6" s="1023">
        <v>64236872</v>
      </c>
      <c r="BU6" s="1025" t="s">
        <v>239</v>
      </c>
      <c r="BV6" s="253"/>
      <c r="BW6" s="1023">
        <v>4213768</v>
      </c>
      <c r="BX6" s="1025" t="s">
        <v>259</v>
      </c>
      <c r="BZ6" s="1023">
        <v>64237510</v>
      </c>
      <c r="CA6" s="1025" t="s">
        <v>1353</v>
      </c>
    </row>
    <row r="7" ht="11.25" customHeight="1">
      <c r="A7" s="143" t="s">
        <v>1354</v>
      </c>
      <c r="B7" s="1010">
        <v>2005</v>
      </c>
      <c r="E7" s="1011" t="s">
        <v>1355</v>
      </c>
      <c r="F7" s="184"/>
      <c r="H7" s="1011" t="s">
        <v>1356</v>
      </c>
      <c r="I7" s="1011" t="s">
        <v>93</v>
      </c>
      <c r="J7" s="1011" t="s">
        <v>1357</v>
      </c>
      <c r="N7" s="1031" t="s">
        <v>1358</v>
      </c>
      <c r="O7" s="1011" t="s">
        <v>1359</v>
      </c>
      <c r="U7" s="1012" t="s">
        <v>19</v>
      </c>
      <c r="V7" s="1032" t="s">
        <v>93</v>
      </c>
      <c r="W7" s="1019"/>
      <c r="X7" s="1010" t="s">
        <v>178</v>
      </c>
      <c r="Y7" s="1010" t="s">
        <v>1320</v>
      </c>
      <c r="Z7" s="106"/>
      <c r="AA7" s="858"/>
      <c r="AH7" s="1011" t="s">
        <v>1360</v>
      </c>
      <c r="AK7" s="1011" t="s">
        <v>1361</v>
      </c>
      <c r="AM7" s="1011" t="s">
        <v>1362</v>
      </c>
      <c r="AP7" s="793" t="s">
        <v>178</v>
      </c>
      <c r="AQ7" s="1022" t="s">
        <v>178</v>
      </c>
      <c r="AU7" s="1023" t="s">
        <v>1363</v>
      </c>
      <c r="AW7" s="1023" t="s">
        <v>1364</v>
      </c>
      <c r="AX7" s="1023" t="s">
        <v>1364</v>
      </c>
      <c r="AZ7" s="1003" t="s">
        <v>1365</v>
      </c>
      <c r="BB7" s="1023" t="s">
        <v>1366</v>
      </c>
      <c r="BC7" s="1023" t="s">
        <v>1329</v>
      </c>
      <c r="BE7" s="1023">
        <v>2005</v>
      </c>
      <c r="BF7" s="1023" t="s">
        <v>1367</v>
      </c>
      <c r="BH7" s="1025" t="s">
        <v>1368</v>
      </c>
      <c r="BJ7" s="1025" t="s">
        <v>1350</v>
      </c>
      <c r="BL7" s="1025" t="s">
        <v>1350</v>
      </c>
      <c r="BN7" s="1025" t="s">
        <v>1369</v>
      </c>
      <c r="BQ7" s="1023">
        <v>4213781</v>
      </c>
      <c r="BR7" s="1025" t="s">
        <v>1253</v>
      </c>
      <c r="BS7" s="1028"/>
      <c r="BT7" s="1023">
        <v>64236873</v>
      </c>
      <c r="BU7" s="1025" t="s">
        <v>244</v>
      </c>
      <c r="BV7" s="253"/>
      <c r="BW7" s="1023">
        <v>4213769</v>
      </c>
      <c r="BX7" s="1025" t="s">
        <v>1370</v>
      </c>
      <c r="BZ7" s="1023">
        <v>64237511</v>
      </c>
      <c r="CA7" s="1025" t="s">
        <v>274</v>
      </c>
    </row>
    <row r="8" ht="11.25" customHeight="1">
      <c r="A8" s="143" t="s">
        <v>1371</v>
      </c>
      <c r="B8" s="1010">
        <v>2006</v>
      </c>
      <c r="E8" s="1011" t="s">
        <v>1372</v>
      </c>
      <c r="F8" s="184"/>
      <c r="H8" s="1011" t="s">
        <v>1373</v>
      </c>
      <c r="I8" s="1011" t="s">
        <v>94</v>
      </c>
      <c r="J8" s="1011" t="s">
        <v>1374</v>
      </c>
      <c r="N8" s="1033" t="s">
        <v>1375</v>
      </c>
      <c r="O8" s="1011" t="s">
        <v>1376</v>
      </c>
      <c r="V8" s="1032" t="s">
        <v>94</v>
      </c>
      <c r="W8" s="1019"/>
      <c r="X8" s="1010" t="s">
        <v>184</v>
      </c>
      <c r="Y8" s="1010" t="s">
        <v>1320</v>
      </c>
      <c r="Z8" s="106"/>
      <c r="AA8" s="858"/>
      <c r="AK8" s="1011" t="s">
        <v>1377</v>
      </c>
      <c r="AP8" s="793" t="s">
        <v>184</v>
      </c>
      <c r="AQ8" s="1022" t="s">
        <v>184</v>
      </c>
      <c r="AU8" s="1023" t="s">
        <v>1378</v>
      </c>
      <c r="AW8" s="1023" t="s">
        <v>1379</v>
      </c>
      <c r="AX8" s="1023" t="s">
        <v>1379</v>
      </c>
      <c r="AZ8" s="1023" t="s">
        <v>1380</v>
      </c>
      <c r="BB8" s="1023" t="s">
        <v>1381</v>
      </c>
      <c r="BC8" s="1023" t="s">
        <v>1329</v>
      </c>
      <c r="BE8" s="1023">
        <v>2006</v>
      </c>
      <c r="BF8" s="1023" t="s">
        <v>1382</v>
      </c>
      <c r="BH8" s="1025" t="s">
        <v>1383</v>
      </c>
      <c r="BJ8" s="1025" t="s">
        <v>1384</v>
      </c>
      <c r="BL8" s="1025" t="s">
        <v>1384</v>
      </c>
      <c r="BN8" s="1025" t="s">
        <v>1385</v>
      </c>
      <c r="BQ8" s="1023">
        <v>4213776</v>
      </c>
      <c r="BR8" s="1025" t="s">
        <v>166</v>
      </c>
      <c r="BS8" s="1028"/>
      <c r="BT8" s="1023">
        <v>64236874</v>
      </c>
      <c r="BU8" s="1029" t="s">
        <v>1386</v>
      </c>
      <c r="BV8" s="253"/>
      <c r="BW8" s="1023">
        <v>4213770</v>
      </c>
      <c r="BX8" s="1029" t="s">
        <v>1387</v>
      </c>
      <c r="BZ8" s="1023">
        <v>64237512</v>
      </c>
      <c r="CA8" s="1025" t="s">
        <v>269</v>
      </c>
    </row>
    <row r="9" ht="11.25" customHeight="1">
      <c r="A9" s="143" t="s">
        <v>1388</v>
      </c>
      <c r="B9" s="1010">
        <v>2007</v>
      </c>
      <c r="E9" s="1011" t="s">
        <v>1389</v>
      </c>
      <c r="F9" s="184"/>
      <c r="G9" s="1003" t="s">
        <v>1390</v>
      </c>
      <c r="H9" s="1003" t="s">
        <v>1391</v>
      </c>
      <c r="I9" s="1011" t="s">
        <v>112</v>
      </c>
      <c r="O9" s="1011" t="s">
        <v>1392</v>
      </c>
      <c r="V9" s="1032" t="s">
        <v>112</v>
      </c>
      <c r="W9" s="1019"/>
      <c r="X9" s="1010" t="s">
        <v>190</v>
      </c>
      <c r="Y9" s="1010" t="s">
        <v>1228</v>
      </c>
      <c r="Z9" s="106">
        <v>1</v>
      </c>
      <c r="AA9" s="858"/>
      <c r="AK9" s="1011" t="s">
        <v>1393</v>
      </c>
      <c r="AP9" s="793" t="s">
        <v>1394</v>
      </c>
      <c r="AQ9" s="1022" t="s">
        <v>1394</v>
      </c>
      <c r="AW9" s="1023" t="s">
        <v>1395</v>
      </c>
      <c r="AX9" s="1023" t="s">
        <v>1395</v>
      </c>
      <c r="AZ9" s="1023" t="s">
        <v>1396</v>
      </c>
      <c r="BB9" s="1023" t="s">
        <v>1397</v>
      </c>
      <c r="BC9" s="1023" t="s">
        <v>1329</v>
      </c>
      <c r="BE9" s="1023">
        <v>2007</v>
      </c>
      <c r="BF9" s="1023" t="s">
        <v>1398</v>
      </c>
      <c r="BH9" s="1025" t="s">
        <v>1399</v>
      </c>
      <c r="BJ9" s="1025" t="s">
        <v>1400</v>
      </c>
      <c r="BL9" s="1025" t="s">
        <v>1400</v>
      </c>
      <c r="BN9" s="1025" t="s">
        <v>1401</v>
      </c>
      <c r="BQ9" s="1023">
        <v>4213777</v>
      </c>
      <c r="BR9" s="1025" t="s">
        <v>172</v>
      </c>
      <c r="BS9" s="1028"/>
      <c r="BT9" s="1023">
        <v>64236875</v>
      </c>
      <c r="BU9" s="1025" t="s">
        <v>249</v>
      </c>
      <c r="BV9" s="253"/>
      <c r="BW9" s="63"/>
      <c r="BX9" s="63"/>
    </row>
    <row r="10" ht="11.25" customHeight="1">
      <c r="A10" s="143" t="s">
        <v>1402</v>
      </c>
      <c r="B10" s="1010">
        <v>2008</v>
      </c>
      <c r="E10" s="1011" t="s">
        <v>1403</v>
      </c>
      <c r="F10" s="184"/>
      <c r="G10" s="1011" t="s">
        <v>1404</v>
      </c>
      <c r="H10" s="1011" t="s">
        <v>1405</v>
      </c>
      <c r="I10" s="1011" t="s">
        <v>148</v>
      </c>
      <c r="J10" s="1003" t="s">
        <v>1406</v>
      </c>
      <c r="K10" s="1003" t="s">
        <v>1407</v>
      </c>
      <c r="O10" s="1011" t="s">
        <v>1408</v>
      </c>
      <c r="V10" s="1034" t="s">
        <v>148</v>
      </c>
      <c r="W10" s="1035"/>
      <c r="X10" s="1035" t="s">
        <v>1409</v>
      </c>
      <c r="Y10" s="1036" t="s">
        <v>1410</v>
      </c>
      <c r="Z10" s="106"/>
      <c r="AP10" s="793" t="s">
        <v>1409</v>
      </c>
      <c r="AQ10" s="1022" t="s">
        <v>1409</v>
      </c>
      <c r="AW10" s="1023" t="s">
        <v>1411</v>
      </c>
      <c r="AX10" s="1023" t="s">
        <v>1411</v>
      </c>
      <c r="AZ10" s="1023" t="s">
        <v>1412</v>
      </c>
      <c r="BB10" s="1023" t="s">
        <v>1413</v>
      </c>
      <c r="BC10" s="1023" t="s">
        <v>1329</v>
      </c>
      <c r="BE10" s="1023">
        <v>2008</v>
      </c>
      <c r="BF10" s="1023" t="s">
        <v>1414</v>
      </c>
      <c r="BH10" s="1025" t="s">
        <v>1415</v>
      </c>
      <c r="BJ10" s="1025" t="s">
        <v>1416</v>
      </c>
      <c r="BL10" s="1025" t="s">
        <v>1416</v>
      </c>
      <c r="BN10" s="1025" t="s">
        <v>1417</v>
      </c>
      <c r="BQ10" s="1023">
        <v>4213778</v>
      </c>
      <c r="BR10" s="1025" t="s">
        <v>178</v>
      </c>
      <c r="BS10" s="1028"/>
      <c r="BT10" s="1023">
        <v>64236876</v>
      </c>
      <c r="BU10" s="1025" t="s">
        <v>229</v>
      </c>
      <c r="BV10" s="253"/>
      <c r="BW10" s="63"/>
      <c r="BX10" s="63"/>
    </row>
    <row r="11" ht="11.25" customHeight="1">
      <c r="A11" s="143" t="s">
        <v>1418</v>
      </c>
      <c r="B11" s="1010">
        <v>2009</v>
      </c>
      <c r="E11" s="1011" t="s">
        <v>1419</v>
      </c>
      <c r="F11" s="184"/>
      <c r="G11" s="1011" t="s">
        <v>1420</v>
      </c>
      <c r="H11" s="1011" t="s">
        <v>1421</v>
      </c>
      <c r="I11" s="1011" t="s">
        <v>149</v>
      </c>
      <c r="J11" s="1011" t="s">
        <v>1422</v>
      </c>
      <c r="K11" s="1037" t="s">
        <v>1423</v>
      </c>
      <c r="O11" s="1011" t="s">
        <v>1424</v>
      </c>
      <c r="V11" s="1032" t="s">
        <v>149</v>
      </c>
      <c r="W11" s="1038"/>
      <c r="X11" s="1019" t="s">
        <v>1394</v>
      </c>
      <c r="Y11" s="1010" t="s">
        <v>1425</v>
      </c>
      <c r="Z11" s="106"/>
      <c r="AP11" s="793" t="s">
        <v>190</v>
      </c>
      <c r="AQ11" s="1039" t="s">
        <v>190</v>
      </c>
      <c r="AW11" s="1023" t="s">
        <v>1426</v>
      </c>
      <c r="AX11" s="1023" t="s">
        <v>1426</v>
      </c>
      <c r="AZ11" s="1023" t="s">
        <v>1427</v>
      </c>
      <c r="BB11" s="1023" t="s">
        <v>1428</v>
      </c>
      <c r="BC11" s="1023" t="s">
        <v>1329</v>
      </c>
      <c r="BE11" s="1023">
        <v>2009</v>
      </c>
      <c r="BF11" s="1023" t="s">
        <v>1429</v>
      </c>
      <c r="BH11" s="1025" t="s">
        <v>1430</v>
      </c>
      <c r="BJ11" s="1025" t="s">
        <v>1399</v>
      </c>
      <c r="BL11" s="1025" t="s">
        <v>1399</v>
      </c>
      <c r="BN11" s="1025" t="s">
        <v>1431</v>
      </c>
      <c r="BQ11" s="1023">
        <v>4213780</v>
      </c>
      <c r="BR11" s="1025" t="s">
        <v>184</v>
      </c>
      <c r="BS11" s="1028"/>
      <c r="BW11" s="63"/>
      <c r="BX11" s="63"/>
    </row>
    <row r="12" ht="11.25" customHeight="1">
      <c r="A12" s="143" t="s">
        <v>1432</v>
      </c>
      <c r="B12" s="1010">
        <v>2010</v>
      </c>
      <c r="E12" s="1011" t="s">
        <v>1433</v>
      </c>
      <c r="F12" s="184"/>
      <c r="G12" s="1011" t="s">
        <v>1421</v>
      </c>
      <c r="I12" s="1011" t="s">
        <v>150</v>
      </c>
      <c r="J12" s="1011" t="s">
        <v>1434</v>
      </c>
      <c r="K12" s="1037" t="s">
        <v>1435</v>
      </c>
      <c r="O12" s="1011" t="s">
        <v>1222</v>
      </c>
      <c r="V12" s="1032" t="s">
        <v>150</v>
      </c>
      <c r="W12" s="1039"/>
      <c r="X12" s="1019" t="s">
        <v>1436</v>
      </c>
      <c r="Y12" s="1010" t="s">
        <v>1228</v>
      </c>
      <c r="AP12" s="793"/>
      <c r="AW12" s="1023" t="s">
        <v>149</v>
      </c>
      <c r="AX12" s="1023" t="s">
        <v>149</v>
      </c>
      <c r="AZ12" s="1023" t="s">
        <v>1437</v>
      </c>
      <c r="BB12" s="1023" t="s">
        <v>1438</v>
      </c>
      <c r="BC12" s="1023" t="s">
        <v>1329</v>
      </c>
      <c r="BE12" s="1023">
        <v>2010</v>
      </c>
      <c r="BF12" s="1023" t="s">
        <v>1439</v>
      </c>
      <c r="BH12" s="1025" t="s">
        <v>1440</v>
      </c>
      <c r="BJ12" s="1025" t="s">
        <v>1441</v>
      </c>
      <c r="BL12" s="1025" t="s">
        <v>1441</v>
      </c>
      <c r="BN12" s="1025" t="s">
        <v>1442</v>
      </c>
      <c r="BQ12" s="1023">
        <v>4213779</v>
      </c>
      <c r="BR12" s="1025" t="s">
        <v>1394</v>
      </c>
      <c r="BS12" s="1028"/>
      <c r="BT12" s="253"/>
      <c r="BU12" s="253"/>
      <c r="BV12" s="253"/>
      <c r="BW12" s="63"/>
      <c r="BX12" s="63"/>
    </row>
    <row r="13" ht="11.25" customHeight="1">
      <c r="A13" s="143" t="s">
        <v>1443</v>
      </c>
      <c r="B13" s="1010">
        <v>2011</v>
      </c>
      <c r="E13" s="1011" t="s">
        <v>1444</v>
      </c>
      <c r="F13" s="184"/>
      <c r="I13" s="1011" t="s">
        <v>151</v>
      </c>
      <c r="K13" s="1037" t="s">
        <v>1393</v>
      </c>
      <c r="V13" s="1032" t="s">
        <v>151</v>
      </c>
      <c r="W13" s="1039"/>
      <c r="X13" s="1039"/>
      <c r="Y13" s="1039"/>
      <c r="AW13" s="1023" t="s">
        <v>150</v>
      </c>
      <c r="AX13" s="1023" t="s">
        <v>150</v>
      </c>
      <c r="BB13" s="1023" t="s">
        <v>1445</v>
      </c>
      <c r="BC13" s="1023" t="s">
        <v>1446</v>
      </c>
      <c r="BE13" s="1023">
        <v>2011</v>
      </c>
      <c r="BF13" s="1023" t="s">
        <v>1447</v>
      </c>
      <c r="BH13" s="1025" t="s">
        <v>1448</v>
      </c>
      <c r="BJ13" s="1025" t="s">
        <v>1430</v>
      </c>
      <c r="BL13" s="1025" t="s">
        <v>1430</v>
      </c>
      <c r="BN13" s="1025" t="s">
        <v>1449</v>
      </c>
      <c r="BQ13" s="1023">
        <v>4213783</v>
      </c>
      <c r="BR13" s="1025" t="s">
        <v>1409</v>
      </c>
      <c r="BS13" s="1028"/>
      <c r="BT13" s="253"/>
      <c r="BU13" s="253"/>
      <c r="BV13" s="253"/>
      <c r="BW13" s="253"/>
      <c r="BX13" s="63"/>
    </row>
    <row r="14" ht="11.25" customHeight="1">
      <c r="A14" s="143" t="s">
        <v>1450</v>
      </c>
      <c r="B14" s="1010">
        <v>2012</v>
      </c>
      <c r="I14" s="1011" t="s">
        <v>152</v>
      </c>
      <c r="J14" s="1003" t="s">
        <v>1451</v>
      </c>
      <c r="N14" s="1003" t="s">
        <v>1452</v>
      </c>
      <c r="V14" s="1018">
        <v>13</v>
      </c>
      <c r="W14" s="1019"/>
      <c r="X14" s="1019" t="s">
        <v>1260</v>
      </c>
      <c r="Y14" s="1010" t="s">
        <v>1228</v>
      </c>
      <c r="AW14" s="1023" t="s">
        <v>151</v>
      </c>
      <c r="AX14" s="1023" t="s">
        <v>151</v>
      </c>
      <c r="AZ14" s="1003" t="s">
        <v>1453</v>
      </c>
      <c r="BB14" s="1023" t="s">
        <v>1454</v>
      </c>
      <c r="BC14" s="1023" t="s">
        <v>1446</v>
      </c>
      <c r="BE14" s="1023">
        <v>2012</v>
      </c>
      <c r="BH14" s="1025" t="s">
        <v>1369</v>
      </c>
      <c r="BJ14" s="1040" t="s">
        <v>1455</v>
      </c>
      <c r="BL14" s="1040" t="s">
        <v>1455</v>
      </c>
      <c r="BN14" s="1025" t="s">
        <v>1456</v>
      </c>
      <c r="BQ14" s="1023">
        <v>4213782</v>
      </c>
      <c r="BR14" s="1025" t="s">
        <v>190</v>
      </c>
      <c r="BS14" s="1028"/>
      <c r="BT14" s="253"/>
      <c r="BU14" s="253"/>
      <c r="BV14" s="253"/>
      <c r="BW14" s="253"/>
      <c r="BX14" s="63"/>
    </row>
    <row r="15" ht="19.5" customHeight="1">
      <c r="A15" s="143" t="s">
        <v>1457</v>
      </c>
      <c r="B15" s="1010">
        <v>2013</v>
      </c>
      <c r="E15" s="1041" t="s">
        <v>1458</v>
      </c>
      <c r="G15" s="1003" t="s">
        <v>1459</v>
      </c>
      <c r="H15" s="1003" t="s">
        <v>1460</v>
      </c>
      <c r="I15" s="1012" t="s">
        <v>153</v>
      </c>
      <c r="J15" s="1039" t="s">
        <v>587</v>
      </c>
      <c r="N15" s="1042" t="s">
        <v>1461</v>
      </c>
      <c r="X15" s="793"/>
      <c r="AW15" s="1023" t="s">
        <v>152</v>
      </c>
      <c r="AX15" s="1023" t="s">
        <v>152</v>
      </c>
      <c r="AZ15" s="1023" t="s">
        <v>1380</v>
      </c>
      <c r="BB15" s="1023" t="s">
        <v>1462</v>
      </c>
      <c r="BC15" s="1023" t="s">
        <v>1446</v>
      </c>
      <c r="BE15" s="1023">
        <v>2013</v>
      </c>
      <c r="BH15" s="1025" t="s">
        <v>1385</v>
      </c>
      <c r="BJ15" s="1040" t="s">
        <v>1463</v>
      </c>
      <c r="BL15" s="1040" t="s">
        <v>1463</v>
      </c>
      <c r="BN15" s="1025" t="s">
        <v>1464</v>
      </c>
      <c r="BR15" s="253"/>
      <c r="BS15" s="253"/>
      <c r="BT15" s="253"/>
      <c r="BU15" s="253"/>
      <c r="BV15" s="253"/>
      <c r="BW15" s="253"/>
      <c r="BX15" s="63"/>
    </row>
    <row r="16" ht="21" customHeight="1">
      <c r="A16" s="1043" t="s">
        <v>1465</v>
      </c>
      <c r="B16" s="1010">
        <v>2014</v>
      </c>
      <c r="E16" s="1044" t="s">
        <v>1466</v>
      </c>
      <c r="G16" s="1011" t="s">
        <v>1467</v>
      </c>
      <c r="H16" s="1011" t="s">
        <v>1468</v>
      </c>
      <c r="I16" s="1012" t="s">
        <v>1469</v>
      </c>
      <c r="J16" s="1039" t="s">
        <v>560</v>
      </c>
      <c r="N16" s="1042" t="s">
        <v>1470</v>
      </c>
      <c r="AW16" s="1023" t="s">
        <v>153</v>
      </c>
      <c r="AX16" s="1023" t="s">
        <v>153</v>
      </c>
      <c r="AZ16" s="1023" t="s">
        <v>1396</v>
      </c>
      <c r="BB16" s="1023" t="s">
        <v>1471</v>
      </c>
      <c r="BC16" s="1023" t="s">
        <v>1446</v>
      </c>
      <c r="BE16" s="1023">
        <v>2014</v>
      </c>
      <c r="BH16" s="1025" t="s">
        <v>1401</v>
      </c>
      <c r="BJ16" s="1040" t="s">
        <v>1472</v>
      </c>
      <c r="BL16" s="1040" t="s">
        <v>1472</v>
      </c>
      <c r="BN16" s="1025" t="s">
        <v>1473</v>
      </c>
      <c r="BR16" s="253"/>
      <c r="BS16" s="253"/>
      <c r="BT16" s="253"/>
      <c r="BU16" s="253"/>
      <c r="BV16" s="253"/>
      <c r="BW16" s="253"/>
      <c r="BX16" s="63"/>
    </row>
    <row r="17" ht="21" customHeight="1">
      <c r="A17" s="143" t="s">
        <v>1474</v>
      </c>
      <c r="B17" s="1010">
        <v>2015</v>
      </c>
      <c r="G17" s="1011" t="s">
        <v>1421</v>
      </c>
      <c r="H17" s="1011" t="s">
        <v>1421</v>
      </c>
      <c r="I17" s="1011" t="s">
        <v>1475</v>
      </c>
      <c r="N17" s="1042" t="s">
        <v>1476</v>
      </c>
      <c r="X17" s="793"/>
      <c r="AW17" s="1023" t="s">
        <v>1469</v>
      </c>
      <c r="AX17" s="1023" t="s">
        <v>1469</v>
      </c>
      <c r="AZ17" s="1023" t="s">
        <v>1477</v>
      </c>
      <c r="BB17" s="1023" t="s">
        <v>1478</v>
      </c>
      <c r="BC17" s="1023" t="s">
        <v>1329</v>
      </c>
      <c r="BE17" s="1023">
        <v>2015</v>
      </c>
      <c r="BH17" s="1025" t="s">
        <v>1417</v>
      </c>
      <c r="BJ17" s="1040" t="s">
        <v>1479</v>
      </c>
      <c r="BL17" s="1040" t="s">
        <v>1479</v>
      </c>
      <c r="BN17" s="1025" t="s">
        <v>1480</v>
      </c>
      <c r="BR17" s="1003" t="s">
        <v>1271</v>
      </c>
      <c r="BS17" s="1024"/>
      <c r="BU17" s="1003" t="s">
        <v>1481</v>
      </c>
      <c r="BV17" s="253"/>
      <c r="BW17" s="63"/>
      <c r="BX17" s="1003" t="s">
        <v>1482</v>
      </c>
      <c r="CA17" s="1003" t="s">
        <v>1483</v>
      </c>
      <c r="CD17" s="1003" t="s">
        <v>1484</v>
      </c>
    </row>
    <row r="18" ht="21" customHeight="1">
      <c r="A18" s="143" t="s">
        <v>1485</v>
      </c>
      <c r="B18" s="1010">
        <v>2016</v>
      </c>
      <c r="E18" s="1045" t="s">
        <v>1486</v>
      </c>
      <c r="I18" s="1011" t="s">
        <v>1487</v>
      </c>
      <c r="N18" s="1042" t="s">
        <v>1488</v>
      </c>
      <c r="X18" s="793"/>
      <c r="AW18" s="1023" t="s">
        <v>1475</v>
      </c>
      <c r="AX18" s="1023" t="s">
        <v>1475</v>
      </c>
      <c r="BB18" s="1023" t="s">
        <v>1489</v>
      </c>
      <c r="BC18" s="1023" t="s">
        <v>1329</v>
      </c>
      <c r="BE18" s="1023">
        <v>2016</v>
      </c>
      <c r="BH18" s="1025" t="s">
        <v>1431</v>
      </c>
      <c r="BJ18" s="1040" t="s">
        <v>1490</v>
      </c>
      <c r="BL18" s="1040" t="s">
        <v>1490</v>
      </c>
      <c r="BN18" s="1025" t="s">
        <v>1491</v>
      </c>
      <c r="BQ18" s="1026" t="s">
        <v>1301</v>
      </c>
      <c r="BR18" s="793" t="s">
        <v>1302</v>
      </c>
      <c r="BS18" s="793"/>
      <c r="BT18" s="1026" t="s">
        <v>1492</v>
      </c>
      <c r="BU18" s="793" t="s">
        <v>1493</v>
      </c>
      <c r="BV18" s="253"/>
      <c r="BW18" s="1026" t="s">
        <v>1494</v>
      </c>
      <c r="BX18" s="793" t="s">
        <v>1495</v>
      </c>
      <c r="BZ18" s="1026" t="s">
        <v>1496</v>
      </c>
      <c r="CA18" s="793" t="s">
        <v>1497</v>
      </c>
      <c r="CC18" s="1026" t="s">
        <v>1498</v>
      </c>
      <c r="CD18" s="793" t="s">
        <v>1499</v>
      </c>
    </row>
    <row r="19" ht="21" customHeight="1">
      <c r="A19" s="1043" t="s">
        <v>1500</v>
      </c>
      <c r="B19" s="1010">
        <v>2017</v>
      </c>
      <c r="E19" s="143" t="s">
        <v>160</v>
      </c>
      <c r="I19" s="1011" t="s">
        <v>1501</v>
      </c>
      <c r="N19" s="1042" t="s">
        <v>1502</v>
      </c>
      <c r="X19" s="793"/>
      <c r="AW19" s="1023" t="s">
        <v>1487</v>
      </c>
      <c r="AX19" s="1023" t="s">
        <v>1487</v>
      </c>
      <c r="AZ19" s="1003" t="s">
        <v>1503</v>
      </c>
      <c r="BB19" s="1023" t="s">
        <v>1504</v>
      </c>
      <c r="BC19" s="1023" t="s">
        <v>1329</v>
      </c>
      <c r="BE19" s="1023">
        <v>2017</v>
      </c>
      <c r="BH19" s="1025" t="s">
        <v>1505</v>
      </c>
      <c r="BJ19" s="1040" t="s">
        <v>1506</v>
      </c>
      <c r="BL19" s="1040" t="s">
        <v>1506</v>
      </c>
      <c r="BQ19" s="1023">
        <v>4190064</v>
      </c>
      <c r="BR19" s="1025" t="s">
        <v>1507</v>
      </c>
      <c r="BS19" s="1028"/>
      <c r="BT19" s="1023">
        <v>4189671</v>
      </c>
      <c r="BU19" s="1025" t="s">
        <v>1508</v>
      </c>
      <c r="BV19" s="253"/>
      <c r="BW19" s="1023">
        <v>4189706</v>
      </c>
      <c r="BX19" s="1025" t="s">
        <v>1509</v>
      </c>
      <c r="BZ19" s="1023">
        <v>4189714</v>
      </c>
      <c r="CA19" s="1025" t="s">
        <v>1510</v>
      </c>
      <c r="CC19" s="1023">
        <v>4189708</v>
      </c>
      <c r="CD19" s="1025" t="s">
        <v>1511</v>
      </c>
    </row>
    <row r="20" ht="21" customHeight="1">
      <c r="A20" s="143" t="s">
        <v>1512</v>
      </c>
      <c r="B20" s="1010">
        <v>2018</v>
      </c>
      <c r="E20" s="143" t="s">
        <v>1260</v>
      </c>
      <c r="I20" s="1011" t="s">
        <v>1513</v>
      </c>
      <c r="N20" s="1042" t="s">
        <v>1514</v>
      </c>
      <c r="AW20" s="1023" t="s">
        <v>1501</v>
      </c>
      <c r="AX20" s="1023" t="s">
        <v>1501</v>
      </c>
      <c r="AZ20" s="1023" t="s">
        <v>1515</v>
      </c>
      <c r="BB20" s="1023" t="s">
        <v>1516</v>
      </c>
      <c r="BC20" s="1023" t="s">
        <v>1446</v>
      </c>
      <c r="BE20" s="1023">
        <v>2018</v>
      </c>
      <c r="BH20" s="1025" t="s">
        <v>1442</v>
      </c>
      <c r="BJ20" s="1025" t="s">
        <v>1369</v>
      </c>
      <c r="BL20" s="1025" t="s">
        <v>1369</v>
      </c>
      <c r="BQ20" s="1023">
        <v>4190065</v>
      </c>
      <c r="BR20" s="1025" t="s">
        <v>1517</v>
      </c>
      <c r="BS20" s="1028"/>
      <c r="BT20" s="1023">
        <v>4189672</v>
      </c>
      <c r="BU20" s="1025" t="s">
        <v>1518</v>
      </c>
      <c r="BV20" s="253"/>
      <c r="BW20" s="1023">
        <v>4189705</v>
      </c>
      <c r="BX20" s="1025" t="s">
        <v>1519</v>
      </c>
      <c r="BZ20" s="1023">
        <v>4189713</v>
      </c>
      <c r="CA20" s="1025" t="s">
        <v>1519</v>
      </c>
      <c r="CC20" s="1023">
        <v>4189709</v>
      </c>
      <c r="CD20" s="1025" t="s">
        <v>1520</v>
      </c>
    </row>
    <row r="21" ht="21" customHeight="1">
      <c r="A21" s="143" t="s">
        <v>1521</v>
      </c>
      <c r="B21" s="1010">
        <v>2019</v>
      </c>
      <c r="I21" s="1011" t="s">
        <v>1522</v>
      </c>
      <c r="N21" s="1042" t="s">
        <v>1523</v>
      </c>
      <c r="AW21" s="1023" t="s">
        <v>1513</v>
      </c>
      <c r="AX21" s="1023" t="s">
        <v>1513</v>
      </c>
      <c r="AZ21" s="1023" t="s">
        <v>1524</v>
      </c>
      <c r="BB21" s="1023" t="s">
        <v>1525</v>
      </c>
      <c r="BC21" s="1023" t="s">
        <v>1329</v>
      </c>
      <c r="BE21" s="1023">
        <v>2019</v>
      </c>
      <c r="BH21" s="1025" t="s">
        <v>1449</v>
      </c>
      <c r="BJ21" s="1025" t="s">
        <v>1385</v>
      </c>
      <c r="BL21" s="1025" t="s">
        <v>1385</v>
      </c>
      <c r="BQ21" s="1023">
        <v>4190066</v>
      </c>
      <c r="BR21" s="1025" t="s">
        <v>1526</v>
      </c>
      <c r="BS21" s="1028"/>
      <c r="BT21" s="1023">
        <v>4189673</v>
      </c>
      <c r="BU21" s="1025" t="s">
        <v>1527</v>
      </c>
      <c r="BV21" s="253"/>
      <c r="BW21" s="1023">
        <v>4189707</v>
      </c>
      <c r="BX21" s="1025" t="s">
        <v>1528</v>
      </c>
      <c r="BZ21" s="1023">
        <v>4189712</v>
      </c>
      <c r="CA21" s="1025" t="s">
        <v>1529</v>
      </c>
      <c r="CC21" s="1023">
        <v>4189710</v>
      </c>
      <c r="CD21" s="1025" t="s">
        <v>1530</v>
      </c>
    </row>
    <row r="22" ht="21" customHeight="1">
      <c r="A22" s="143" t="s">
        <v>1531</v>
      </c>
      <c r="B22" s="1010">
        <v>2020</v>
      </c>
      <c r="N22" s="1042" t="s">
        <v>1532</v>
      </c>
      <c r="AW22" s="1023" t="s">
        <v>1522</v>
      </c>
      <c r="AX22" s="1023" t="s">
        <v>1522</v>
      </c>
      <c r="AZ22" s="1023" t="s">
        <v>1533</v>
      </c>
      <c r="BB22" s="1023" t="s">
        <v>1534</v>
      </c>
      <c r="BC22" s="1023" t="s">
        <v>1329</v>
      </c>
      <c r="BE22" s="1023">
        <v>2020</v>
      </c>
      <c r="BH22" s="1025" t="s">
        <v>1456</v>
      </c>
      <c r="BJ22" s="1025" t="s">
        <v>1401</v>
      </c>
      <c r="BL22" s="1025" t="s">
        <v>1401</v>
      </c>
      <c r="BQ22" s="1023">
        <v>4190067</v>
      </c>
      <c r="BR22" s="1025" t="s">
        <v>1535</v>
      </c>
      <c r="BS22" s="1028"/>
      <c r="BT22" s="1023">
        <v>4189674</v>
      </c>
      <c r="BU22" s="1025" t="s">
        <v>1536</v>
      </c>
      <c r="BV22" s="253"/>
      <c r="BW22" s="253"/>
      <c r="CC22" s="1023">
        <v>4189711</v>
      </c>
      <c r="CD22" s="1025" t="s">
        <v>298</v>
      </c>
    </row>
    <row r="23" ht="21" customHeight="1">
      <c r="A23" s="143" t="s">
        <v>1537</v>
      </c>
      <c r="B23" s="1010">
        <v>2021</v>
      </c>
      <c r="AW23" s="1023" t="s">
        <v>1538</v>
      </c>
      <c r="AX23" s="1023" t="s">
        <v>1538</v>
      </c>
      <c r="AZ23" s="1023" t="s">
        <v>1539</v>
      </c>
      <c r="BB23" s="1023" t="s">
        <v>1540</v>
      </c>
      <c r="BC23" s="1023" t="s">
        <v>1238</v>
      </c>
      <c r="BE23" s="1023">
        <v>2021</v>
      </c>
      <c r="BH23" s="1025" t="s">
        <v>1464</v>
      </c>
      <c r="BJ23" s="1025" t="s">
        <v>1417</v>
      </c>
      <c r="BL23" s="1025" t="s">
        <v>1417</v>
      </c>
      <c r="BQ23" s="1023">
        <v>4190068</v>
      </c>
      <c r="BR23" s="1025" t="s">
        <v>1541</v>
      </c>
      <c r="BS23" s="1028"/>
      <c r="BT23" s="1023">
        <v>4189675</v>
      </c>
      <c r="BU23" s="1025" t="s">
        <v>1542</v>
      </c>
      <c r="BV23" s="253"/>
      <c r="BW23" s="253"/>
      <c r="CC23" s="1023">
        <v>5110778</v>
      </c>
      <c r="CD23" s="1025" t="s">
        <v>1543</v>
      </c>
    </row>
    <row r="24" ht="21" customHeight="1">
      <c r="A24" s="143" t="s">
        <v>1544</v>
      </c>
      <c r="B24" s="1010">
        <v>2022</v>
      </c>
      <c r="AW24" s="1023" t="s">
        <v>1545</v>
      </c>
      <c r="AX24" s="1023" t="s">
        <v>1545</v>
      </c>
      <c r="AZ24" s="1023" t="s">
        <v>1546</v>
      </c>
      <c r="BB24" s="1023" t="s">
        <v>1547</v>
      </c>
      <c r="BC24" s="1023" t="s">
        <v>1548</v>
      </c>
      <c r="BE24" s="1023">
        <v>2022</v>
      </c>
      <c r="BH24" s="1025" t="s">
        <v>1473</v>
      </c>
      <c r="BJ24" s="1025" t="s">
        <v>1431</v>
      </c>
      <c r="BL24" s="1025" t="s">
        <v>1431</v>
      </c>
      <c r="BQ24" s="1023">
        <v>4190069</v>
      </c>
      <c r="BR24" s="1025" t="s">
        <v>1549</v>
      </c>
      <c r="BS24" s="1028"/>
      <c r="BT24" s="1023">
        <v>4189676</v>
      </c>
      <c r="BU24" s="1025" t="s">
        <v>1550</v>
      </c>
      <c r="BV24" s="253"/>
      <c r="BW24" s="253"/>
      <c r="CC24" s="1023">
        <v>25575374</v>
      </c>
      <c r="CD24" s="1025" t="s">
        <v>1551</v>
      </c>
    </row>
    <row r="25" ht="11.25" customHeight="1">
      <c r="A25" s="143" t="s">
        <v>1552</v>
      </c>
      <c r="B25" s="1010">
        <v>2023</v>
      </c>
      <c r="AW25" s="1023" t="s">
        <v>1553</v>
      </c>
      <c r="AX25" s="1023" t="s">
        <v>1553</v>
      </c>
      <c r="AZ25" s="1023" t="s">
        <v>1554</v>
      </c>
      <c r="BB25" s="1023" t="s">
        <v>1555</v>
      </c>
      <c r="BC25" s="1023" t="s">
        <v>1548</v>
      </c>
      <c r="BE25" s="1023">
        <v>2023</v>
      </c>
      <c r="BH25" s="1025" t="s">
        <v>1480</v>
      </c>
      <c r="BJ25" s="1025" t="s">
        <v>1505</v>
      </c>
      <c r="BL25" s="1025" t="s">
        <v>1505</v>
      </c>
      <c r="BQ25" s="1023">
        <v>4190070</v>
      </c>
      <c r="BR25" s="1025" t="s">
        <v>1556</v>
      </c>
      <c r="BS25" s="1028"/>
      <c r="BT25" s="1023">
        <v>4189677</v>
      </c>
      <c r="BU25" s="1025" t="s">
        <v>1557</v>
      </c>
      <c r="BV25" s="253"/>
      <c r="BW25" s="253"/>
    </row>
    <row r="26" ht="11.25" customHeight="1">
      <c r="A26" s="143" t="s">
        <v>1558</v>
      </c>
      <c r="B26" s="1010">
        <v>2024</v>
      </c>
      <c r="J26" s="1046" t="s">
        <v>1559</v>
      </c>
      <c r="AX26" s="1023" t="s">
        <v>1560</v>
      </c>
      <c r="AZ26" s="1023" t="s">
        <v>1424</v>
      </c>
      <c r="BB26" s="1023" t="s">
        <v>1561</v>
      </c>
      <c r="BC26" s="1023" t="s">
        <v>1548</v>
      </c>
      <c r="BE26" s="1023">
        <v>2024</v>
      </c>
      <c r="BH26" s="1025" t="s">
        <v>1491</v>
      </c>
      <c r="BJ26" s="1025" t="s">
        <v>1442</v>
      </c>
      <c r="BL26" s="1025" t="s">
        <v>1442</v>
      </c>
      <c r="BQ26" s="1023">
        <v>4190071</v>
      </c>
      <c r="BR26" s="1025" t="s">
        <v>1562</v>
      </c>
      <c r="BS26" s="1028"/>
      <c r="BV26" s="253"/>
      <c r="BW26" s="253"/>
    </row>
    <row r="27" ht="11.25" customHeight="1">
      <c r="A27" s="143" t="s">
        <v>1563</v>
      </c>
      <c r="B27" s="1010">
        <v>2025</v>
      </c>
      <c r="J27" s="149" t="s">
        <v>693</v>
      </c>
      <c r="AX27" s="1023" t="s">
        <v>1564</v>
      </c>
      <c r="BB27" s="1023" t="s">
        <v>1565</v>
      </c>
      <c r="BC27" s="1023" t="s">
        <v>1548</v>
      </c>
      <c r="BE27" s="1023">
        <v>2025</v>
      </c>
      <c r="BH27" s="253" t="s">
        <v>28</v>
      </c>
      <c r="BJ27" s="1025" t="s">
        <v>1449</v>
      </c>
      <c r="BL27" s="1025" t="s">
        <v>1449</v>
      </c>
      <c r="BN27" s="253" t="s">
        <v>28</v>
      </c>
      <c r="BQ27" s="1023">
        <v>4190072</v>
      </c>
      <c r="BR27" s="1025" t="s">
        <v>1566</v>
      </c>
      <c r="BS27" s="1028"/>
      <c r="BV27" s="253"/>
      <c r="BW27" s="253"/>
    </row>
    <row r="28" ht="11.25" customHeight="1">
      <c r="A28" s="143" t="s">
        <v>1567</v>
      </c>
      <c r="D28" s="143"/>
      <c r="E28" s="1047"/>
      <c r="F28" s="1047"/>
      <c r="H28" s="251" t="s">
        <v>1568</v>
      </c>
      <c r="AX28" s="1023" t="s">
        <v>1569</v>
      </c>
      <c r="AZ28" s="1003" t="s">
        <v>1570</v>
      </c>
      <c r="BB28" s="1023" t="s">
        <v>1571</v>
      </c>
      <c r="BC28" s="1023" t="s">
        <v>1572</v>
      </c>
      <c r="BE28" s="1023">
        <v>2026</v>
      </c>
      <c r="BH28" s="253" t="s">
        <v>28</v>
      </c>
      <c r="BJ28" s="1025" t="s">
        <v>1456</v>
      </c>
      <c r="BL28" s="1025" t="s">
        <v>1456</v>
      </c>
      <c r="BN28" s="253" t="s">
        <v>28</v>
      </c>
      <c r="BQ28" s="1023">
        <v>4190073</v>
      </c>
      <c r="BR28" s="1025" t="s">
        <v>1573</v>
      </c>
      <c r="BS28" s="1028"/>
      <c r="BV28" s="253"/>
      <c r="BW28" s="253"/>
    </row>
    <row r="29" ht="11.25" customHeight="1">
      <c r="A29" s="143" t="s">
        <v>1574</v>
      </c>
      <c r="D29" s="1048" t="s">
        <v>1575</v>
      </c>
      <c r="E29" s="1049" t="str">
        <f>IF(TEMPLATE_GROUP="","",INDEX(StartDateList,MATCH(TEMPLATE_GROUP,CodeTemplateList,0),1))</f>
        <v>01.01.2022</v>
      </c>
      <c r="F29" s="1049" t="str">
        <f>IF(TEMPLATE_GROUP="","",INDEX(EndDateList,MATCH(TEMPLATE_GROUP,CodeTemplateList,0),1))</f>
        <v>31.12.2028</v>
      </c>
      <c r="H29" s="1050" t="s">
        <v>1576</v>
      </c>
      <c r="AX29" s="1023" t="s">
        <v>1577</v>
      </c>
      <c r="AZ29" s="1023" t="s">
        <v>1223</v>
      </c>
      <c r="BB29" s="1023" t="s">
        <v>1424</v>
      </c>
      <c r="BC29" s="106"/>
      <c r="BE29" s="1023">
        <v>2027</v>
      </c>
      <c r="BJ29" s="1025" t="s">
        <v>1464</v>
      </c>
      <c r="BL29" s="1025" t="s">
        <v>1464</v>
      </c>
    </row>
    <row r="30" ht="11.25" customHeight="1">
      <c r="A30" s="143" t="s">
        <v>1578</v>
      </c>
      <c r="D30" s="1051"/>
      <c r="E30" s="267"/>
      <c r="F30" s="267"/>
      <c r="AX30" s="1023" t="s">
        <v>1579</v>
      </c>
      <c r="AZ30" s="1023" t="s">
        <v>1249</v>
      </c>
      <c r="BE30" s="1023">
        <v>2028</v>
      </c>
      <c r="BJ30" s="1025" t="s">
        <v>1580</v>
      </c>
      <c r="BL30" s="1025" t="s">
        <v>1580</v>
      </c>
    </row>
    <row r="31" ht="12.75" customHeight="1">
      <c r="A31" s="143" t="s">
        <v>1581</v>
      </c>
      <c r="D31" s="143"/>
      <c r="E31" s="1047"/>
      <c r="F31" s="1047"/>
      <c r="H31" s="1052"/>
      <c r="AX31" s="1023" t="s">
        <v>1582</v>
      </c>
      <c r="AZ31" s="1023" t="s">
        <v>1583</v>
      </c>
      <c r="BE31" s="1023">
        <v>2029</v>
      </c>
      <c r="BJ31" s="1025" t="s">
        <v>1584</v>
      </c>
      <c r="BL31" s="1025" t="s">
        <v>1584</v>
      </c>
    </row>
    <row r="32" ht="11.25" customHeight="1">
      <c r="A32" s="143" t="s">
        <v>1585</v>
      </c>
      <c r="D32" s="1048" t="s">
        <v>1586</v>
      </c>
      <c r="E32" s="1049" t="str">
        <f>IF(TEMPLATE_GROUP="","",INDEX(StartDateList,MATCH(TEMPLATE_GROUP,CodeTemplateList,0),1))</f>
        <v>01.01.2022</v>
      </c>
      <c r="F32" s="1049" t="str">
        <f>IF(TEMPLATE_GROUP="","",INDEX(EndDateList,MATCH(TEMPLATE_GROUP,CodeTemplateList,0),1))</f>
        <v>31.12.2028</v>
      </c>
      <c r="H32" s="1053" t="s">
        <v>1587</v>
      </c>
      <c r="O32" s="143" t="s">
        <v>1220</v>
      </c>
      <c r="AX32" s="1023" t="s">
        <v>1588</v>
      </c>
      <c r="AZ32" s="1023" t="s">
        <v>1317</v>
      </c>
      <c r="BE32" s="1023">
        <v>2030</v>
      </c>
      <c r="BJ32" s="1025" t="s">
        <v>1473</v>
      </c>
      <c r="BL32" s="1025" t="s">
        <v>1473</v>
      </c>
    </row>
    <row r="33" ht="11.25" customHeight="1">
      <c r="A33" s="143" t="s">
        <v>1589</v>
      </c>
      <c r="O33" s="143" t="s">
        <v>1247</v>
      </c>
      <c r="AX33" s="1023" t="s">
        <v>1590</v>
      </c>
      <c r="AZ33" s="1023" t="s">
        <v>1222</v>
      </c>
      <c r="BE33" s="1023">
        <v>2031</v>
      </c>
      <c r="BJ33" s="1025" t="s">
        <v>1480</v>
      </c>
      <c r="BL33" s="1025" t="s">
        <v>1480</v>
      </c>
    </row>
    <row r="34" ht="11.25" customHeight="1">
      <c r="A34" s="143" t="s">
        <v>1591</v>
      </c>
      <c r="O34" s="143" t="s">
        <v>1282</v>
      </c>
      <c r="AX34" s="1023" t="s">
        <v>1592</v>
      </c>
      <c r="BE34" s="1023">
        <v>2032</v>
      </c>
      <c r="BJ34" s="1025" t="s">
        <v>1491</v>
      </c>
      <c r="BL34" s="1025" t="s">
        <v>1491</v>
      </c>
    </row>
    <row r="35" ht="11.25" customHeight="1">
      <c r="A35" s="143" t="s">
        <v>1593</v>
      </c>
      <c r="O35" s="143" t="s">
        <v>1315</v>
      </c>
      <c r="AX35" s="1023" t="s">
        <v>1594</v>
      </c>
      <c r="AZ35" s="1003" t="s">
        <v>1595</v>
      </c>
      <c r="BE35" s="1023">
        <v>2033</v>
      </c>
      <c r="BL35" s="1025" t="s">
        <v>1596</v>
      </c>
    </row>
    <row r="36" ht="11.25" customHeight="1">
      <c r="A36" s="1043" t="s">
        <v>1597</v>
      </c>
      <c r="D36" s="1054" t="s">
        <v>1598</v>
      </c>
      <c r="E36" s="1055" t="s">
        <v>812</v>
      </c>
      <c r="F36" s="1022" t="str">
        <f>INDEX(E37:E41,MATCH(TEMPLATE_SPHERE,F37:F41,0))</f>
        <v>теплоснабжения</v>
      </c>
      <c r="G36" s="1022" t="str">
        <f>INDEX(G37:G41,MATCH(TEMPLATE_SPHERE,F37:F41,0))</f>
        <v>теплоснабжение</v>
      </c>
      <c r="O36" s="143" t="s">
        <v>1340</v>
      </c>
      <c r="AX36" s="1023" t="s">
        <v>1599</v>
      </c>
      <c r="AZ36" s="1023" t="s">
        <v>1222</v>
      </c>
      <c r="BE36" s="1023">
        <v>2034</v>
      </c>
      <c r="BL36" s="1025" t="s">
        <v>1600</v>
      </c>
    </row>
    <row r="37" ht="11.25" customHeight="1">
      <c r="A37" s="143" t="s">
        <v>1601</v>
      </c>
      <c r="E37" s="1056" t="s">
        <v>1602</v>
      </c>
      <c r="F37" s="1057" t="s">
        <v>812</v>
      </c>
      <c r="G37" s="1056" t="s">
        <v>1603</v>
      </c>
      <c r="O37" s="143" t="s">
        <v>1359</v>
      </c>
      <c r="AX37" s="1023" t="s">
        <v>1604</v>
      </c>
      <c r="AZ37" s="1023" t="s">
        <v>1248</v>
      </c>
      <c r="BE37" s="1023">
        <v>2035</v>
      </c>
    </row>
    <row r="38" ht="11.25" customHeight="1">
      <c r="A38" s="143" t="s">
        <v>1605</v>
      </c>
      <c r="E38" s="1056" t="s">
        <v>1606</v>
      </c>
      <c r="F38" s="1058" t="s">
        <v>858</v>
      </c>
      <c r="G38" s="1056" t="s">
        <v>1607</v>
      </c>
      <c r="O38" s="143" t="s">
        <v>1376</v>
      </c>
      <c r="AX38" s="1023" t="s">
        <v>1608</v>
      </c>
      <c r="AZ38" s="1023" t="s">
        <v>1283</v>
      </c>
      <c r="BE38" s="1023">
        <v>2036</v>
      </c>
      <c r="BH38" s="1003" t="s">
        <v>1609</v>
      </c>
      <c r="BJ38" s="1003" t="s">
        <v>1610</v>
      </c>
      <c r="BL38" s="1003" t="s">
        <v>1611</v>
      </c>
      <c r="BN38" s="1003" t="s">
        <v>1612</v>
      </c>
    </row>
    <row r="39" ht="11.25" customHeight="1">
      <c r="A39" s="143" t="s">
        <v>1613</v>
      </c>
      <c r="E39" s="1056" t="s">
        <v>1614</v>
      </c>
      <c r="F39" s="1058" t="s">
        <v>911</v>
      </c>
      <c r="G39" s="1056" t="s">
        <v>1615</v>
      </c>
      <c r="O39" s="143" t="s">
        <v>1392</v>
      </c>
      <c r="AX39" s="1023" t="s">
        <v>1616</v>
      </c>
      <c r="AZ39" s="1023" t="s">
        <v>1316</v>
      </c>
      <c r="BE39" s="1023">
        <v>2037</v>
      </c>
      <c r="BH39" s="1025" t="s">
        <v>1617</v>
      </c>
      <c r="BJ39" s="1040" t="s">
        <v>1617</v>
      </c>
      <c r="BL39" s="1040" t="s">
        <v>1617</v>
      </c>
      <c r="BN39" s="1025" t="s">
        <v>1618</v>
      </c>
    </row>
    <row r="40" ht="11.25" customHeight="1">
      <c r="A40" s="143" t="s">
        <v>1619</v>
      </c>
      <c r="E40" s="1056" t="s">
        <v>1620</v>
      </c>
      <c r="F40" s="1058" t="s">
        <v>898</v>
      </c>
      <c r="G40" s="1056" t="s">
        <v>1621</v>
      </c>
      <c r="O40" s="143" t="s">
        <v>1408</v>
      </c>
      <c r="AX40" s="1023" t="s">
        <v>1622</v>
      </c>
      <c r="BE40" s="1023">
        <v>2038</v>
      </c>
      <c r="BH40" s="1025" t="s">
        <v>1623</v>
      </c>
      <c r="BJ40" s="1040" t="s">
        <v>1031</v>
      </c>
      <c r="BL40" s="1040" t="s">
        <v>1031</v>
      </c>
      <c r="BN40" s="1025" t="s">
        <v>1065</v>
      </c>
    </row>
    <row r="41" ht="11.25" customHeight="1">
      <c r="A41" s="143" t="s">
        <v>1624</v>
      </c>
      <c r="E41" s="1056" t="s">
        <v>1625</v>
      </c>
      <c r="F41" s="1058" t="s">
        <v>1626</v>
      </c>
      <c r="G41" s="1056" t="s">
        <v>1625</v>
      </c>
      <c r="O41" s="143" t="s">
        <v>1424</v>
      </c>
      <c r="AX41" s="1023" t="s">
        <v>1627</v>
      </c>
      <c r="AZ41" s="1003" t="s">
        <v>1628</v>
      </c>
      <c r="BE41" s="1023">
        <v>2039</v>
      </c>
      <c r="BH41" s="1025" t="s">
        <v>1629</v>
      </c>
      <c r="BJ41" s="1040" t="s">
        <v>1027</v>
      </c>
      <c r="BL41" s="1040" t="s">
        <v>1027</v>
      </c>
      <c r="BN41" s="1025" t="s">
        <v>1052</v>
      </c>
    </row>
    <row r="42" ht="11.25" customHeight="1">
      <c r="A42" s="143" t="s">
        <v>1630</v>
      </c>
      <c r="AX42" s="1023" t="s">
        <v>1631</v>
      </c>
      <c r="AZ42" s="1023" t="s">
        <v>1220</v>
      </c>
      <c r="BE42" s="1023">
        <v>2040</v>
      </c>
      <c r="BH42" s="1025" t="s">
        <v>1049</v>
      </c>
      <c r="BJ42" s="1040" t="s">
        <v>1029</v>
      </c>
      <c r="BL42" s="1040" t="s">
        <v>1029</v>
      </c>
      <c r="BN42" s="1025" t="s">
        <v>1632</v>
      </c>
    </row>
    <row r="43" ht="11.25" customHeight="1">
      <c r="A43" s="143" t="s">
        <v>1633</v>
      </c>
      <c r="AX43" s="1023" t="s">
        <v>1634</v>
      </c>
      <c r="AZ43" s="1023" t="s">
        <v>1247</v>
      </c>
      <c r="BE43" s="1023">
        <v>2041</v>
      </c>
      <c r="BH43" s="1025" t="s">
        <v>1635</v>
      </c>
      <c r="BJ43" s="1040" t="s">
        <v>1629</v>
      </c>
      <c r="BL43" s="1040" t="s">
        <v>1629</v>
      </c>
      <c r="BN43" s="1025" t="s">
        <v>1636</v>
      </c>
    </row>
    <row r="44" ht="11.25" customHeight="1">
      <c r="A44" s="143" t="s">
        <v>1637</v>
      </c>
      <c r="G44" s="858">
        <f ca="1">YEAR(TODAY())</f>
        <v>2026</v>
      </c>
      <c r="I44" s="1059" t="s">
        <v>1638</v>
      </c>
      <c r="J44" s="1039" t="s">
        <v>1639</v>
      </c>
      <c r="K44" s="1039" t="s">
        <v>1640</v>
      </c>
      <c r="AX44" s="1023" t="s">
        <v>1641</v>
      </c>
      <c r="AZ44" s="1023" t="s">
        <v>1282</v>
      </c>
      <c r="BE44" s="1023">
        <v>2042</v>
      </c>
      <c r="BH44" s="1025" t="s">
        <v>1642</v>
      </c>
      <c r="BJ44" s="1040" t="s">
        <v>1049</v>
      </c>
      <c r="BL44" s="1040" t="s">
        <v>1049</v>
      </c>
      <c r="BN44" s="1025" t="s">
        <v>1643</v>
      </c>
    </row>
    <row r="45" ht="11.25" customHeight="1">
      <c r="A45" s="143" t="s">
        <v>1644</v>
      </c>
      <c r="D45" s="1054" t="s">
        <v>1645</v>
      </c>
      <c r="E45" s="1055" t="s">
        <v>1646</v>
      </c>
      <c r="F45" s="1004" t="s">
        <v>1647</v>
      </c>
      <c r="G45" s="1060" t="s">
        <v>1648</v>
      </c>
      <c r="H45" s="1059" t="s">
        <v>1649</v>
      </c>
      <c r="I45" s="1061" t="b">
        <f>INDEX(PeriodIsEmptyList,MATCH(TEMPLATE_GROUP,CodeTemplateList,0),1)</f>
        <v>0</v>
      </c>
      <c r="J45" s="1062" t="str">
        <f>INDEX(NameTemplatesInTitleList,MATCH(TEMPLATE_GROUP,CodeTemplateList,0),1)</f>
        <v xml:space="preserve">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062" t="str">
        <f>"Перечень муниципальных районов и муниципальных образований (территорий "&amp;IF(OR(TEMPLATE_GROUP="P",TEMPLATE_GROUP="R",TEMPLATE_GROUP="Q"),"действия тарифа","оказания услуг")&amp;")"</f>
        <v xml:space="preserve">Перечень муниципальных районов и муниципальных образований (территорий действия тарифа)</v>
      </c>
      <c r="AX45" s="1023" t="s">
        <v>1650</v>
      </c>
      <c r="AZ45" s="1023" t="s">
        <v>1315</v>
      </c>
      <c r="BE45" s="1023">
        <v>2043</v>
      </c>
      <c r="BH45" s="1025" t="s">
        <v>1651</v>
      </c>
      <c r="BJ45" s="1040" t="s">
        <v>1043</v>
      </c>
      <c r="BL45" s="1040" t="s">
        <v>1043</v>
      </c>
      <c r="BN45" s="1025" t="s">
        <v>1652</v>
      </c>
    </row>
    <row r="46" ht="11.25" customHeight="1">
      <c r="A46" s="143" t="s">
        <v>1653</v>
      </c>
      <c r="E46" s="1056" t="s">
        <v>26</v>
      </c>
      <c r="F46" s="1057" t="s">
        <v>1654</v>
      </c>
      <c r="G46" s="1063" t="str">
        <f>_xlfn.IFERROR(IF(TITLE_DATE_FIL="","01.01."&amp;CURRENT_YEAR,"01.01."&amp;YEAR(TITLE_DATE_FIL)),"01.01."&amp;CURRENT_YEAR)</f>
        <v>01.01.2026</v>
      </c>
      <c r="H46" s="1063" t="str">
        <f>_xlfn.IFERROR(IF(TITLE_DATE_FIL="","31.12."&amp;CURRENT_YEAR,"31.12."&amp;YEAR(TITLE_DATE_FIL)),"31.12."&amp;CURRENT_YEAR)</f>
        <v>31.12.2026</v>
      </c>
      <c r="I46" s="1064" t="b">
        <f>IF(TITLE_DATE_FIL="",TRUE,FALSE)</f>
        <v>1</v>
      </c>
      <c r="J46" s="1065" t="str">
        <f>"Общая информация о регулируемой организации ("&amp;TEMPLATE_SPHERE_RUS&amp;")"</f>
        <v xml:space="preserve">Общая информация о регулируемой организации (теплоснабжения)</v>
      </c>
      <c r="K46" s="1066"/>
      <c r="AX46" s="1023" t="s">
        <v>1655</v>
      </c>
      <c r="AZ46" s="1023" t="s">
        <v>1340</v>
      </c>
      <c r="BE46" s="1023">
        <v>2044</v>
      </c>
      <c r="BH46" s="1025" t="s">
        <v>1052</v>
      </c>
      <c r="BJ46" s="1040" t="s">
        <v>1033</v>
      </c>
      <c r="BL46" s="1040" t="s">
        <v>1033</v>
      </c>
      <c r="BN46" s="1025" t="s">
        <v>1656</v>
      </c>
    </row>
    <row r="47" ht="11.25" customHeight="1">
      <c r="A47" s="143" t="s">
        <v>1657</v>
      </c>
      <c r="E47" s="1056" t="s">
        <v>33</v>
      </c>
      <c r="F47" s="1058" t="s">
        <v>1658</v>
      </c>
      <c r="G47" s="1063" t="str">
        <f>_xlfn.IFERROR(IF(f_year="","01.01."&amp;CURRENT_YEAR,IF(LEN(f_quart)=0,"01.01."&amp;f_year,IF(f_quart="I квартал","01.01."&amp;f_year,IF(f_quart="II квартал","01.04."&amp;f_year,(IF(f_quart="III квартал","01.07."&amp;f_year,"01.10."&amp;f_year)))))),"01.01."&amp;CURRENT_YEAR)</f>
        <v>01.01.2026</v>
      </c>
      <c r="H47" s="1063" t="str">
        <f>_xlfn.IFERROR(IF(f_year="","31.12."&amp;CURRENT_YEAR,IF(LEN(f_quart)=0,"31.12."&amp;f_year,IF(f_quart="I квартал","31.03."&amp;f_year,IF(f_quart="II квартал","30.06."&amp;f_year,(IF(f_quart="III квартал","30.09."&amp;f_year,"31.12."&amp;f_year)))))),"31.12."&amp;CURRENT_YEAR)</f>
        <v>31.12.2026</v>
      </c>
      <c r="I47" s="1067" t="b">
        <f>IF(OR(f_year="",f_quart=""),TRUE,FALSE)</f>
        <v>1</v>
      </c>
      <c r="J47" s="106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 xml:space="preserve">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066"/>
      <c r="AX47" s="1023" t="s">
        <v>1659</v>
      </c>
      <c r="AZ47" s="1023" t="s">
        <v>1359</v>
      </c>
      <c r="BE47" s="1023">
        <v>2045</v>
      </c>
      <c r="BH47" s="1025" t="s">
        <v>1632</v>
      </c>
      <c r="BJ47" s="1040" t="s">
        <v>1035</v>
      </c>
      <c r="BL47" s="1040" t="s">
        <v>1035</v>
      </c>
      <c r="BN47" s="1025" t="s">
        <v>1660</v>
      </c>
    </row>
    <row r="48" ht="11.25" customHeight="1">
      <c r="A48" s="143" t="s">
        <v>1661</v>
      </c>
      <c r="E48" s="1056" t="s">
        <v>1662</v>
      </c>
      <c r="F48" s="1058" t="s">
        <v>1663</v>
      </c>
      <c r="G48" s="1063" t="str">
        <f t="shared" ref="G48:G50" si="50">_xlfn.IFERROR(IF(f_year="","01.01."&amp;CURRENT_YEAR,"01.01."&amp;f_year),"01.01."&amp;CURRENT_YEAR)</f>
        <v>01.01.2026</v>
      </c>
      <c r="H48" s="1063" t="str">
        <f t="shared" ref="H48:H50" si="51">_xlfn.IFERROR(IF(f_year="","31.12."&amp;CURRENT_YEAR,"31.12."&amp;f_year),"31.12."&amp;CURRENT_YEAR)</f>
        <v>31.12.2026</v>
      </c>
      <c r="I48" s="1064" t="b">
        <f t="shared" ref="I48:I50" si="52">IF(f_year="",TRUE,FALSE)</f>
        <v>1</v>
      </c>
      <c r="J48" s="1065" t="s">
        <v>1664</v>
      </c>
      <c r="K48" s="1066"/>
      <c r="AX48" s="1023" t="s">
        <v>1665</v>
      </c>
      <c r="AZ48" s="1023" t="s">
        <v>1376</v>
      </c>
      <c r="BE48" s="1023">
        <v>2046</v>
      </c>
      <c r="BH48" s="1025" t="s">
        <v>1636</v>
      </c>
      <c r="BJ48" s="1040" t="s">
        <v>1037</v>
      </c>
      <c r="BL48" s="1040" t="s">
        <v>1037</v>
      </c>
      <c r="BN48" s="1025" t="s">
        <v>1666</v>
      </c>
    </row>
    <row r="49" ht="11.25" customHeight="1">
      <c r="A49" s="143" t="s">
        <v>16</v>
      </c>
      <c r="E49" s="1056" t="s">
        <v>1667</v>
      </c>
      <c r="F49" s="1058" t="s">
        <v>1668</v>
      </c>
      <c r="G49" s="1063" t="str">
        <f t="shared" si="50"/>
        <v>01.01.2026</v>
      </c>
      <c r="H49" s="1063" t="str">
        <f t="shared" si="51"/>
        <v>31.12.2026</v>
      </c>
      <c r="I49" s="1064" t="b">
        <f t="shared" si="52"/>
        <v>1</v>
      </c>
      <c r="J49" s="1065" t="str">
        <f>"Информация об условиях, на которых осуществляется поставка товаров (оказание услуг) в сфере "&amp;TEMPLATE_SPHERE_RUS</f>
        <v xml:space="preserve">Информация об условиях, на которых осуществляется поставка товаров (оказание услуг) в сфере теплоснабжения</v>
      </c>
      <c r="K49" s="1066"/>
      <c r="AX49" s="1023" t="s">
        <v>1669</v>
      </c>
      <c r="AZ49" s="1023" t="s">
        <v>1392</v>
      </c>
      <c r="BE49" s="1023">
        <v>2047</v>
      </c>
      <c r="BH49" s="1025" t="s">
        <v>1053</v>
      </c>
      <c r="BJ49" s="1040" t="s">
        <v>1039</v>
      </c>
      <c r="BL49" s="1040" t="s">
        <v>1039</v>
      </c>
    </row>
    <row r="50" ht="11.25" customHeight="1">
      <c r="A50" s="143" t="s">
        <v>1670</v>
      </c>
      <c r="E50" s="1056" t="s">
        <v>1671</v>
      </c>
      <c r="F50" s="1058" t="s">
        <v>1023</v>
      </c>
      <c r="G50" s="1063" t="str">
        <f t="shared" si="50"/>
        <v>01.01.2026</v>
      </c>
      <c r="H50" s="1063" t="str">
        <f t="shared" si="51"/>
        <v>31.12.2026</v>
      </c>
      <c r="I50" s="1064" t="b">
        <f t="shared" si="52"/>
        <v>1</v>
      </c>
      <c r="J50" s="1065" t="str">
        <f>"Информация об инвестиционных программах регулируемой организации в области "&amp;TEMPLATE_SPHERE_RUS</f>
        <v xml:space="preserve">Информация об инвестиционных программах регулируемой организации в области теплоснабжения</v>
      </c>
      <c r="K50" s="1066"/>
      <c r="AX50" s="1023" t="s">
        <v>1672</v>
      </c>
      <c r="AZ50" s="1023" t="s">
        <v>1408</v>
      </c>
      <c r="BE50" s="1023">
        <v>2048</v>
      </c>
      <c r="BH50" s="1025" t="s">
        <v>1643</v>
      </c>
      <c r="BJ50" s="1040" t="s">
        <v>1041</v>
      </c>
      <c r="BL50" s="1040" t="s">
        <v>1041</v>
      </c>
    </row>
    <row r="51" ht="11.25" customHeight="1">
      <c r="A51" s="143" t="s">
        <v>1673</v>
      </c>
      <c r="E51" s="1056" t="s">
        <v>1674</v>
      </c>
      <c r="F51" s="1058" t="s">
        <v>1646</v>
      </c>
      <c r="G51" s="1063" t="str">
        <f t="shared" ref="G51:G52" si="53">_xlfn.IFERROR(IF(TITLE_PERIOD_START="","01.01."&amp;CURRENT_YEAR,"01.01."&amp;YEAR(TITLE_PERIOD_START)),"01.01."&amp;CURRENT_YEAR)</f>
        <v>01.01.2022</v>
      </c>
      <c r="H51" s="1063" t="str">
        <f t="shared" ref="H51:H52" si="54">_xlfn.IFERROR(IF(TITLE_PERIOD_END="","31.12."&amp;CURRENT_YEAR,"31.12."&amp;YEAR(TITLE_PERIOD_END)),"31.12."&amp;CURRENT_YEAR)</f>
        <v>31.12.2028</v>
      </c>
      <c r="I51" s="1067" t="b">
        <f t="shared" ref="I51:I52" si="55">IF(OR(TITLE_PERIOD_START="",TITLE_PERIOD_END=""),TRUE,FALSE)</f>
        <v>0</v>
      </c>
      <c r="J51" s="106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 xml:space="preserve">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066"/>
      <c r="AX51" s="1023" t="s">
        <v>1675</v>
      </c>
      <c r="AZ51" s="1023" t="s">
        <v>1424</v>
      </c>
      <c r="BE51" s="1023">
        <v>2049</v>
      </c>
      <c r="BH51" s="1025" t="s">
        <v>1652</v>
      </c>
      <c r="BJ51" s="1040" t="s">
        <v>1676</v>
      </c>
      <c r="BL51" s="1040" t="s">
        <v>1676</v>
      </c>
    </row>
    <row r="52" ht="11.25" customHeight="1">
      <c r="A52" s="143" t="s">
        <v>1677</v>
      </c>
      <c r="E52" s="1056" t="s">
        <v>1678</v>
      </c>
      <c r="F52" s="1058" t="s">
        <v>1679</v>
      </c>
      <c r="G52" s="1063" t="str">
        <f t="shared" si="53"/>
        <v>01.01.2022</v>
      </c>
      <c r="H52" s="1063" t="str">
        <f t="shared" si="54"/>
        <v>31.12.2028</v>
      </c>
      <c r="I52" s="1067" t="b">
        <f t="shared" si="55"/>
        <v>0</v>
      </c>
      <c r="J52" s="1065" t="str">
        <f>"Показатели, подлежащие раскрытию в сфере "&amp;TEMPLATE_SPHERE_RUS&amp;" (цены и тарифы)"</f>
        <v xml:space="preserve">Показатели, подлежащие раскрытию в сфере теплоснабжения (цены и тарифы)</v>
      </c>
      <c r="K52" s="1066"/>
      <c r="AX52" s="1023" t="s">
        <v>1680</v>
      </c>
      <c r="AZ52" s="1023" t="s">
        <v>1222</v>
      </c>
      <c r="BE52" s="1023">
        <v>2050</v>
      </c>
      <c r="BH52" s="1025" t="s">
        <v>1656</v>
      </c>
      <c r="BJ52" s="1040" t="s">
        <v>1052</v>
      </c>
      <c r="BL52" s="1040" t="s">
        <v>1052</v>
      </c>
    </row>
    <row r="53" ht="11.25" customHeight="1">
      <c r="A53" s="143" t="s">
        <v>1681</v>
      </c>
      <c r="E53" s="1056" t="s">
        <v>1682</v>
      </c>
      <c r="F53" s="1058" t="s">
        <v>1682</v>
      </c>
      <c r="G53" s="1063" t="str">
        <f>_xlfn.IFERROR(IF(f_year="","01.01."&amp;CURRENT_YEAR,"01.01."&amp;f_year),"01.01."&amp;CURRENT_YEAR)</f>
        <v>01.01.2026</v>
      </c>
      <c r="H53" s="1063" t="str">
        <f>_xlfn.IFERROR(IF(f_year="","31.12."&amp;CURRENT_YEAR,"31.12."&amp;f_year),"31.12."&amp;CURRENT_YEAR)</f>
        <v>31.12.2026</v>
      </c>
      <c r="I53" s="1064" t="b">
        <f>IF(AND(f_year="",TITLE_DATE_FIL=""),TRUE,FALSE)</f>
        <v>1</v>
      </c>
      <c r="J53" s="1065" t="s">
        <v>1683</v>
      </c>
      <c r="K53" s="1066"/>
      <c r="AX53" s="1023" t="s">
        <v>1684</v>
      </c>
      <c r="BE53" s="1023">
        <v>2051</v>
      </c>
      <c r="BH53" s="1025" t="s">
        <v>1660</v>
      </c>
      <c r="BJ53" s="1040" t="s">
        <v>1632</v>
      </c>
      <c r="BL53" s="1040" t="s">
        <v>1632</v>
      </c>
    </row>
    <row r="54" ht="11.25" customHeight="1">
      <c r="A54" s="143" t="s">
        <v>1685</v>
      </c>
      <c r="AX54" s="1023" t="s">
        <v>1686</v>
      </c>
      <c r="AZ54" s="1003" t="s">
        <v>1687</v>
      </c>
      <c r="BE54" s="1023">
        <v>2052</v>
      </c>
      <c r="BH54" s="1025" t="s">
        <v>1666</v>
      </c>
      <c r="BJ54" s="1040" t="s">
        <v>1636</v>
      </c>
      <c r="BL54" s="1040" t="s">
        <v>1636</v>
      </c>
    </row>
    <row r="55" ht="11.25" customHeight="1">
      <c r="A55" s="143" t="s">
        <v>1688</v>
      </c>
      <c r="AX55" s="1023" t="s">
        <v>1689</v>
      </c>
      <c r="AZ55" s="1023" t="s">
        <v>1224</v>
      </c>
      <c r="BE55" s="1023">
        <v>2053</v>
      </c>
      <c r="BH55" s="253" t="s">
        <v>28</v>
      </c>
      <c r="BJ55" s="1040" t="s">
        <v>1053</v>
      </c>
      <c r="BL55" s="1040" t="s">
        <v>1053</v>
      </c>
    </row>
    <row r="56" ht="11.25" customHeight="1">
      <c r="A56" s="143" t="s">
        <v>1690</v>
      </c>
      <c r="D56" s="1068" t="s">
        <v>1691</v>
      </c>
      <c r="E56" s="1039" t="s">
        <v>111</v>
      </c>
      <c r="F56" s="143" t="s">
        <v>1692</v>
      </c>
      <c r="AX56" s="1023" t="s">
        <v>1693</v>
      </c>
      <c r="AZ56" s="1023" t="s">
        <v>1250</v>
      </c>
      <c r="BE56" s="1023">
        <v>2054</v>
      </c>
      <c r="BH56" s="253" t="s">
        <v>28</v>
      </c>
      <c r="BJ56" s="1040" t="s">
        <v>1643</v>
      </c>
      <c r="BL56" s="1040" t="s">
        <v>1643</v>
      </c>
    </row>
    <row r="57" ht="11.25" customHeight="1">
      <c r="A57" s="143" t="s">
        <v>1694</v>
      </c>
      <c r="D57" s="1068" t="s">
        <v>1695</v>
      </c>
      <c r="E57" s="1039" t="s">
        <v>111</v>
      </c>
      <c r="F57" s="143" t="s">
        <v>1692</v>
      </c>
      <c r="AX57" s="1023" t="s">
        <v>1696</v>
      </c>
      <c r="AZ57" s="1023" t="s">
        <v>1285</v>
      </c>
      <c r="BE57" s="1023">
        <v>2055</v>
      </c>
      <c r="BJ57" s="1040" t="s">
        <v>1652</v>
      </c>
      <c r="BL57" s="1040" t="s">
        <v>1652</v>
      </c>
    </row>
    <row r="58" ht="11.25" customHeight="1">
      <c r="A58" s="143" t="s">
        <v>1697</v>
      </c>
      <c r="D58" s="1068" t="s">
        <v>1698</v>
      </c>
      <c r="E58" s="1039" t="s">
        <v>111</v>
      </c>
      <c r="F58" s="143" t="s">
        <v>1692</v>
      </c>
      <c r="AX58" s="1023" t="s">
        <v>1699</v>
      </c>
      <c r="BE58" s="1023">
        <v>2056</v>
      </c>
      <c r="BJ58" s="1040" t="s">
        <v>1656</v>
      </c>
      <c r="BL58" s="1040" t="s">
        <v>1656</v>
      </c>
    </row>
    <row r="59" ht="11.25" customHeight="1">
      <c r="A59" s="143" t="s">
        <v>1700</v>
      </c>
      <c r="D59" s="1068" t="s">
        <v>131</v>
      </c>
      <c r="E59" s="1039" t="s">
        <v>1588</v>
      </c>
      <c r="F59" s="143" t="s">
        <v>1701</v>
      </c>
      <c r="AX59" s="1023" t="s">
        <v>1702</v>
      </c>
      <c r="AZ59" s="1003" t="s">
        <v>1703</v>
      </c>
      <c r="BE59" s="1023">
        <v>2057</v>
      </c>
      <c r="BJ59" s="1040" t="s">
        <v>1660</v>
      </c>
      <c r="BL59" s="1040" t="s">
        <v>1660</v>
      </c>
    </row>
    <row r="60" ht="11.25" customHeight="1">
      <c r="A60" s="143" t="s">
        <v>1704</v>
      </c>
      <c r="D60" s="1068" t="s">
        <v>1705</v>
      </c>
      <c r="E60" s="1039" t="s">
        <v>1588</v>
      </c>
      <c r="F60" s="143" t="s">
        <v>1701</v>
      </c>
      <c r="AX60" s="1023" t="s">
        <v>1706</v>
      </c>
      <c r="AZ60" s="1023" t="s">
        <v>1225</v>
      </c>
      <c r="BE60" s="1023">
        <v>2058</v>
      </c>
      <c r="BJ60" s="1040" t="s">
        <v>1666</v>
      </c>
      <c r="BL60" s="1040" t="s">
        <v>1666</v>
      </c>
    </row>
    <row r="61" ht="11.25" customHeight="1">
      <c r="A61" s="143" t="s">
        <v>1707</v>
      </c>
      <c r="D61" s="1068" t="s">
        <v>1708</v>
      </c>
      <c r="E61" s="1039" t="s">
        <v>1588</v>
      </c>
      <c r="F61" s="143" t="s">
        <v>1701</v>
      </c>
      <c r="AX61" s="1023" t="s">
        <v>1709</v>
      </c>
      <c r="AZ61" s="1023" t="s">
        <v>1251</v>
      </c>
      <c r="BE61" s="1023">
        <v>2059</v>
      </c>
      <c r="BL61" s="1040" t="s">
        <v>1045</v>
      </c>
    </row>
    <row r="62" ht="11.25" customHeight="1">
      <c r="A62" s="143" t="s">
        <v>1710</v>
      </c>
      <c r="D62" s="1068" t="s">
        <v>130</v>
      </c>
      <c r="E62" s="1039">
        <v>30</v>
      </c>
      <c r="F62" s="143" t="s">
        <v>1701</v>
      </c>
      <c r="AZ62" s="1023" t="s">
        <v>1286</v>
      </c>
      <c r="BE62" s="1023">
        <v>2060</v>
      </c>
      <c r="BL62" s="1040" t="s">
        <v>1047</v>
      </c>
    </row>
    <row r="63" ht="11.25" customHeight="1">
      <c r="A63" s="143" t="s">
        <v>1711</v>
      </c>
      <c r="D63" s="1068" t="s">
        <v>1712</v>
      </c>
      <c r="E63" s="1039">
        <v>30</v>
      </c>
      <c r="F63" s="143" t="s">
        <v>1701</v>
      </c>
      <c r="AZ63" s="1023" t="s">
        <v>1318</v>
      </c>
      <c r="BE63" s="1023">
        <v>2061</v>
      </c>
    </row>
    <row r="64" ht="11.25" customHeight="1">
      <c r="A64" s="143" t="s">
        <v>1713</v>
      </c>
      <c r="D64" s="1068" t="s">
        <v>1714</v>
      </c>
      <c r="E64" s="1039">
        <v>30</v>
      </c>
      <c r="F64" s="143" t="s">
        <v>1701</v>
      </c>
      <c r="AZ64" s="1023" t="s">
        <v>1341</v>
      </c>
      <c r="BE64" s="1023">
        <v>2062</v>
      </c>
    </row>
    <row r="65" ht="11.25" customHeight="1">
      <c r="A65" s="143" t="s">
        <v>1715</v>
      </c>
      <c r="D65" s="143"/>
      <c r="BE65" s="1023">
        <v>2063</v>
      </c>
    </row>
    <row r="66" ht="11.25" customHeight="1">
      <c r="A66" s="143" t="s">
        <v>1716</v>
      </c>
      <c r="AZ66" s="1003" t="s">
        <v>1717</v>
      </c>
      <c r="BE66" s="1023">
        <v>2064</v>
      </c>
    </row>
    <row r="67" ht="11.25" customHeight="1">
      <c r="A67" s="143" t="s">
        <v>1718</v>
      </c>
      <c r="AZ67" s="1023" t="s">
        <v>1226</v>
      </c>
      <c r="BE67" s="1023">
        <v>2065</v>
      </c>
    </row>
    <row r="68" ht="11.25" customHeight="1">
      <c r="A68" s="143" t="s">
        <v>1719</v>
      </c>
      <c r="AZ68" s="1023" t="s">
        <v>1252</v>
      </c>
      <c r="BE68" s="1023">
        <v>2066</v>
      </c>
      <c r="BH68" s="1003" t="s">
        <v>1720</v>
      </c>
      <c r="BJ68" s="1003" t="s">
        <v>1721</v>
      </c>
      <c r="BL68" s="1003" t="s">
        <v>1722</v>
      </c>
      <c r="BN68" s="1003" t="s">
        <v>1723</v>
      </c>
    </row>
    <row r="69" ht="11.25" customHeight="1">
      <c r="A69" s="143" t="s">
        <v>1724</v>
      </c>
      <c r="AZ69" s="1023" t="s">
        <v>1287</v>
      </c>
      <c r="BE69" s="1023">
        <v>2067</v>
      </c>
      <c r="BH69" s="1025" t="s">
        <v>1725</v>
      </c>
      <c r="BI69" s="253" t="s">
        <v>109</v>
      </c>
      <c r="BJ69" s="1025" t="s">
        <v>1726</v>
      </c>
      <c r="BK69" s="253" t="s">
        <v>109</v>
      </c>
      <c r="BL69" s="1025" t="s">
        <v>1727</v>
      </c>
      <c r="BM69" s="253" t="s">
        <v>109</v>
      </c>
      <c r="BN69" s="1025" t="s">
        <v>1728</v>
      </c>
    </row>
    <row r="70" ht="11.25" customHeight="1">
      <c r="A70" s="143" t="s">
        <v>1729</v>
      </c>
      <c r="AZ70" s="1023" t="s">
        <v>1319</v>
      </c>
      <c r="BE70" s="1023">
        <v>2068</v>
      </c>
      <c r="BH70" s="1025" t="s">
        <v>1730</v>
      </c>
      <c r="BJ70" s="1025" t="s">
        <v>1731</v>
      </c>
      <c r="BL70" s="1025" t="s">
        <v>1732</v>
      </c>
      <c r="BN70" s="1025" t="s">
        <v>1733</v>
      </c>
    </row>
    <row r="71" ht="11.25" customHeight="1">
      <c r="A71" s="143" t="s">
        <v>1734</v>
      </c>
      <c r="AZ71" s="1023" t="s">
        <v>1321</v>
      </c>
      <c r="BE71" s="1023">
        <v>2069</v>
      </c>
      <c r="BH71" s="1025" t="s">
        <v>1735</v>
      </c>
      <c r="BI71" s="253" t="s">
        <v>91</v>
      </c>
      <c r="BJ71" s="1025" t="s">
        <v>1736</v>
      </c>
      <c r="BK71" s="253" t="s">
        <v>91</v>
      </c>
      <c r="BL71" s="1025" t="s">
        <v>1737</v>
      </c>
      <c r="BM71" s="253" t="s">
        <v>91</v>
      </c>
      <c r="BN71" s="1025" t="s">
        <v>1738</v>
      </c>
    </row>
    <row r="72" ht="11.25" customHeight="1">
      <c r="A72" s="143" t="s">
        <v>1739</v>
      </c>
      <c r="AZ72" s="1023" t="s">
        <v>19</v>
      </c>
      <c r="BE72" s="1023">
        <v>2070</v>
      </c>
      <c r="BH72" s="1025" t="s">
        <v>1740</v>
      </c>
      <c r="BJ72" s="1025" t="s">
        <v>1740</v>
      </c>
      <c r="BL72" s="1025" t="s">
        <v>1740</v>
      </c>
      <c r="BN72" s="1025" t="s">
        <v>1741</v>
      </c>
    </row>
    <row r="73" ht="11.25" customHeight="1">
      <c r="A73" s="143" t="s">
        <v>1742</v>
      </c>
      <c r="BH73" s="1025" t="s">
        <v>1743</v>
      </c>
      <c r="BI73" s="253" t="s">
        <v>111</v>
      </c>
      <c r="BJ73" s="1025" t="s">
        <v>1744</v>
      </c>
      <c r="BK73" s="253" t="s">
        <v>111</v>
      </c>
      <c r="BL73" s="1025" t="s">
        <v>1745</v>
      </c>
      <c r="BM73" s="253" t="s">
        <v>111</v>
      </c>
      <c r="BN73" s="1025" t="s">
        <v>1746</v>
      </c>
    </row>
    <row r="74" ht="11.25" customHeight="1">
      <c r="A74" s="143" t="s">
        <v>1747</v>
      </c>
      <c r="BH74" s="1025" t="s">
        <v>1748</v>
      </c>
      <c r="BJ74" s="1025" t="s">
        <v>1749</v>
      </c>
      <c r="BL74" s="1025" t="s">
        <v>1750</v>
      </c>
      <c r="BN74" s="1025" t="s">
        <v>1751</v>
      </c>
    </row>
    <row r="75" ht="11.25" customHeight="1">
      <c r="A75" s="143" t="s">
        <v>1752</v>
      </c>
      <c r="AZ75" s="1003" t="s">
        <v>1753</v>
      </c>
      <c r="BH75" s="1025" t="s">
        <v>1754</v>
      </c>
      <c r="BJ75" s="1025" t="s">
        <v>1754</v>
      </c>
      <c r="BL75" s="1025" t="s">
        <v>1754</v>
      </c>
    </row>
    <row r="76" ht="11.25" customHeight="1">
      <c r="A76" s="143" t="s">
        <v>1755</v>
      </c>
      <c r="AZ76" s="1023" t="s">
        <v>1235</v>
      </c>
      <c r="BH76" s="1025" t="s">
        <v>1756</v>
      </c>
      <c r="BJ76" s="1025" t="s">
        <v>1757</v>
      </c>
      <c r="BL76" s="1025" t="s">
        <v>1758</v>
      </c>
    </row>
    <row r="77" ht="11.25" customHeight="1">
      <c r="A77" s="143" t="s">
        <v>1759</v>
      </c>
      <c r="AZ77" s="1023" t="s">
        <v>1262</v>
      </c>
    </row>
    <row r="78" ht="11.25" customHeight="1">
      <c r="A78" s="143" t="s">
        <v>1760</v>
      </c>
      <c r="AZ78" s="1023" t="s">
        <v>1294</v>
      </c>
    </row>
    <row r="79" ht="11.25" customHeight="1">
      <c r="A79" s="143" t="s">
        <v>1761</v>
      </c>
      <c r="AZ79" s="1023" t="s">
        <v>1325</v>
      </c>
      <c r="BH79" s="1003" t="s">
        <v>1762</v>
      </c>
      <c r="BJ79" s="1003" t="s">
        <v>1763</v>
      </c>
      <c r="BL79" s="1003" t="s">
        <v>1764</v>
      </c>
    </row>
    <row r="80" ht="11.25" customHeight="1">
      <c r="A80" s="143" t="s">
        <v>1765</v>
      </c>
      <c r="AZ80" s="1023" t="s">
        <v>1346</v>
      </c>
      <c r="BH80" s="1025" t="s">
        <v>1766</v>
      </c>
      <c r="BJ80" s="1025" t="s">
        <v>1767</v>
      </c>
      <c r="BL80" s="1025" t="s">
        <v>1768</v>
      </c>
    </row>
    <row r="81" ht="11.25" customHeight="1">
      <c r="A81" s="143" t="s">
        <v>1769</v>
      </c>
      <c r="AZ81" s="1023" t="s">
        <v>1363</v>
      </c>
      <c r="BH81" s="1025" t="s">
        <v>1770</v>
      </c>
      <c r="BJ81" s="1025" t="s">
        <v>1771</v>
      </c>
      <c r="BL81" s="1025" t="s">
        <v>1772</v>
      </c>
    </row>
    <row r="82" ht="11.25" customHeight="1">
      <c r="A82" s="143" t="s">
        <v>1773</v>
      </c>
      <c r="AZ82" s="1023" t="s">
        <v>1378</v>
      </c>
      <c r="BH82" s="1025" t="s">
        <v>1774</v>
      </c>
      <c r="BJ82" s="1025" t="s">
        <v>1775</v>
      </c>
      <c r="BL82" s="1025" t="s">
        <v>1776</v>
      </c>
    </row>
    <row r="83" ht="11.25" customHeight="1">
      <c r="A83" s="143" t="s">
        <v>1777</v>
      </c>
      <c r="BH83" s="1025" t="s">
        <v>1778</v>
      </c>
      <c r="BJ83" s="1025" t="s">
        <v>1779</v>
      </c>
      <c r="BL83" s="1025" t="s">
        <v>1780</v>
      </c>
    </row>
    <row r="84" ht="11.25" customHeight="1">
      <c r="A84" s="143" t="s">
        <v>1781</v>
      </c>
      <c r="AZ84" s="1003" t="s">
        <v>1782</v>
      </c>
    </row>
    <row r="85" ht="11.25" customHeight="1">
      <c r="A85" s="1043" t="s">
        <v>1783</v>
      </c>
      <c r="AZ85" s="1023" t="s">
        <v>1784</v>
      </c>
    </row>
    <row r="86" ht="11.25" customHeight="1">
      <c r="A86" s="143" t="s">
        <v>1785</v>
      </c>
      <c r="AZ86" s="1023" t="s">
        <v>1786</v>
      </c>
      <c r="BH86" s="1003" t="s">
        <v>1787</v>
      </c>
      <c r="BJ86" s="1003" t="s">
        <v>1788</v>
      </c>
      <c r="BL86" s="1003" t="s">
        <v>1789</v>
      </c>
    </row>
    <row r="87" ht="11.25" customHeight="1">
      <c r="A87" s="143" t="s">
        <v>1790</v>
      </c>
      <c r="AZ87" s="1023" t="s">
        <v>1791</v>
      </c>
      <c r="BH87" s="1025" t="s">
        <v>1792</v>
      </c>
      <c r="BJ87" s="1025" t="s">
        <v>1793</v>
      </c>
      <c r="BL87" s="1025" t="s">
        <v>1794</v>
      </c>
    </row>
    <row r="88" ht="11.25" customHeight="1">
      <c r="A88" s="143" t="s">
        <v>1795</v>
      </c>
      <c r="AZ88" s="63"/>
      <c r="BH88" s="1025" t="s">
        <v>1796</v>
      </c>
      <c r="BJ88" s="1025" t="s">
        <v>1797</v>
      </c>
      <c r="BL88" s="1025" t="s">
        <v>1798</v>
      </c>
    </row>
    <row r="89" ht="11.25" customHeight="1">
      <c r="A89" s="143" t="s">
        <v>1799</v>
      </c>
      <c r="AZ89" s="1003" t="s">
        <v>1800</v>
      </c>
    </row>
    <row r="90" ht="11.25" customHeight="1">
      <c r="A90" s="143" t="s">
        <v>1801</v>
      </c>
      <c r="AZ90" s="1023" t="s">
        <v>1023</v>
      </c>
    </row>
    <row r="91" ht="11.25" customHeight="1">
      <c r="A91" s="143" t="s">
        <v>1802</v>
      </c>
      <c r="AZ91" s="1023" t="s">
        <v>1059</v>
      </c>
      <c r="BH91" s="1003" t="s">
        <v>1803</v>
      </c>
      <c r="BJ91" s="1003" t="s">
        <v>1804</v>
      </c>
      <c r="BL91" s="1003" t="s">
        <v>1805</v>
      </c>
    </row>
    <row r="92" ht="11.25" customHeight="1">
      <c r="AZ92" s="1023" t="s">
        <v>1806</v>
      </c>
      <c r="BH92" s="1025" t="s">
        <v>1807</v>
      </c>
      <c r="BJ92" s="1025" t="s">
        <v>1808</v>
      </c>
      <c r="BL92" s="1025" t="s">
        <v>1809</v>
      </c>
    </row>
    <row r="93" ht="11.25" customHeight="1">
      <c r="AZ93" s="1023" t="s">
        <v>1810</v>
      </c>
      <c r="BH93" s="1025" t="s">
        <v>1811</v>
      </c>
      <c r="BJ93" s="1025" t="s">
        <v>1812</v>
      </c>
      <c r="BL93" s="1025" t="s">
        <v>1813</v>
      </c>
    </row>
    <row r="94" ht="11.25" customHeight="1">
      <c r="AZ94" s="1023" t="s">
        <v>1814</v>
      </c>
    </row>
    <row r="96" ht="11.25" customHeight="1">
      <c r="AZ96" s="1003" t="s">
        <v>1815</v>
      </c>
      <c r="BH96" s="1003" t="s">
        <v>1816</v>
      </c>
      <c r="BJ96" s="1003" t="s">
        <v>1817</v>
      </c>
      <c r="BL96" s="1003" t="s">
        <v>1818</v>
      </c>
      <c r="BN96" s="1003" t="s">
        <v>1819</v>
      </c>
    </row>
    <row r="97" ht="11.25" customHeight="1">
      <c r="AZ97" s="1069" t="s">
        <v>1820</v>
      </c>
      <c r="BA97" s="583" t="s">
        <v>1821</v>
      </c>
      <c r="BH97" s="1025" t="s">
        <v>1822</v>
      </c>
      <c r="BJ97" s="1025" t="s">
        <v>1823</v>
      </c>
      <c r="BL97" s="1025" t="s">
        <v>1824</v>
      </c>
      <c r="BN97" s="1025" t="s">
        <v>1825</v>
      </c>
    </row>
    <row r="98" ht="11.25" customHeight="1">
      <c r="AZ98" s="1069" t="s">
        <v>1826</v>
      </c>
      <c r="BA98" s="583" t="s">
        <v>1827</v>
      </c>
      <c r="BH98" s="1025" t="s">
        <v>1828</v>
      </c>
      <c r="BJ98" s="1025" t="s">
        <v>1829</v>
      </c>
      <c r="BL98" s="1025" t="s">
        <v>1830</v>
      </c>
      <c r="BN98" s="1025" t="s">
        <v>1831</v>
      </c>
    </row>
    <row r="99" ht="22.5" customHeight="1">
      <c r="AZ99" s="1069" t="s">
        <v>1832</v>
      </c>
      <c r="BA99" s="583" t="str">
        <f>"не позднее чем за "&amp;IF(TEMPLATE_SPHERE="TKO","3","10")&amp;" дней до дня проведения заседания правления"</f>
        <v xml:space="preserve">не позднее чем за 10 дней до дня проведения заседания правления</v>
      </c>
      <c r="BH99" s="1025" t="s">
        <v>1833</v>
      </c>
      <c r="BJ99" s="1025" t="s">
        <v>1834</v>
      </c>
      <c r="BL99" s="1025" t="s">
        <v>1835</v>
      </c>
      <c r="BN99" s="1025" t="s">
        <v>1836</v>
      </c>
    </row>
    <row r="100" ht="22.5" customHeight="1">
      <c r="AZ100" s="1069" t="s">
        <v>1837</v>
      </c>
      <c r="BA100" s="583" t="str">
        <f>"в течение "&amp;IF(TEMPLATE_SPHERE="HEAT","5","7")&amp;" рабочих дней со дня принятия соответствующего решения"</f>
        <v xml:space="preserve">в течение 5 рабочих дней со дня принятия соответствующего решения</v>
      </c>
      <c r="BJ100" s="1025" t="s">
        <v>1424</v>
      </c>
      <c r="BL100" s="1025" t="s">
        <v>1424</v>
      </c>
      <c r="BN100" s="1025" t="s">
        <v>1838</v>
      </c>
    </row>
    <row r="101" ht="22.5" customHeight="1">
      <c r="AZ101" s="1069" t="s">
        <v>1839</v>
      </c>
      <c r="BA101" s="583" t="s">
        <v>1840</v>
      </c>
      <c r="BN101" s="1025" t="s">
        <v>1841</v>
      </c>
    </row>
    <row r="102" ht="22.5" customHeight="1">
      <c r="AZ102" s="1069" t="s">
        <v>1842</v>
      </c>
      <c r="BA102" s="583" t="str">
        <f>"в течение "&amp;IF(TEMPLATE_SPHERE="HEAT","5","7")&amp;" рабочих дней со дня принятия соответствующего решения"</f>
        <v xml:space="preserve">в течение 5 рабочих дней со дня принятия соответствующего решения</v>
      </c>
      <c r="BN102" s="1025" t="s">
        <v>1843</v>
      </c>
    </row>
    <row r="103" ht="11.25" customHeight="1">
      <c r="AZ103" s="1069" t="s">
        <v>1844</v>
      </c>
      <c r="BA103" s="583" t="s">
        <v>1845</v>
      </c>
      <c r="BN103" s="1025" t="s">
        <v>1846</v>
      </c>
    </row>
    <row r="104" ht="11.25" customHeight="1">
      <c r="BN104" s="1025" t="s">
        <v>1847</v>
      </c>
    </row>
    <row r="105" ht="11.25" customHeight="1">
      <c r="AZ105" s="1003" t="s">
        <v>1848</v>
      </c>
    </row>
    <row r="106" ht="11.25" customHeight="1">
      <c r="AZ106" s="1023" t="s">
        <v>502</v>
      </c>
    </row>
    <row r="107" ht="11.25" customHeight="1">
      <c r="AZ107" s="1023" t="s">
        <v>1849</v>
      </c>
      <c r="BH107" s="1003" t="s">
        <v>1850</v>
      </c>
      <c r="BJ107" s="1003" t="s">
        <v>1851</v>
      </c>
      <c r="BL107" s="1003" t="s">
        <v>1852</v>
      </c>
      <c r="BN107" s="1003" t="s">
        <v>1853</v>
      </c>
    </row>
    <row r="108" ht="11.25" customHeight="1">
      <c r="AZ108" s="1023" t="s">
        <v>575</v>
      </c>
      <c r="BH108" s="1025" t="s">
        <v>1854</v>
      </c>
      <c r="BJ108" s="1025" t="s">
        <v>1855</v>
      </c>
      <c r="BL108" s="1025" t="s">
        <v>1510</v>
      </c>
      <c r="BN108" s="1025" t="s">
        <v>1856</v>
      </c>
    </row>
    <row r="109" ht="11.25" customHeight="1">
      <c r="BH109" s="1025" t="s">
        <v>1857</v>
      </c>
    </row>
    <row r="110" ht="11.25" customHeight="1">
      <c r="AZ110" s="1003" t="s">
        <v>1858</v>
      </c>
      <c r="BH110" s="1025" t="s">
        <v>1857</v>
      </c>
    </row>
    <row r="111" ht="11.25" customHeight="1">
      <c r="AZ111" s="1069" t="s">
        <v>1820</v>
      </c>
      <c r="BA111" s="583" t="s">
        <v>1821</v>
      </c>
    </row>
    <row r="112" ht="11.25" customHeight="1">
      <c r="AZ112" s="1069" t="s">
        <v>1826</v>
      </c>
      <c r="BA112" s="583" t="s">
        <v>1827</v>
      </c>
    </row>
    <row r="113" ht="22.5" customHeight="1">
      <c r="AZ113" s="1069" t="s">
        <v>1832</v>
      </c>
      <c r="BA113" s="583" t="str">
        <f>"не позднее чем за "&amp;IF(TEMPLATE_SPHERE="TKO","3","10")&amp;" дней до дня проведения заседания правления"</f>
        <v xml:space="preserve">не позднее чем за 10 дней до дня проведения заседания правления</v>
      </c>
    </row>
    <row r="114" ht="22.5" customHeight="1">
      <c r="AZ114" s="1069" t="s">
        <v>1837</v>
      </c>
      <c r="BA114" s="583" t="str">
        <f t="shared" ref="BA114:BA115" si="56">"в течение "&amp;IF(TEMPLATE_SPHERE="HEAT","5","7")&amp;" рабочих дней со дня принятия соответствующего решения"</f>
        <v xml:space="preserve">в течение 5 рабочих дней со дня принятия соответствующего решения</v>
      </c>
      <c r="BH114" s="1003" t="s">
        <v>1859</v>
      </c>
    </row>
    <row r="115" ht="22.5" customHeight="1">
      <c r="AZ115" s="1069" t="s">
        <v>1842</v>
      </c>
      <c r="BA115" s="583" t="str">
        <f t="shared" si="56"/>
        <v xml:space="preserve">в течение 5 рабочих дней со дня принятия соответствующего решения</v>
      </c>
      <c r="BH115" s="1025" t="s">
        <v>1222</v>
      </c>
    </row>
    <row r="116" ht="11.25" customHeight="1">
      <c r="AZ116" s="1069" t="s">
        <v>1844</v>
      </c>
      <c r="BA116" s="583" t="s">
        <v>1845</v>
      </c>
      <c r="BH116" s="1025" t="s">
        <v>1248</v>
      </c>
    </row>
    <row r="117" ht="11.25" customHeight="1">
      <c r="BH117" s="1025" t="s">
        <v>1283</v>
      </c>
    </row>
    <row r="118" ht="11.25" customHeight="1">
      <c r="BH118" s="1025" t="s">
        <v>1316</v>
      </c>
    </row>
  </sheetData>
  <sheetProtection autoFilter="0" deleteColumns="1" deleteRows="1" formatCells="1" formatColumns="0" formatRows="0" insertColumns="1" insertHyperlinks="1" insertRows="1" objects="0" pivotTables="1" scenarios="0" selectLockedCells="0" selectUnlockedCells="0" sheet="1" sort="1"/>
  <printOptions headings="0" gridLines="0"/>
  <pageMargins left="0.75" right="0.75" top="1" bottom="1" header="0.5" footer="0.5"/>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legacyDrawing r:id="rId3"/>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zoomScale="90" workbookViewId="0">
      <pane xSplit="5" ySplit="11" topLeftCell="F12" activePane="bottomRight" state="frozen"/>
      <selection activeCell="A1" activeCellId="0" sqref="A1"/>
    </sheetView>
  </sheetViews>
  <sheetFormatPr defaultColWidth="9.140625" defaultRowHeight="11.25" customHeight="1"/>
  <cols>
    <col customWidth="1" hidden="1" min="1" max="2" style="345" width="15.00390625"/>
    <col customWidth="1" min="3" max="3" style="346" width="3.00390625"/>
    <col customWidth="1" min="4" max="4" style="347" width="6.00390625"/>
    <col customWidth="1" min="5" max="5" style="346" width="52.00390625"/>
    <col customWidth="1" min="6" max="6" style="346" width="48.00390625"/>
    <col customWidth="1" min="7" max="7" style="346" width="93.00390625"/>
    <col customWidth="1" min="8" max="8" style="346" width="8.00390625"/>
    <col customWidth="1" min="9" max="9" style="346" width="64.00390625"/>
    <col hidden="1" min="10" max="10" style="346" width="9.140625"/>
  </cols>
  <sheetData>
    <row r="1" ht="11.25" hidden="1" customHeight="1">
      <c r="A1" s="345" t="s">
        <v>304</v>
      </c>
      <c r="J1" s="346" t="s">
        <v>14</v>
      </c>
    </row>
    <row r="2" ht="22.5" hidden="1" customHeight="1">
      <c r="A2" s="353"/>
      <c r="B2" s="353"/>
      <c r="C2" s="831" t="s">
        <v>693</v>
      </c>
      <c r="D2" s="1070"/>
      <c r="E2" s="457"/>
      <c r="F2" s="677"/>
      <c r="H2" s="363"/>
      <c r="J2" s="346">
        <v>0</v>
      </c>
    </row>
    <row r="3" ht="11.25" hidden="1" customHeight="1">
      <c r="J3" s="346">
        <v>0</v>
      </c>
    </row>
    <row r="4" ht="11.5" customHeight="1">
      <c r="A4" s="1071"/>
      <c r="B4" s="1071"/>
      <c r="J4" s="346">
        <v>11</v>
      </c>
    </row>
    <row r="5" ht="27.300000000000001" customHeight="1">
      <c r="D5" s="185"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 xml:space="preserve">Форма 2. Информация об органе регулирования тарифов в сфере теплоснабжения (далее – орган регулирования тарифов)</v>
      </c>
      <c r="E5" s="186"/>
      <c r="F5" s="187"/>
      <c r="I5" s="350"/>
      <c r="J5" s="346">
        <v>26</v>
      </c>
    </row>
    <row r="6" ht="18" customHeight="1">
      <c r="D6" s="316" t="str">
        <f>IF(region_name=0,"Не определено",region_name)</f>
        <v xml:space="preserve">Приморский край</v>
      </c>
      <c r="E6" s="316"/>
      <c r="F6" s="316"/>
      <c r="I6" s="350"/>
      <c r="J6" s="346">
        <v>17</v>
      </c>
    </row>
    <row r="7" s="348" customFormat="1" ht="11.5" customHeight="1">
      <c r="A7" s="345"/>
      <c r="B7" s="345"/>
      <c r="D7" s="351"/>
      <c r="E7" s="351"/>
      <c r="F7" s="352"/>
      <c r="G7" s="351"/>
      <c r="J7" s="348">
        <v>11</v>
      </c>
    </row>
    <row r="8" ht="11.25" hidden="1" customHeight="1">
      <c r="A8" s="353"/>
      <c r="B8" s="353"/>
      <c r="C8" s="91"/>
      <c r="D8" s="83"/>
      <c r="E8" s="354"/>
      <c r="F8" s="354"/>
      <c r="J8" s="346">
        <v>0</v>
      </c>
    </row>
    <row r="9" ht="11.5" customHeight="1">
      <c r="A9" s="353"/>
      <c r="B9" s="353"/>
      <c r="C9" s="91"/>
      <c r="D9" s="355" t="s">
        <v>305</v>
      </c>
      <c r="E9" s="356"/>
      <c r="F9" s="356"/>
      <c r="G9" s="357" t="s">
        <v>306</v>
      </c>
      <c r="J9" s="346">
        <v>11</v>
      </c>
    </row>
    <row r="10" ht="11.5" customHeight="1">
      <c r="A10" s="353"/>
      <c r="B10" s="353"/>
      <c r="C10" s="91"/>
      <c r="D10" s="356" t="s">
        <v>89</v>
      </c>
      <c r="E10" s="357" t="s">
        <v>307</v>
      </c>
      <c r="F10" s="357" t="s">
        <v>308</v>
      </c>
      <c r="G10" s="358"/>
      <c r="J10" s="346">
        <v>11</v>
      </c>
    </row>
    <row r="11" ht="1.05" customHeight="1">
      <c r="A11" s="353"/>
      <c r="B11" s="353"/>
      <c r="C11" s="91"/>
      <c r="D11" s="359"/>
      <c r="E11" s="359"/>
      <c r="F11" s="359"/>
      <c r="G11" s="359"/>
      <c r="J11" s="346">
        <v>1</v>
      </c>
    </row>
    <row r="12" ht="24" customHeight="1">
      <c r="A12" s="353"/>
      <c r="B12" s="353"/>
      <c r="C12" s="91"/>
      <c r="D12" s="1070">
        <v>1</v>
      </c>
      <c r="E12" s="366"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613" t="str">
        <f>IF(org="","",org)</f>
        <v xml:space="preserve">АО "ДГК"</v>
      </c>
      <c r="G12" s="366"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 xml:space="preserve">Указывается в соответствии с нормативным правовым актом, на основании которого орган тарифного  регулирования  образован.</v>
      </c>
      <c r="H12" s="1072"/>
      <c r="J12" s="346">
        <v>23</v>
      </c>
    </row>
    <row r="13" ht="19.949999999999999" customHeight="1">
      <c r="A13" s="353"/>
      <c r="B13" s="353"/>
      <c r="C13" s="91"/>
      <c r="D13" s="1070">
        <v>2</v>
      </c>
      <c r="E13" s="493" t="s">
        <v>1860</v>
      </c>
      <c r="F13" s="157" t="s">
        <v>311</v>
      </c>
      <c r="G13" s="366"/>
      <c r="H13" s="1072"/>
      <c r="J13" s="346">
        <v>19</v>
      </c>
    </row>
    <row r="14" ht="19.949999999999999" customHeight="1">
      <c r="A14" s="353"/>
      <c r="B14" s="353"/>
      <c r="C14" s="91"/>
      <c r="D14" s="325" t="s">
        <v>713</v>
      </c>
      <c r="E14" s="682" t="s">
        <v>1861</v>
      </c>
      <c r="F14" s="457"/>
      <c r="G14" s="494" t="s">
        <v>1862</v>
      </c>
      <c r="H14" s="1072"/>
      <c r="J14" s="346">
        <v>19</v>
      </c>
    </row>
    <row r="15" ht="19.949999999999999" customHeight="1">
      <c r="A15" s="353"/>
      <c r="B15" s="353"/>
      <c r="C15" s="91"/>
      <c r="D15" s="325" t="s">
        <v>312</v>
      </c>
      <c r="E15" s="682" t="s">
        <v>1863</v>
      </c>
      <c r="F15" s="457"/>
      <c r="G15" s="494" t="s">
        <v>1864</v>
      </c>
      <c r="H15" s="1072"/>
      <c r="J15" s="346">
        <v>19</v>
      </c>
    </row>
    <row r="16" ht="24" customHeight="1">
      <c r="A16" s="353"/>
      <c r="B16" s="353"/>
      <c r="C16" s="91"/>
      <c r="D16" s="325" t="s">
        <v>315</v>
      </c>
      <c r="E16" s="503" t="s">
        <v>1865</v>
      </c>
      <c r="F16" s="291"/>
      <c r="G16" s="366" t="s">
        <v>1866</v>
      </c>
      <c r="H16" s="1072"/>
      <c r="J16" s="346">
        <v>23</v>
      </c>
    </row>
    <row r="17" ht="48.25" customHeight="1">
      <c r="A17" s="353"/>
      <c r="B17" s="353"/>
      <c r="C17" s="91"/>
      <c r="D17" s="1070">
        <v>3</v>
      </c>
      <c r="E17" s="493" t="s">
        <v>1867</v>
      </c>
      <c r="F17" s="457"/>
      <c r="G17" s="366" t="s">
        <v>1868</v>
      </c>
      <c r="H17" s="1072"/>
      <c r="J17" s="346">
        <v>46</v>
      </c>
    </row>
    <row r="18" ht="48.25" customHeight="1">
      <c r="A18" s="1073">
        <v>1</v>
      </c>
      <c r="B18" s="353"/>
      <c r="C18" s="370"/>
      <c r="D18" s="1070" t="s">
        <v>92</v>
      </c>
      <c r="E18" s="493" t="s">
        <v>1869</v>
      </c>
      <c r="F18" s="457"/>
      <c r="G18" s="366" t="s">
        <v>1868</v>
      </c>
      <c r="H18" s="1072"/>
      <c r="I18" s="371"/>
      <c r="J18" s="346">
        <v>46</v>
      </c>
    </row>
    <row r="19" ht="23.25" customHeight="1">
      <c r="A19" s="353"/>
      <c r="B19" s="353"/>
      <c r="C19" s="91"/>
      <c r="D19" s="1070" t="s">
        <v>111</v>
      </c>
      <c r="E19" s="493" t="s">
        <v>1870</v>
      </c>
      <c r="F19" s="157" t="s">
        <v>311</v>
      </c>
      <c r="G19" s="1074" t="s">
        <v>1871</v>
      </c>
      <c r="H19" s="363"/>
      <c r="J19" s="346">
        <v>22</v>
      </c>
    </row>
    <row r="20" s="1075" customFormat="1" ht="5.25" hidden="1" customHeight="1">
      <c r="A20" s="353"/>
      <c r="B20" s="353"/>
      <c r="C20" s="1076"/>
      <c r="D20" s="1077" t="s">
        <v>1120</v>
      </c>
      <c r="E20" s="384"/>
      <c r="F20" s="158"/>
      <c r="G20" s="1078"/>
      <c r="J20" s="1075">
        <v>0</v>
      </c>
    </row>
    <row r="21" ht="15.75" customHeight="1">
      <c r="A21" s="353"/>
      <c r="B21" s="353"/>
      <c r="C21" s="91"/>
      <c r="D21" s="378"/>
      <c r="E21" s="172" t="s">
        <v>344</v>
      </c>
      <c r="F21" s="380"/>
      <c r="G21" s="1079"/>
      <c r="H21" s="1072"/>
      <c r="J21" s="346">
        <v>15</v>
      </c>
    </row>
    <row r="22" s="345" customFormat="1" ht="26.25" customHeight="1">
      <c r="A22" s="353"/>
      <c r="B22" s="353"/>
      <c r="C22" s="353"/>
      <c r="D22" s="1070" t="s">
        <v>93</v>
      </c>
      <c r="E22" s="366" t="s">
        <v>1872</v>
      </c>
      <c r="F22" s="457"/>
      <c r="G22" s="366" t="s">
        <v>1873</v>
      </c>
      <c r="H22" s="1080"/>
      <c r="J22" s="345">
        <v>25</v>
      </c>
    </row>
    <row r="23" s="345" customFormat="1" ht="19.949999999999999" customHeight="1">
      <c r="A23" s="353"/>
      <c r="B23" s="353"/>
      <c r="C23" s="353"/>
      <c r="D23" s="1070" t="s">
        <v>94</v>
      </c>
      <c r="E23" s="493" t="s">
        <v>1874</v>
      </c>
      <c r="F23" s="291"/>
      <c r="G23" s="366" t="s">
        <v>1875</v>
      </c>
      <c r="H23" s="1080"/>
      <c r="J23" s="345">
        <v>19</v>
      </c>
    </row>
    <row r="24" s="345" customFormat="1" ht="144" hidden="1" customHeight="1">
      <c r="A24" s="353"/>
      <c r="B24" s="353"/>
      <c r="C24" s="353"/>
      <c r="D24" s="1070" t="s">
        <v>112</v>
      </c>
      <c r="E24" s="1081"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 xml:space="preserve">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082"/>
      <c r="G24" s="1083"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 xml:space="preserve">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080"/>
      <c r="J24" s="345">
        <v>0</v>
      </c>
    </row>
    <row r="25" ht="11.25" hidden="1" customHeight="1">
      <c r="A25" s="345" t="s">
        <v>83</v>
      </c>
      <c r="B25" s="345">
        <v>0</v>
      </c>
      <c r="C25" s="346">
        <v>3</v>
      </c>
      <c r="D25" s="347">
        <v>6</v>
      </c>
      <c r="E25" s="346">
        <v>52</v>
      </c>
      <c r="F25" s="346">
        <v>48</v>
      </c>
      <c r="G25" s="346">
        <v>93</v>
      </c>
      <c r="H25" s="346">
        <v>8</v>
      </c>
      <c r="I25" s="346">
        <v>64</v>
      </c>
      <c r="J25" s="346">
        <v>11</v>
      </c>
    </row>
  </sheetData>
  <sheetProtection autoFilter="0" deleteColumns="1" deleteRows="1" formatCells="1" formatColumns="0" formatRows="0" insertColumns="1" insertHyperlinks="1" insertRows="1" objects="0" pivotTables="1" scenarios="0" selectLockedCells="0" selectUnlockedCells="0" sheet="1" sort="1"/>
  <mergeCells count="6">
    <mergeCell ref="D5:F5"/>
    <mergeCell ref="D6:F6"/>
    <mergeCell ref="E8:F8"/>
    <mergeCell ref="D9:F9"/>
    <mergeCell ref="G9:G10"/>
    <mergeCell ref="G19:G21"/>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disablePrompts="0">
        <x14:dataValidation xr:uid="{0054002E-00F3-4246-A1DB-001C0020003F}"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F24</xm:sqref>
        </x14:dataValidation>
        <x14:dataValidation xr:uid="{00EF0088-0036-42CF-A607-009200C6004F}" type="textLength" allowBlank="1" error="Допускается ввод не более 900 символов!" errorStyle="stop" errorTitle="Ошибка" imeMode="noControl" operator="lessThanOrEqual" showDropDown="0" showErrorMessage="1" showInputMessage="1">
          <x14:formula1>
            <xm:f>900</xm:f>
          </x14:formula1>
          <xm:sqref>F12 F14:F18 F22:F23</xm:sqref>
        </x14:dataValidation>
      </x14:dataValidations>
    </ext>
  </extLst>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zoomScale="90" workbookViewId="0">
      <pane xSplit="5" ySplit="8" topLeftCell="F9" activePane="bottomRight" state="frozen"/>
      <selection activeCell="A1" activeCellId="0" sqref="A1"/>
    </sheetView>
  </sheetViews>
  <sheetFormatPr defaultColWidth="9.140625" defaultRowHeight="14.25" customHeight="1"/>
  <cols>
    <col hidden="1" min="1" max="1" style="50" width="9.140625"/>
    <col hidden="1" min="2" max="2" style="53" width="9.140625"/>
    <col customWidth="1" hidden="1" min="3" max="3" style="50" width="3.7109375"/>
    <col customWidth="1" min="4" max="4" style="128" width="3.00390625"/>
    <col customWidth="1" min="5" max="5" style="50" width="6.00390625"/>
    <col customWidth="1" min="6" max="6" style="50" width="46.00390625"/>
    <col customWidth="1" min="7" max="8" style="50" width="16.00390625"/>
    <col customWidth="1" min="9" max="9" style="50" width="35.00390625"/>
    <col customWidth="1" min="10" max="10" style="50" width="89.00390625"/>
    <col customWidth="1" min="11" max="11" style="129" width="3.00390625"/>
    <col customWidth="1" min="12" max="14" style="129" width="8.00390625"/>
    <col customWidth="1" min="15" max="15" style="129" width="25.00390625"/>
    <col customWidth="1" min="16" max="16" style="129" width="14.00390625"/>
    <col customWidth="1" min="17" max="20" style="130" width="8.00390625"/>
    <col customWidth="1" min="21" max="254" style="50" width="8.00390625"/>
    <col hidden="1" min="255" max="255" style="50" width="9.140625"/>
  </cols>
  <sheetData>
    <row r="1" ht="22.5" hidden="1" customHeight="1">
      <c r="F1" s="50" t="s">
        <v>1876</v>
      </c>
      <c r="G1" s="50" t="s">
        <v>49</v>
      </c>
      <c r="H1" s="50" t="s">
        <v>51</v>
      </c>
      <c r="IU1" s="50" t="s">
        <v>14</v>
      </c>
    </row>
    <row r="2" s="63" customFormat="1" ht="22.5" hidden="1" customHeight="1">
      <c r="A2" s="120"/>
      <c r="B2" s="53">
        <v>1</v>
      </c>
      <c r="C2" s="53"/>
      <c r="D2" s="966" t="s">
        <v>693</v>
      </c>
      <c r="E2" s="157"/>
      <c r="F2" s="397"/>
      <c r="G2" s="397"/>
      <c r="H2" s="397"/>
      <c r="I2" s="1084"/>
      <c r="J2" s="1085"/>
      <c r="K2" s="1086"/>
      <c r="L2" s="57"/>
      <c r="M2" s="57"/>
      <c r="N2" s="129" t="str">
        <f t="array" ref="N2">IF(ISERROR(MATCH(MID(O2,1,250),MID(note_ter,1,250),0)),"n","y")</f>
        <v>n</v>
      </c>
      <c r="O2" s="57"/>
      <c r="P2" s="129" t="str">
        <f>G2&amp;"("&amp;J2&amp;")"</f>
        <v>()</v>
      </c>
      <c r="Q2" s="53"/>
      <c r="R2" s="53"/>
      <c r="S2" s="166"/>
      <c r="T2" s="53"/>
      <c r="U2" s="53"/>
      <c r="V2" s="53"/>
      <c r="W2" s="64"/>
      <c r="X2" s="64"/>
      <c r="Y2" s="167"/>
      <c r="Z2" s="167"/>
      <c r="AA2" s="167"/>
      <c r="AB2" s="167"/>
      <c r="AC2" s="167"/>
      <c r="AD2" s="167"/>
      <c r="AE2" s="167"/>
      <c r="AF2" s="167"/>
      <c r="AG2" s="167"/>
      <c r="AH2" s="167"/>
      <c r="AI2" s="167"/>
      <c r="AJ2" s="167"/>
      <c r="AK2" s="167"/>
      <c r="AL2" s="167"/>
      <c r="AM2" s="167"/>
      <c r="AN2" s="167"/>
      <c r="AO2" s="167"/>
      <c r="AP2" s="167"/>
      <c r="AQ2" s="167"/>
      <c r="AR2" s="167"/>
      <c r="AS2" s="167"/>
      <c r="AT2" s="167"/>
      <c r="AU2" s="167"/>
      <c r="AV2" s="167"/>
      <c r="AW2" s="167"/>
      <c r="AX2" s="167"/>
      <c r="AY2" s="167"/>
      <c r="AZ2" s="167"/>
      <c r="BA2" s="167"/>
      <c r="BB2" s="167"/>
      <c r="BC2" s="167"/>
      <c r="BD2" s="167"/>
      <c r="BE2" s="167"/>
      <c r="BF2" s="167"/>
      <c r="BG2" s="167"/>
      <c r="BH2" s="167"/>
      <c r="BI2" s="167"/>
      <c r="BJ2" s="167"/>
      <c r="BK2" s="167"/>
      <c r="BL2" s="167"/>
      <c r="BM2" s="167"/>
      <c r="BN2" s="167"/>
      <c r="BO2" s="167"/>
      <c r="BP2" s="167"/>
      <c r="BQ2" s="167"/>
      <c r="BR2" s="167"/>
      <c r="BS2" s="167"/>
      <c r="BT2" s="64"/>
      <c r="BU2" s="64"/>
      <c r="BV2" s="64"/>
      <c r="BW2" s="64"/>
      <c r="BX2" s="64"/>
      <c r="BY2" s="64"/>
      <c r="BZ2" s="64"/>
      <c r="CA2" s="64"/>
      <c r="CB2" s="64"/>
      <c r="CC2" s="64"/>
      <c r="IU2" s="63">
        <v>0</v>
      </c>
    </row>
    <row r="3" s="57" customFormat="1" ht="4.2000000000000002" customHeight="1">
      <c r="A3" s="131"/>
      <c r="D3" s="132"/>
      <c r="F3" s="133" t="s">
        <v>84</v>
      </c>
      <c r="G3" s="132" t="s">
        <v>85</v>
      </c>
      <c r="H3" s="132"/>
      <c r="I3" s="132"/>
      <c r="J3" s="134" t="s">
        <v>86</v>
      </c>
      <c r="K3" s="133" t="s">
        <v>84</v>
      </c>
      <c r="L3" s="133"/>
      <c r="M3" s="133"/>
      <c r="N3" s="133"/>
      <c r="O3" s="133"/>
      <c r="P3" s="133"/>
      <c r="Q3" s="133"/>
      <c r="R3" s="133"/>
      <c r="S3" s="133"/>
      <c r="T3" s="133"/>
      <c r="U3" s="134"/>
      <c r="V3" s="134"/>
      <c r="W3" s="134"/>
      <c r="X3" s="134"/>
      <c r="Y3" s="134"/>
      <c r="Z3" s="134"/>
      <c r="AA3" s="134"/>
      <c r="AB3" s="134"/>
      <c r="AC3" s="134"/>
      <c r="AD3" s="134"/>
      <c r="AE3" s="134"/>
      <c r="AF3" s="134"/>
      <c r="AG3" s="134"/>
      <c r="AH3" s="134"/>
      <c r="AI3" s="134"/>
      <c r="AJ3" s="134"/>
      <c r="AK3" s="134"/>
      <c r="AL3" s="134"/>
      <c r="AM3" s="134"/>
      <c r="AN3" s="134"/>
      <c r="AO3" s="134"/>
      <c r="AP3" s="134"/>
      <c r="AQ3" s="134"/>
      <c r="AR3" s="134"/>
      <c r="AS3" s="134"/>
      <c r="AT3" s="134"/>
      <c r="AU3" s="134"/>
      <c r="AV3" s="134"/>
      <c r="AW3" s="134"/>
      <c r="AX3" s="134"/>
      <c r="AY3" s="134"/>
      <c r="AZ3" s="134"/>
      <c r="BA3" s="134"/>
      <c r="BB3" s="134"/>
      <c r="BC3" s="134"/>
      <c r="BD3" s="134"/>
      <c r="BE3" s="134"/>
      <c r="BF3" s="134"/>
      <c r="BG3" s="134"/>
      <c r="BH3" s="134"/>
      <c r="BI3" s="134"/>
      <c r="BJ3" s="134"/>
      <c r="BK3" s="134"/>
      <c r="BL3" s="134"/>
      <c r="BM3" s="134"/>
      <c r="BN3" s="134"/>
      <c r="BO3" s="134"/>
      <c r="BP3" s="134"/>
      <c r="BQ3" s="134"/>
      <c r="BR3" s="134"/>
      <c r="BS3" s="134"/>
      <c r="BT3" s="134"/>
      <c r="BU3" s="134"/>
      <c r="BV3" s="134"/>
      <c r="BW3" s="134"/>
      <c r="BX3" s="134"/>
      <c r="BY3" s="134"/>
      <c r="BZ3" s="134"/>
      <c r="CA3" s="134"/>
      <c r="CB3" s="134"/>
      <c r="CC3" s="134"/>
      <c r="CD3" s="134"/>
      <c r="CE3" s="134"/>
      <c r="CF3" s="134"/>
      <c r="CG3" s="134"/>
      <c r="CH3" s="134"/>
      <c r="CI3" s="134"/>
      <c r="CJ3" s="134"/>
      <c r="CK3" s="134"/>
      <c r="CL3" s="134"/>
      <c r="CM3" s="134"/>
      <c r="CN3" s="134"/>
      <c r="CO3" s="134"/>
      <c r="CP3" s="134"/>
      <c r="CQ3" s="134"/>
      <c r="CR3" s="134"/>
      <c r="CS3" s="134"/>
      <c r="CT3" s="134"/>
      <c r="CU3" s="134"/>
      <c r="CV3" s="134"/>
      <c r="CW3" s="134"/>
      <c r="CX3" s="134"/>
      <c r="CY3" s="134"/>
      <c r="CZ3" s="134"/>
      <c r="DA3" s="134"/>
      <c r="DB3" s="134"/>
      <c r="DC3" s="134"/>
      <c r="DD3" s="134"/>
      <c r="DE3" s="134"/>
      <c r="DF3" s="134"/>
      <c r="DG3" s="134"/>
      <c r="DH3" s="134"/>
      <c r="DI3" s="134"/>
      <c r="DJ3" s="134"/>
      <c r="DK3" s="134"/>
      <c r="DL3" s="134"/>
      <c r="DM3" s="134"/>
      <c r="DN3" s="134"/>
      <c r="DO3" s="134"/>
      <c r="DP3" s="134"/>
      <c r="DQ3" s="134"/>
      <c r="DR3" s="134"/>
      <c r="DS3" s="134"/>
      <c r="DT3" s="134"/>
      <c r="DU3" s="134"/>
      <c r="DV3" s="134"/>
      <c r="DW3" s="134"/>
      <c r="DX3" s="134"/>
      <c r="DY3" s="134"/>
      <c r="DZ3" s="134"/>
      <c r="EA3" s="134"/>
      <c r="EB3" s="134"/>
      <c r="EC3" s="134"/>
      <c r="ED3" s="134"/>
      <c r="EE3" s="134"/>
      <c r="EF3" s="134"/>
      <c r="EG3" s="134"/>
      <c r="EH3" s="134"/>
      <c r="EI3" s="134"/>
      <c r="EJ3" s="134"/>
      <c r="EK3" s="134"/>
      <c r="EL3" s="134"/>
      <c r="EM3" s="134"/>
      <c r="EN3" s="134"/>
      <c r="EO3" s="134"/>
      <c r="EP3" s="134"/>
      <c r="EQ3" s="134"/>
      <c r="ER3" s="134"/>
      <c r="ES3" s="134"/>
      <c r="ET3" s="134"/>
      <c r="EU3" s="134"/>
      <c r="EV3" s="134"/>
      <c r="EW3" s="134"/>
      <c r="EX3" s="134"/>
      <c r="EY3" s="134"/>
      <c r="EZ3" s="134"/>
      <c r="FA3" s="134"/>
      <c r="FB3" s="134"/>
      <c r="FC3" s="134"/>
      <c r="FD3" s="134"/>
      <c r="FE3" s="134"/>
      <c r="FF3" s="134"/>
      <c r="FG3" s="134"/>
      <c r="FH3" s="134"/>
      <c r="FI3" s="134"/>
      <c r="FJ3" s="134"/>
      <c r="FK3" s="134"/>
      <c r="FL3" s="134"/>
      <c r="FM3" s="134"/>
      <c r="FN3" s="134"/>
      <c r="FO3" s="134"/>
      <c r="FP3" s="134"/>
      <c r="FQ3" s="134"/>
      <c r="FR3" s="134"/>
      <c r="FS3" s="134"/>
      <c r="FT3" s="134"/>
      <c r="FU3" s="134"/>
      <c r="FV3" s="134"/>
      <c r="FW3" s="134"/>
      <c r="FX3" s="134"/>
      <c r="FY3" s="134"/>
      <c r="FZ3" s="134"/>
      <c r="GA3" s="134"/>
      <c r="GB3" s="134"/>
      <c r="GC3" s="134"/>
      <c r="GD3" s="134"/>
      <c r="GE3" s="134"/>
      <c r="GF3" s="134"/>
      <c r="GG3" s="134"/>
      <c r="GH3" s="134"/>
      <c r="GI3" s="134"/>
      <c r="GJ3" s="134"/>
      <c r="GK3" s="134"/>
      <c r="GL3" s="134"/>
      <c r="GM3" s="134"/>
      <c r="GN3" s="134"/>
      <c r="GO3" s="134"/>
      <c r="GP3" s="134"/>
      <c r="GQ3" s="134"/>
      <c r="GR3" s="134"/>
      <c r="GS3" s="134"/>
      <c r="GT3" s="134"/>
      <c r="GU3" s="134"/>
      <c r="GV3" s="134"/>
      <c r="GW3" s="134"/>
      <c r="GX3" s="134"/>
      <c r="GY3" s="134"/>
      <c r="GZ3" s="134"/>
      <c r="HA3" s="134"/>
      <c r="HB3" s="134"/>
      <c r="HC3" s="134"/>
      <c r="HD3" s="134"/>
      <c r="HE3" s="134"/>
      <c r="HF3" s="134"/>
      <c r="HG3" s="134"/>
      <c r="HH3" s="134"/>
      <c r="HI3" s="134"/>
      <c r="HJ3" s="134"/>
      <c r="HK3" s="134"/>
      <c r="HL3" s="134"/>
      <c r="HM3" s="134"/>
      <c r="HN3" s="134"/>
      <c r="HO3" s="134"/>
      <c r="HP3" s="134"/>
      <c r="HQ3" s="134"/>
      <c r="HR3" s="134"/>
      <c r="HS3" s="134"/>
      <c r="HT3" s="134"/>
      <c r="HU3" s="134"/>
      <c r="HV3" s="134"/>
      <c r="HW3" s="134"/>
      <c r="HX3" s="134"/>
      <c r="HY3" s="134"/>
      <c r="HZ3" s="134"/>
      <c r="IA3" s="134"/>
      <c r="IB3" s="134"/>
      <c r="IC3" s="134"/>
      <c r="ID3" s="134"/>
      <c r="IE3" s="134"/>
      <c r="IF3" s="134"/>
      <c r="IG3" s="134"/>
      <c r="IH3" s="134"/>
      <c r="II3" s="134"/>
      <c r="IJ3" s="134"/>
      <c r="IK3" s="134"/>
      <c r="IL3" s="134"/>
      <c r="IM3" s="134"/>
      <c r="IN3" s="134"/>
      <c r="IO3" s="134"/>
      <c r="IP3" s="134"/>
      <c r="IQ3" s="134"/>
      <c r="IR3" s="134"/>
      <c r="IS3" s="134"/>
      <c r="IT3" s="134"/>
      <c r="IU3" s="57">
        <v>4</v>
      </c>
    </row>
    <row r="4" s="139" customFormat="1" ht="14.65" customHeight="1">
      <c r="A4" s="50"/>
      <c r="B4" s="53"/>
      <c r="C4" s="50"/>
      <c r="D4" s="128"/>
      <c r="E4" s="50"/>
      <c r="F4" s="57"/>
      <c r="G4" s="50"/>
      <c r="H4" s="50"/>
      <c r="I4" s="50"/>
      <c r="J4" s="140"/>
      <c r="K4" s="133"/>
      <c r="L4" s="129"/>
      <c r="M4" s="129"/>
      <c r="N4" s="129"/>
      <c r="O4" s="129"/>
      <c r="P4" s="129"/>
      <c r="Q4" s="130"/>
      <c r="R4" s="130"/>
      <c r="S4" s="130"/>
      <c r="T4" s="130"/>
      <c r="IU4" s="139">
        <v>14</v>
      </c>
    </row>
    <row r="5" s="139" customFormat="1" ht="27.300000000000001" customHeight="1">
      <c r="A5" s="50"/>
      <c r="B5" s="53"/>
      <c r="C5" s="50"/>
      <c r="D5" s="128"/>
      <c r="E5" s="14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 xml:space="preserve">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141"/>
      <c r="G5" s="141"/>
      <c r="H5" s="141"/>
      <c r="I5" s="141"/>
      <c r="J5" s="141"/>
      <c r="K5" s="133"/>
      <c r="L5" s="129"/>
      <c r="M5" s="129"/>
      <c r="N5" s="129"/>
      <c r="O5" s="129"/>
      <c r="P5" s="129"/>
      <c r="Q5" s="130"/>
      <c r="R5" s="130"/>
      <c r="S5" s="130"/>
      <c r="T5" s="130"/>
      <c r="IU5" s="139">
        <v>26</v>
      </c>
    </row>
    <row r="6" s="139" customFormat="1" ht="14.65" customHeight="1">
      <c r="A6" s="50"/>
      <c r="B6" s="53"/>
      <c r="C6" s="50"/>
      <c r="D6" s="128"/>
      <c r="E6" s="50"/>
      <c r="F6" s="142"/>
      <c r="G6" s="142"/>
      <c r="H6" s="142"/>
      <c r="I6" s="142"/>
      <c r="J6" s="120"/>
      <c r="K6" s="129"/>
      <c r="L6" s="129"/>
      <c r="M6" s="129"/>
      <c r="N6" s="129"/>
      <c r="O6" s="129"/>
      <c r="P6" s="129"/>
      <c r="Q6" s="130"/>
      <c r="R6" s="130"/>
      <c r="S6" s="130"/>
      <c r="T6" s="130"/>
      <c r="IU6" s="139">
        <v>14</v>
      </c>
    </row>
    <row r="7" s="139" customFormat="1" ht="14.65" customHeight="1">
      <c r="A7" s="50"/>
      <c r="B7" s="53"/>
      <c r="C7" s="50"/>
      <c r="D7" s="128"/>
      <c r="E7" s="73" t="s">
        <v>305</v>
      </c>
      <c r="F7" s="145"/>
      <c r="G7" s="145"/>
      <c r="H7" s="145"/>
      <c r="I7" s="145"/>
      <c r="J7" s="868" t="s">
        <v>306</v>
      </c>
      <c r="K7" s="129"/>
      <c r="L7" s="129"/>
      <c r="M7" s="129"/>
      <c r="N7" s="129"/>
      <c r="O7" s="129"/>
      <c r="P7" s="129"/>
      <c r="Q7" s="130"/>
      <c r="R7" s="130"/>
      <c r="S7" s="130"/>
      <c r="T7" s="130"/>
      <c r="IU7" s="139">
        <v>14</v>
      </c>
    </row>
    <row r="8" s="139" customFormat="1" ht="21" customHeight="1">
      <c r="A8" s="50"/>
      <c r="B8" s="53"/>
      <c r="C8" s="50"/>
      <c r="D8" s="128"/>
      <c r="E8" s="1087" t="s">
        <v>89</v>
      </c>
      <c r="F8" s="1088" t="s">
        <v>1876</v>
      </c>
      <c r="G8" s="1088" t="s">
        <v>49</v>
      </c>
      <c r="H8" s="1088" t="s">
        <v>51</v>
      </c>
      <c r="I8" s="1088" t="s">
        <v>1877</v>
      </c>
      <c r="J8" s="1089"/>
      <c r="K8" s="129"/>
      <c r="L8" s="129"/>
      <c r="M8" s="129"/>
      <c r="N8" s="129"/>
      <c r="O8" s="129"/>
      <c r="P8" s="129"/>
      <c r="Q8" s="130"/>
      <c r="R8" s="130"/>
      <c r="S8" s="130"/>
      <c r="T8" s="130"/>
      <c r="IU8" s="139">
        <v>20</v>
      </c>
    </row>
    <row r="9" s="63" customFormat="1" ht="23.25" customHeight="1">
      <c r="A9" s="50"/>
      <c r="B9" s="53">
        <v>1</v>
      </c>
      <c r="C9" s="53"/>
      <c r="D9" s="169"/>
      <c r="E9" s="157">
        <v>1</v>
      </c>
      <c r="F9" s="1090"/>
      <c r="G9" s="397"/>
      <c r="H9" s="397"/>
      <c r="I9" s="1091"/>
      <c r="J9" s="285"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086"/>
      <c r="L9" s="57"/>
      <c r="M9" s="57"/>
      <c r="N9" s="129" t="str">
        <f t="array" ref="N9">IF(ISERROR(MATCH(MID(O9,1,250),MID(note_ter,1,250),0)),"n","y")</f>
        <v>n</v>
      </c>
      <c r="O9" s="57"/>
      <c r="P9" s="129" t="str">
        <f>G9&amp;"("&amp;J9&amp;")"</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53"/>
      <c r="R9" s="53"/>
      <c r="S9" s="166"/>
      <c r="T9" s="53"/>
      <c r="U9" s="53"/>
      <c r="V9" s="53"/>
      <c r="W9" s="64"/>
      <c r="X9" s="64"/>
      <c r="Y9" s="167"/>
      <c r="Z9" s="167"/>
      <c r="AA9" s="167"/>
      <c r="AB9" s="167"/>
      <c r="AC9" s="167"/>
      <c r="AD9" s="167"/>
      <c r="AE9" s="167"/>
      <c r="AF9" s="167"/>
      <c r="AG9" s="167"/>
      <c r="AH9" s="167"/>
      <c r="AI9" s="167"/>
      <c r="AJ9" s="167"/>
      <c r="AK9" s="167"/>
      <c r="AL9" s="167"/>
      <c r="AM9" s="167"/>
      <c r="AN9" s="167"/>
      <c r="AO9" s="167"/>
      <c r="AP9" s="167"/>
      <c r="AQ9" s="167"/>
      <c r="AR9" s="167"/>
      <c r="AS9" s="167"/>
      <c r="AT9" s="167"/>
      <c r="AU9" s="167"/>
      <c r="AV9" s="167"/>
      <c r="AW9" s="167"/>
      <c r="AX9" s="167"/>
      <c r="AY9" s="167"/>
      <c r="AZ9" s="167"/>
      <c r="BA9" s="167"/>
      <c r="BB9" s="167"/>
      <c r="BC9" s="167"/>
      <c r="BD9" s="167"/>
      <c r="BE9" s="167"/>
      <c r="BF9" s="167"/>
      <c r="BG9" s="167"/>
      <c r="BH9" s="167"/>
      <c r="BI9" s="167"/>
      <c r="BJ9" s="167"/>
      <c r="BK9" s="167"/>
      <c r="BL9" s="167"/>
      <c r="BM9" s="167"/>
      <c r="BN9" s="167"/>
      <c r="BO9" s="167"/>
      <c r="BP9" s="167"/>
      <c r="BQ9" s="167"/>
      <c r="BR9" s="167"/>
      <c r="BS9" s="167"/>
      <c r="BT9" s="64"/>
      <c r="BU9" s="64"/>
      <c r="BV9" s="64"/>
      <c r="BW9" s="64"/>
      <c r="BX9" s="64"/>
      <c r="BY9" s="64"/>
      <c r="BZ9" s="64"/>
      <c r="CA9" s="64"/>
      <c r="CB9" s="64"/>
      <c r="CC9" s="64"/>
      <c r="IU9" s="63">
        <v>22</v>
      </c>
    </row>
    <row r="10" s="63" customFormat="1" ht="15.75" customHeight="1">
      <c r="A10" s="50"/>
      <c r="B10" s="53"/>
      <c r="C10" s="168"/>
      <c r="D10" s="169"/>
      <c r="E10" s="1092"/>
      <c r="F10" s="711" t="s">
        <v>1878</v>
      </c>
      <c r="G10" s="1093"/>
      <c r="H10" s="1093"/>
      <c r="I10" s="1094"/>
      <c r="J10" s="289"/>
      <c r="K10" s="1095"/>
      <c r="L10" s="57"/>
      <c r="M10" s="57"/>
      <c r="N10" s="57"/>
      <c r="O10" s="129"/>
      <c r="P10" s="57"/>
      <c r="Q10" s="53"/>
      <c r="R10" s="53"/>
      <c r="S10" s="166"/>
      <c r="T10" s="53"/>
      <c r="U10" s="53"/>
      <c r="V10" s="53"/>
      <c r="W10" s="64"/>
      <c r="X10" s="64"/>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67"/>
      <c r="AV10" s="167"/>
      <c r="AW10" s="167"/>
      <c r="AX10" s="167"/>
      <c r="AY10" s="167"/>
      <c r="AZ10" s="167"/>
      <c r="BA10" s="167"/>
      <c r="BB10" s="167"/>
      <c r="BC10" s="167"/>
      <c r="BD10" s="167"/>
      <c r="BE10" s="167"/>
      <c r="BF10" s="167"/>
      <c r="BG10" s="167"/>
      <c r="BH10" s="167"/>
      <c r="BI10" s="167"/>
      <c r="BJ10" s="167"/>
      <c r="BK10" s="167"/>
      <c r="BL10" s="167"/>
      <c r="BM10" s="167"/>
      <c r="BN10" s="167"/>
      <c r="BO10" s="167"/>
      <c r="BP10" s="167"/>
      <c r="BQ10" s="167"/>
      <c r="BR10" s="167"/>
      <c r="BS10" s="167"/>
      <c r="BT10" s="64"/>
      <c r="BU10" s="64"/>
      <c r="BV10" s="64"/>
      <c r="BW10" s="64"/>
      <c r="BX10" s="64"/>
      <c r="BY10" s="64"/>
      <c r="BZ10" s="64"/>
      <c r="CA10" s="64"/>
      <c r="CB10" s="64"/>
      <c r="CC10" s="64"/>
      <c r="IU10" s="63">
        <v>15</v>
      </c>
    </row>
    <row r="11" s="139" customFormat="1" ht="22" customHeight="1">
      <c r="A11" s="50"/>
      <c r="B11" s="53"/>
      <c r="C11" s="50"/>
      <c r="D11" s="128"/>
      <c r="E11" s="179"/>
      <c r="F11" s="179"/>
      <c r="G11" s="179"/>
      <c r="H11" s="179"/>
      <c r="I11" s="179"/>
      <c r="J11" s="179"/>
      <c r="K11" s="129"/>
      <c r="L11" s="129"/>
      <c r="M11" s="129"/>
      <c r="N11" s="129"/>
      <c r="O11" s="129"/>
      <c r="P11" s="129"/>
      <c r="Q11" s="130"/>
      <c r="R11" s="130"/>
      <c r="S11" s="130"/>
      <c r="T11" s="130"/>
      <c r="IU11" s="139">
        <v>21</v>
      </c>
    </row>
    <row r="12" s="139" customFormat="1" ht="14.65" customHeight="1">
      <c r="A12" s="50"/>
      <c r="B12" s="53"/>
      <c r="C12" s="50"/>
      <c r="D12" s="128"/>
      <c r="E12" s="50"/>
      <c r="F12" s="50"/>
      <c r="G12" s="50"/>
      <c r="H12" s="50"/>
      <c r="I12" s="50"/>
      <c r="J12" s="50"/>
      <c r="K12" s="129"/>
      <c r="L12" s="129"/>
      <c r="M12" s="129"/>
      <c r="N12" s="129"/>
      <c r="O12" s="129"/>
      <c r="P12" s="129"/>
      <c r="Q12" s="130"/>
      <c r="R12" s="130"/>
      <c r="S12" s="130"/>
      <c r="T12" s="130"/>
      <c r="IU12" s="139">
        <v>14</v>
      </c>
    </row>
    <row r="13" s="139" customFormat="1" ht="1.05" customHeight="1">
      <c r="A13" s="50"/>
      <c r="B13" s="53"/>
      <c r="C13" s="50"/>
      <c r="D13" s="128"/>
      <c r="E13" s="50"/>
      <c r="F13" s="50"/>
      <c r="G13" s="50"/>
      <c r="H13" s="50"/>
      <c r="I13" s="50"/>
      <c r="J13" s="50"/>
      <c r="K13" s="129"/>
      <c r="L13" s="129"/>
      <c r="M13" s="129"/>
      <c r="N13" s="129"/>
      <c r="O13" s="129"/>
      <c r="P13" s="129"/>
      <c r="Q13" s="130"/>
      <c r="R13" s="130"/>
      <c r="S13" s="130"/>
      <c r="T13" s="130"/>
      <c r="IU13" s="139">
        <v>1</v>
      </c>
    </row>
    <row r="14" s="180" customFormat="1" ht="10.5" customHeight="1">
      <c r="B14" s="181"/>
      <c r="D14" s="182"/>
      <c r="K14" s="129"/>
      <c r="L14" s="129"/>
      <c r="M14" s="129"/>
      <c r="N14" s="129"/>
      <c r="O14" s="129"/>
      <c r="P14" s="129"/>
      <c r="Q14" s="130"/>
      <c r="R14" s="130"/>
      <c r="S14" s="130"/>
      <c r="T14" s="130"/>
      <c r="IU14" s="180">
        <v>10</v>
      </c>
    </row>
    <row r="15" s="180" customFormat="1" ht="10.5" customHeight="1">
      <c r="B15" s="181"/>
      <c r="D15" s="182"/>
      <c r="K15" s="129"/>
      <c r="L15" s="129"/>
      <c r="M15" s="129"/>
      <c r="N15" s="129"/>
      <c r="O15" s="129"/>
      <c r="P15" s="129"/>
      <c r="Q15" s="130"/>
      <c r="R15" s="130"/>
      <c r="S15" s="130"/>
      <c r="T15" s="130"/>
      <c r="IU15" s="180">
        <v>10</v>
      </c>
    </row>
    <row r="16" ht="14.65" customHeight="1">
      <c r="IU16" s="50">
        <v>14</v>
      </c>
    </row>
    <row r="17" ht="14.65" customHeight="1">
      <c r="IU17" s="50">
        <v>14</v>
      </c>
    </row>
    <row r="18" ht="14.65" customHeight="1">
      <c r="IU18" s="50">
        <v>14</v>
      </c>
    </row>
    <row r="19" ht="14.65" customHeight="1">
      <c r="G19" s="63"/>
      <c r="H19" s="63"/>
      <c r="I19" s="63"/>
      <c r="IU19" s="50">
        <v>14</v>
      </c>
    </row>
    <row r="20" ht="14.65" customHeight="1">
      <c r="IU20" s="50">
        <v>14</v>
      </c>
    </row>
    <row r="21" ht="14.65" customHeight="1">
      <c r="IU21" s="50">
        <v>14</v>
      </c>
    </row>
    <row r="22" ht="14.65" customHeight="1">
      <c r="IU22" s="50">
        <v>14</v>
      </c>
    </row>
    <row r="23" ht="14.65" customHeight="1">
      <c r="K23" s="50"/>
      <c r="L23" s="50"/>
      <c r="M23" s="50"/>
      <c r="IU23" s="50">
        <v>14</v>
      </c>
    </row>
    <row r="24" ht="22.5" hidden="1" customHeight="1">
      <c r="A24" s="50" t="s">
        <v>83</v>
      </c>
      <c r="B24" s="53">
        <v>0</v>
      </c>
      <c r="C24" s="50">
        <v>0</v>
      </c>
      <c r="D24" s="128">
        <v>3</v>
      </c>
      <c r="E24" s="50">
        <v>6</v>
      </c>
      <c r="F24" s="50">
        <v>46</v>
      </c>
      <c r="G24" s="50">
        <v>16</v>
      </c>
      <c r="H24" s="50">
        <v>16</v>
      </c>
      <c r="I24" s="50">
        <v>35</v>
      </c>
      <c r="J24" s="50">
        <v>89</v>
      </c>
      <c r="K24" s="129">
        <v>3</v>
      </c>
      <c r="L24" s="129">
        <v>8</v>
      </c>
      <c r="M24" s="129">
        <v>8</v>
      </c>
      <c r="N24" s="129">
        <v>8</v>
      </c>
      <c r="O24" s="129">
        <v>25</v>
      </c>
      <c r="P24" s="129">
        <v>14</v>
      </c>
      <c r="Q24" s="130">
        <v>8</v>
      </c>
      <c r="R24" s="130">
        <v>8</v>
      </c>
      <c r="S24" s="130">
        <v>8</v>
      </c>
      <c r="T24" s="130">
        <v>8</v>
      </c>
      <c r="U24" s="50">
        <v>8</v>
      </c>
      <c r="V24" s="50">
        <v>8</v>
      </c>
      <c r="W24" s="50">
        <v>8</v>
      </c>
      <c r="X24" s="50">
        <v>8</v>
      </c>
      <c r="Y24" s="50">
        <v>8</v>
      </c>
      <c r="Z24" s="50">
        <v>8</v>
      </c>
      <c r="AA24" s="50">
        <v>8</v>
      </c>
      <c r="AB24" s="50">
        <v>8</v>
      </c>
      <c r="AC24" s="50">
        <v>8</v>
      </c>
      <c r="AD24" s="50">
        <v>8</v>
      </c>
      <c r="AE24" s="50">
        <v>8</v>
      </c>
      <c r="AF24" s="50">
        <v>8</v>
      </c>
      <c r="AG24" s="50">
        <v>8</v>
      </c>
      <c r="AH24" s="50">
        <v>8</v>
      </c>
      <c r="AI24" s="50">
        <v>8</v>
      </c>
      <c r="AJ24" s="50">
        <v>8</v>
      </c>
      <c r="AK24" s="50">
        <v>8</v>
      </c>
      <c r="AL24" s="50">
        <v>8</v>
      </c>
      <c r="AM24" s="50">
        <v>8</v>
      </c>
      <c r="AN24" s="50">
        <v>8</v>
      </c>
      <c r="AO24" s="50">
        <v>8</v>
      </c>
      <c r="AP24" s="50">
        <v>8</v>
      </c>
      <c r="AQ24" s="50">
        <v>8</v>
      </c>
      <c r="AR24" s="50">
        <v>8</v>
      </c>
      <c r="AS24" s="50">
        <v>8</v>
      </c>
      <c r="AT24" s="50">
        <v>8</v>
      </c>
      <c r="AU24" s="50">
        <v>8</v>
      </c>
      <c r="AV24" s="50">
        <v>8</v>
      </c>
      <c r="AW24" s="50">
        <v>8</v>
      </c>
      <c r="AX24" s="50">
        <v>8</v>
      </c>
      <c r="AY24" s="50">
        <v>8</v>
      </c>
      <c r="AZ24" s="50">
        <v>8</v>
      </c>
      <c r="BA24" s="50">
        <v>8</v>
      </c>
      <c r="BB24" s="50">
        <v>8</v>
      </c>
      <c r="BC24" s="50">
        <v>8</v>
      </c>
      <c r="BD24" s="50">
        <v>8</v>
      </c>
      <c r="BE24" s="50">
        <v>8</v>
      </c>
      <c r="BF24" s="50">
        <v>8</v>
      </c>
      <c r="BG24" s="50">
        <v>8</v>
      </c>
      <c r="BH24" s="50">
        <v>8</v>
      </c>
      <c r="BI24" s="50">
        <v>8</v>
      </c>
      <c r="BJ24" s="50">
        <v>8</v>
      </c>
      <c r="BK24" s="50">
        <v>8</v>
      </c>
      <c r="BL24" s="50">
        <v>8</v>
      </c>
      <c r="BM24" s="50">
        <v>8</v>
      </c>
      <c r="BN24" s="50">
        <v>8</v>
      </c>
      <c r="BO24" s="50">
        <v>8</v>
      </c>
      <c r="BP24" s="50">
        <v>8</v>
      </c>
      <c r="BQ24" s="50">
        <v>8</v>
      </c>
      <c r="BR24" s="50">
        <v>8</v>
      </c>
      <c r="BS24" s="50">
        <v>8</v>
      </c>
      <c r="BT24" s="50">
        <v>8</v>
      </c>
      <c r="BU24" s="50">
        <v>8</v>
      </c>
      <c r="BV24" s="50">
        <v>8</v>
      </c>
      <c r="BW24" s="50">
        <v>8</v>
      </c>
      <c r="BX24" s="50">
        <v>8</v>
      </c>
      <c r="BY24" s="50">
        <v>8</v>
      </c>
      <c r="BZ24" s="50">
        <v>8</v>
      </c>
      <c r="CA24" s="50">
        <v>8</v>
      </c>
      <c r="CB24" s="50">
        <v>8</v>
      </c>
      <c r="CC24" s="50">
        <v>8</v>
      </c>
      <c r="CD24" s="50">
        <v>8</v>
      </c>
      <c r="CE24" s="50">
        <v>8</v>
      </c>
      <c r="CF24" s="50">
        <v>8</v>
      </c>
      <c r="CG24" s="50">
        <v>8</v>
      </c>
      <c r="CH24" s="50">
        <v>8</v>
      </c>
      <c r="CI24" s="50">
        <v>8</v>
      </c>
      <c r="CJ24" s="50">
        <v>8</v>
      </c>
      <c r="CK24" s="50">
        <v>8</v>
      </c>
      <c r="CL24" s="50">
        <v>8</v>
      </c>
      <c r="CM24" s="50">
        <v>8</v>
      </c>
      <c r="CN24" s="50">
        <v>8</v>
      </c>
      <c r="CO24" s="50">
        <v>8</v>
      </c>
      <c r="CP24" s="50">
        <v>8</v>
      </c>
      <c r="CQ24" s="50">
        <v>8</v>
      </c>
      <c r="CR24" s="50">
        <v>8</v>
      </c>
      <c r="CS24" s="50">
        <v>8</v>
      </c>
      <c r="CT24" s="50">
        <v>8</v>
      </c>
      <c r="CU24" s="50">
        <v>8</v>
      </c>
      <c r="CV24" s="50">
        <v>8</v>
      </c>
      <c r="CW24" s="50">
        <v>8</v>
      </c>
      <c r="CX24" s="50">
        <v>8</v>
      </c>
      <c r="CY24" s="50">
        <v>8</v>
      </c>
      <c r="CZ24" s="50">
        <v>8</v>
      </c>
      <c r="DA24" s="50">
        <v>8</v>
      </c>
      <c r="DB24" s="50">
        <v>8</v>
      </c>
      <c r="DC24" s="50">
        <v>8</v>
      </c>
      <c r="DD24" s="50">
        <v>8</v>
      </c>
      <c r="DE24" s="50">
        <v>8</v>
      </c>
      <c r="DF24" s="50">
        <v>8</v>
      </c>
      <c r="DG24" s="50">
        <v>8</v>
      </c>
      <c r="DH24" s="50">
        <v>8</v>
      </c>
      <c r="DI24" s="50">
        <v>8</v>
      </c>
      <c r="DJ24" s="50">
        <v>8</v>
      </c>
      <c r="DK24" s="50">
        <v>8</v>
      </c>
      <c r="DL24" s="50">
        <v>8</v>
      </c>
      <c r="DM24" s="50">
        <v>8</v>
      </c>
      <c r="DN24" s="50">
        <v>8</v>
      </c>
      <c r="DO24" s="50">
        <v>8</v>
      </c>
      <c r="DP24" s="50">
        <v>8</v>
      </c>
      <c r="DQ24" s="50">
        <v>8</v>
      </c>
      <c r="DR24" s="50">
        <v>8</v>
      </c>
      <c r="DS24" s="50">
        <v>8</v>
      </c>
      <c r="DT24" s="50">
        <v>8</v>
      </c>
      <c r="DU24" s="50">
        <v>8</v>
      </c>
      <c r="DV24" s="50">
        <v>8</v>
      </c>
      <c r="DW24" s="50">
        <v>8</v>
      </c>
      <c r="DX24" s="50">
        <v>8</v>
      </c>
      <c r="DY24" s="50">
        <v>8</v>
      </c>
      <c r="DZ24" s="50">
        <v>8</v>
      </c>
      <c r="EA24" s="50">
        <v>8</v>
      </c>
      <c r="EB24" s="50">
        <v>8</v>
      </c>
      <c r="EC24" s="50">
        <v>8</v>
      </c>
      <c r="ED24" s="50">
        <v>8</v>
      </c>
      <c r="EE24" s="50">
        <v>8</v>
      </c>
      <c r="EF24" s="50">
        <v>8</v>
      </c>
      <c r="EG24" s="50">
        <v>8</v>
      </c>
      <c r="EH24" s="50">
        <v>8</v>
      </c>
      <c r="EI24" s="50">
        <v>8</v>
      </c>
      <c r="EJ24" s="50">
        <v>8</v>
      </c>
      <c r="EK24" s="50">
        <v>8</v>
      </c>
      <c r="EL24" s="50">
        <v>8</v>
      </c>
      <c r="EM24" s="50">
        <v>8</v>
      </c>
      <c r="EN24" s="50">
        <v>8</v>
      </c>
      <c r="EO24" s="50">
        <v>8</v>
      </c>
      <c r="EP24" s="50">
        <v>8</v>
      </c>
      <c r="EQ24" s="50">
        <v>8</v>
      </c>
      <c r="ER24" s="50">
        <v>8</v>
      </c>
      <c r="ES24" s="50">
        <v>8</v>
      </c>
      <c r="ET24" s="50">
        <v>8</v>
      </c>
      <c r="EU24" s="50">
        <v>8</v>
      </c>
      <c r="EV24" s="50">
        <v>8</v>
      </c>
      <c r="EW24" s="50">
        <v>8</v>
      </c>
      <c r="EX24" s="50">
        <v>8</v>
      </c>
      <c r="EY24" s="50">
        <v>8</v>
      </c>
      <c r="EZ24" s="50">
        <v>8</v>
      </c>
      <c r="FA24" s="50">
        <v>8</v>
      </c>
      <c r="FB24" s="50">
        <v>8</v>
      </c>
      <c r="FC24" s="50">
        <v>8</v>
      </c>
      <c r="FD24" s="50">
        <v>8</v>
      </c>
      <c r="FE24" s="50">
        <v>8</v>
      </c>
      <c r="FF24" s="50">
        <v>8</v>
      </c>
      <c r="FG24" s="50">
        <v>8</v>
      </c>
      <c r="FH24" s="50">
        <v>8</v>
      </c>
      <c r="FI24" s="50">
        <v>8</v>
      </c>
      <c r="FJ24" s="50">
        <v>8</v>
      </c>
      <c r="FK24" s="50">
        <v>8</v>
      </c>
      <c r="FL24" s="50">
        <v>8</v>
      </c>
      <c r="FM24" s="50">
        <v>8</v>
      </c>
      <c r="FN24" s="50">
        <v>8</v>
      </c>
      <c r="FO24" s="50">
        <v>8</v>
      </c>
      <c r="FP24" s="50">
        <v>8</v>
      </c>
      <c r="FQ24" s="50">
        <v>8</v>
      </c>
      <c r="FR24" s="50">
        <v>8</v>
      </c>
      <c r="FS24" s="50">
        <v>8</v>
      </c>
      <c r="FT24" s="50">
        <v>8</v>
      </c>
      <c r="FU24" s="50">
        <v>8</v>
      </c>
      <c r="FV24" s="50">
        <v>8</v>
      </c>
      <c r="FW24" s="50">
        <v>8</v>
      </c>
      <c r="FX24" s="50">
        <v>8</v>
      </c>
      <c r="FY24" s="50">
        <v>8</v>
      </c>
      <c r="FZ24" s="50">
        <v>8</v>
      </c>
      <c r="GA24" s="50">
        <v>8</v>
      </c>
      <c r="GB24" s="50">
        <v>8</v>
      </c>
      <c r="GC24" s="50">
        <v>8</v>
      </c>
      <c r="GD24" s="50">
        <v>8</v>
      </c>
      <c r="GE24" s="50">
        <v>8</v>
      </c>
      <c r="GF24" s="50">
        <v>8</v>
      </c>
      <c r="GG24" s="50">
        <v>8</v>
      </c>
      <c r="GH24" s="50">
        <v>8</v>
      </c>
      <c r="GI24" s="50">
        <v>8</v>
      </c>
      <c r="GJ24" s="50">
        <v>8</v>
      </c>
      <c r="GK24" s="50">
        <v>8</v>
      </c>
      <c r="GL24" s="50">
        <v>8</v>
      </c>
      <c r="GM24" s="50">
        <v>8</v>
      </c>
      <c r="GN24" s="50">
        <v>8</v>
      </c>
      <c r="GO24" s="50">
        <v>8</v>
      </c>
      <c r="GP24" s="50">
        <v>8</v>
      </c>
      <c r="GQ24" s="50">
        <v>8</v>
      </c>
      <c r="GR24" s="50">
        <v>8</v>
      </c>
      <c r="GS24" s="50">
        <v>8</v>
      </c>
      <c r="GT24" s="50">
        <v>8</v>
      </c>
      <c r="GU24" s="50">
        <v>8</v>
      </c>
      <c r="GV24" s="50">
        <v>8</v>
      </c>
      <c r="GW24" s="50">
        <v>8</v>
      </c>
      <c r="GX24" s="50">
        <v>8</v>
      </c>
      <c r="GY24" s="50">
        <v>8</v>
      </c>
      <c r="GZ24" s="50">
        <v>8</v>
      </c>
      <c r="HA24" s="50">
        <v>8</v>
      </c>
      <c r="HB24" s="50">
        <v>8</v>
      </c>
      <c r="HC24" s="50">
        <v>8</v>
      </c>
      <c r="HD24" s="50">
        <v>8</v>
      </c>
      <c r="HE24" s="50">
        <v>8</v>
      </c>
      <c r="HF24" s="50">
        <v>8</v>
      </c>
      <c r="HG24" s="50">
        <v>8</v>
      </c>
      <c r="HH24" s="50">
        <v>8</v>
      </c>
      <c r="HI24" s="50">
        <v>8</v>
      </c>
      <c r="HJ24" s="50">
        <v>8</v>
      </c>
      <c r="HK24" s="50">
        <v>8</v>
      </c>
      <c r="HL24" s="50">
        <v>8</v>
      </c>
      <c r="HM24" s="50">
        <v>8</v>
      </c>
      <c r="HN24" s="50">
        <v>8</v>
      </c>
      <c r="HO24" s="50">
        <v>8</v>
      </c>
      <c r="HP24" s="50">
        <v>8</v>
      </c>
      <c r="HQ24" s="50">
        <v>8</v>
      </c>
      <c r="HR24" s="50">
        <v>8</v>
      </c>
      <c r="HS24" s="50">
        <v>8</v>
      </c>
      <c r="HT24" s="50">
        <v>8</v>
      </c>
      <c r="HU24" s="50">
        <v>8</v>
      </c>
      <c r="HV24" s="50">
        <v>8</v>
      </c>
      <c r="HW24" s="50">
        <v>8</v>
      </c>
      <c r="HX24" s="50">
        <v>8</v>
      </c>
      <c r="HY24" s="50">
        <v>8</v>
      </c>
      <c r="HZ24" s="50">
        <v>8</v>
      </c>
      <c r="IA24" s="50">
        <v>8</v>
      </c>
      <c r="IB24" s="50">
        <v>8</v>
      </c>
      <c r="IC24" s="50">
        <v>8</v>
      </c>
      <c r="ID24" s="50">
        <v>8</v>
      </c>
      <c r="IE24" s="50">
        <v>8</v>
      </c>
      <c r="IF24" s="50">
        <v>8</v>
      </c>
      <c r="IG24" s="50">
        <v>8</v>
      </c>
      <c r="IH24" s="50">
        <v>8</v>
      </c>
      <c r="II24" s="50">
        <v>8</v>
      </c>
      <c r="IJ24" s="50">
        <v>8</v>
      </c>
      <c r="IK24" s="50">
        <v>8</v>
      </c>
      <c r="IL24" s="50">
        <v>8</v>
      </c>
      <c r="IM24" s="50">
        <v>8</v>
      </c>
      <c r="IN24" s="50">
        <v>8</v>
      </c>
      <c r="IO24" s="50">
        <v>8</v>
      </c>
      <c r="IP24" s="50">
        <v>8</v>
      </c>
      <c r="IQ24" s="50">
        <v>8</v>
      </c>
      <c r="IR24" s="50">
        <v>8</v>
      </c>
      <c r="IS24" s="50">
        <v>8</v>
      </c>
      <c r="IT24" s="50">
        <v>8</v>
      </c>
      <c r="IU24" s="50">
        <v>23</v>
      </c>
    </row>
  </sheetData>
  <sheetProtection autoFilter="0" deleteColumns="1" deleteRows="1" formatCells="1" formatColumns="0" formatRows="0" insertColumns="1" insertHyperlinks="1" insertRows="1" objects="0" pivotTables="1" scenarios="0" selectLockedCells="0" selectUnlockedCells="0" sheet="1" sort="1"/>
  <mergeCells count="4">
    <mergeCell ref="E5:J5"/>
    <mergeCell ref="E7:I7"/>
    <mergeCell ref="J7:J8"/>
    <mergeCell ref="J9:J10"/>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disablePrompts="0">
        <x14:dataValidation xr:uid="{00B40002-0061-458E-B071-001F004A00B8}" type="textLength" allowBlank="1" errorStyle="stop" imeMode="noControl" operator="between" prompt="ОГРН состоит из 13 цифр, ОГРНИП - из 15" showDropDown="0" showErrorMessage="1" showInputMessage="1">
          <x14:formula1>
            <xm:f>13</xm:f>
          </x14:formula1>
          <x14:formula2>
            <xm:f>15</xm:f>
          </x14:formula2>
          <xm:sqref>I9 I2</xm:sqref>
        </x14:dataValidation>
        <x14:dataValidation xr:uid="{00A50085-00CA-4965-9D02-00AB005F0097}" type="textLength" allowBlank="1" errorStyle="stop" imeMode="noControl" operator="between" showDropDown="0" showErrorMessage="1" showInputMessage="1">
          <x14:formula1>
            <xm:f>13</xm:f>
          </x14:formula1>
          <x14:formula2>
            <xm:f>15</xm:f>
          </x14:formula2>
          <xm:sqref>I3</xm:sqref>
        </x14:dataValidation>
      </x14:dataValidations>
    </ext>
  </extLst>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zoomScale="90" workbookViewId="0">
      <pane xSplit="6" ySplit="9" topLeftCell="G10" activePane="bottomRight" state="frozen"/>
      <selection activeCell="A1" activeCellId="0" sqref="A1"/>
    </sheetView>
  </sheetViews>
  <sheetFormatPr defaultColWidth="9.140625" defaultRowHeight="14.25" customHeight="1"/>
  <cols>
    <col hidden="1" min="1" max="1" style="50" width="9.140625"/>
    <col hidden="1" min="2" max="2" style="53" width="9.140625"/>
    <col customWidth="1" hidden="1" min="3" max="3" style="50" width="3.7109375"/>
    <col customWidth="1" min="4" max="4" style="128" width="3.00390625"/>
    <col customWidth="1" min="5" max="5" style="50" width="6.00390625"/>
    <col customWidth="1" min="6" max="6" style="50" width="27.00390625"/>
    <col customWidth="1" min="7" max="7" style="50" width="16.00390625"/>
    <col customWidth="1" min="8" max="8" style="50" width="12.00390625"/>
    <col customWidth="1" min="9" max="9" style="50" width="32.00390625"/>
    <col customWidth="1" min="10" max="11" style="50" width="41.00390625"/>
    <col customWidth="1" min="12" max="12" style="50" width="89.00390625"/>
    <col customWidth="1" min="13" max="13" style="129" width="3.00390625"/>
    <col customWidth="1" min="14" max="16" style="129" width="8.00390625"/>
    <col customWidth="1" min="17" max="17" style="129" width="25.00390625"/>
    <col customWidth="1" min="18" max="18" style="129" width="14.00390625"/>
    <col customWidth="1" min="19" max="22" style="130" width="8.00390625"/>
    <col customWidth="1" min="23" max="256" style="50" width="8.00390625"/>
    <col hidden="1" min="257" max="257" style="50" width="9.140625"/>
  </cols>
  <sheetData>
    <row r="1" ht="22.5" hidden="1" customHeight="1">
      <c r="IW1" s="50" t="s">
        <v>14</v>
      </c>
    </row>
    <row r="2" s="63" customFormat="1" ht="22.5" hidden="1" customHeight="1">
      <c r="A2" s="120"/>
      <c r="B2" s="53">
        <v>1</v>
      </c>
      <c r="C2" s="53"/>
      <c r="D2" s="966" t="s">
        <v>693</v>
      </c>
      <c r="E2" s="73"/>
      <c r="F2" s="553" t="str">
        <f>IF(ROIV_INFO_NAME="","",ROIV_INFO_NAME)</f>
        <v xml:space="preserve">АО "ДГК"</v>
      </c>
      <c r="G2" s="1096" t="s">
        <v>28</v>
      </c>
      <c r="H2" s="1097"/>
      <c r="I2" s="1091"/>
      <c r="J2" s="768"/>
      <c r="K2" s="768"/>
      <c r="L2" s="136"/>
      <c r="M2" s="1086" t="e">
        <f>MERGEVALUE(F2)</f>
        <v>#NAME?</v>
      </c>
      <c r="N2" s="57"/>
      <c r="O2" s="57"/>
      <c r="P2" s="129" t="str">
        <f t="array" ref="P2">IF(ISERROR(MATCH(MID(Q2,1,250),MID(note_ter,1,250),0)),"n","y")</f>
        <v>n</v>
      </c>
      <c r="Q2" s="57"/>
      <c r="R2" s="129" t="str">
        <f>G2&amp;"("&amp;L2&amp;")"</f>
        <v>()</v>
      </c>
      <c r="S2" s="53"/>
      <c r="T2" s="53"/>
      <c r="U2" s="166"/>
      <c r="V2" s="53"/>
      <c r="W2" s="53"/>
      <c r="X2" s="53"/>
      <c r="Y2" s="64"/>
      <c r="Z2" s="64"/>
      <c r="AA2" s="167"/>
      <c r="AB2" s="167"/>
      <c r="AC2" s="167"/>
      <c r="AD2" s="167"/>
      <c r="AE2" s="167"/>
      <c r="AF2" s="167"/>
      <c r="AG2" s="167"/>
      <c r="AH2" s="167"/>
      <c r="AI2" s="167"/>
      <c r="AJ2" s="167"/>
      <c r="AK2" s="167"/>
      <c r="AL2" s="167"/>
      <c r="AM2" s="167"/>
      <c r="AN2" s="167"/>
      <c r="AO2" s="167"/>
      <c r="AP2" s="167"/>
      <c r="AQ2" s="167"/>
      <c r="AR2" s="167"/>
      <c r="AS2" s="167"/>
      <c r="AT2" s="167"/>
      <c r="AU2" s="167"/>
      <c r="AV2" s="167"/>
      <c r="AW2" s="167"/>
      <c r="AX2" s="167"/>
      <c r="AY2" s="167"/>
      <c r="AZ2" s="167"/>
      <c r="BA2" s="167"/>
      <c r="BB2" s="167"/>
      <c r="BC2" s="167"/>
      <c r="BD2" s="167"/>
      <c r="BE2" s="167"/>
      <c r="BF2" s="167"/>
      <c r="BG2" s="167"/>
      <c r="BH2" s="167"/>
      <c r="BI2" s="167"/>
      <c r="BJ2" s="167"/>
      <c r="BK2" s="167"/>
      <c r="BL2" s="167"/>
      <c r="BM2" s="167"/>
      <c r="BN2" s="167"/>
      <c r="BO2" s="167"/>
      <c r="BP2" s="167"/>
      <c r="BQ2" s="167"/>
      <c r="BR2" s="167"/>
      <c r="BS2" s="167"/>
      <c r="BT2" s="167"/>
      <c r="BU2" s="167"/>
      <c r="BV2" s="64"/>
      <c r="BW2" s="64"/>
      <c r="BX2" s="64"/>
      <c r="BY2" s="64"/>
      <c r="BZ2" s="64"/>
      <c r="CA2" s="64"/>
      <c r="CB2" s="64"/>
      <c r="CC2" s="64"/>
      <c r="CD2" s="64"/>
      <c r="CE2" s="64"/>
      <c r="IW2" s="63">
        <v>0</v>
      </c>
    </row>
    <row r="3" s="57" customFormat="1" ht="5.25" hidden="1" customHeight="1">
      <c r="A3" s="131"/>
      <c r="D3" s="132"/>
      <c r="F3" s="133" t="s">
        <v>84</v>
      </c>
      <c r="G3" s="1098" t="s">
        <v>85</v>
      </c>
      <c r="H3" s="132"/>
      <c r="I3" s="132"/>
      <c r="J3" s="132"/>
      <c r="K3" s="132"/>
      <c r="L3" s="134" t="s">
        <v>86</v>
      </c>
      <c r="M3" s="133" t="s">
        <v>84</v>
      </c>
      <c r="N3" s="133"/>
      <c r="O3" s="133"/>
      <c r="P3" s="133"/>
      <c r="Q3" s="133"/>
      <c r="R3" s="133"/>
      <c r="S3" s="133"/>
      <c r="T3" s="133"/>
      <c r="U3" s="133"/>
      <c r="V3" s="133"/>
      <c r="W3" s="134"/>
      <c r="X3" s="134"/>
      <c r="Y3" s="134"/>
      <c r="Z3" s="134"/>
      <c r="AA3" s="134"/>
      <c r="AB3" s="134"/>
      <c r="AC3" s="134"/>
      <c r="AD3" s="134"/>
      <c r="AE3" s="134"/>
      <c r="AF3" s="134"/>
      <c r="AG3" s="134"/>
      <c r="AH3" s="134"/>
      <c r="AI3" s="134"/>
      <c r="AJ3" s="134"/>
      <c r="AK3" s="134"/>
      <c r="AL3" s="134"/>
      <c r="AM3" s="134"/>
      <c r="AN3" s="134"/>
      <c r="AO3" s="134"/>
      <c r="AP3" s="134"/>
      <c r="AQ3" s="134"/>
      <c r="AR3" s="134"/>
      <c r="AS3" s="134"/>
      <c r="AT3" s="134"/>
      <c r="AU3" s="134"/>
      <c r="AV3" s="134"/>
      <c r="AW3" s="134"/>
      <c r="AX3" s="134"/>
      <c r="AY3" s="134"/>
      <c r="AZ3" s="134"/>
      <c r="BA3" s="134"/>
      <c r="BB3" s="134"/>
      <c r="BC3" s="134"/>
      <c r="BD3" s="134"/>
      <c r="BE3" s="134"/>
      <c r="BF3" s="134"/>
      <c r="BG3" s="134"/>
      <c r="BH3" s="134"/>
      <c r="BI3" s="134"/>
      <c r="BJ3" s="134"/>
      <c r="BK3" s="134"/>
      <c r="BL3" s="134"/>
      <c r="BM3" s="134"/>
      <c r="BN3" s="134"/>
      <c r="BO3" s="134"/>
      <c r="BP3" s="134"/>
      <c r="BQ3" s="134"/>
      <c r="BR3" s="134"/>
      <c r="BS3" s="134"/>
      <c r="BT3" s="134"/>
      <c r="BU3" s="134"/>
      <c r="BV3" s="134"/>
      <c r="BW3" s="134"/>
      <c r="BX3" s="134"/>
      <c r="BY3" s="134"/>
      <c r="BZ3" s="134"/>
      <c r="CA3" s="134"/>
      <c r="CB3" s="134"/>
      <c r="CC3" s="134"/>
      <c r="CD3" s="134"/>
      <c r="CE3" s="134"/>
      <c r="CF3" s="134"/>
      <c r="CG3" s="134"/>
      <c r="CH3" s="134"/>
      <c r="CI3" s="134"/>
      <c r="CJ3" s="134"/>
      <c r="CK3" s="134"/>
      <c r="CL3" s="134"/>
      <c r="CM3" s="134"/>
      <c r="CN3" s="134"/>
      <c r="CO3" s="134"/>
      <c r="CP3" s="134"/>
      <c r="CQ3" s="134"/>
      <c r="CR3" s="134"/>
      <c r="CS3" s="134"/>
      <c r="CT3" s="134"/>
      <c r="CU3" s="134"/>
      <c r="CV3" s="134"/>
      <c r="CW3" s="134"/>
      <c r="CX3" s="134"/>
      <c r="CY3" s="134"/>
      <c r="CZ3" s="134"/>
      <c r="DA3" s="134"/>
      <c r="DB3" s="134"/>
      <c r="DC3" s="134"/>
      <c r="DD3" s="134"/>
      <c r="DE3" s="134"/>
      <c r="DF3" s="134"/>
      <c r="DG3" s="134"/>
      <c r="DH3" s="134"/>
      <c r="DI3" s="134"/>
      <c r="DJ3" s="134"/>
      <c r="DK3" s="134"/>
      <c r="DL3" s="134"/>
      <c r="DM3" s="134"/>
      <c r="DN3" s="134"/>
      <c r="DO3" s="134"/>
      <c r="DP3" s="134"/>
      <c r="DQ3" s="134"/>
      <c r="DR3" s="134"/>
      <c r="DS3" s="134"/>
      <c r="DT3" s="134"/>
      <c r="DU3" s="134"/>
      <c r="DV3" s="134"/>
      <c r="DW3" s="134"/>
      <c r="DX3" s="134"/>
      <c r="DY3" s="134"/>
      <c r="DZ3" s="134"/>
      <c r="EA3" s="134"/>
      <c r="EB3" s="134"/>
      <c r="EC3" s="134"/>
      <c r="ED3" s="134"/>
      <c r="EE3" s="134"/>
      <c r="EF3" s="134"/>
      <c r="EG3" s="134"/>
      <c r="EH3" s="134"/>
      <c r="EI3" s="134"/>
      <c r="EJ3" s="134"/>
      <c r="EK3" s="134"/>
      <c r="EL3" s="134"/>
      <c r="EM3" s="134"/>
      <c r="EN3" s="134"/>
      <c r="EO3" s="134"/>
      <c r="EP3" s="134"/>
      <c r="EQ3" s="134"/>
      <c r="ER3" s="134"/>
      <c r="ES3" s="134"/>
      <c r="ET3" s="134"/>
      <c r="EU3" s="134"/>
      <c r="EV3" s="134"/>
      <c r="EW3" s="134"/>
      <c r="EX3" s="134"/>
      <c r="EY3" s="134"/>
      <c r="EZ3" s="134"/>
      <c r="FA3" s="134"/>
      <c r="FB3" s="134"/>
      <c r="FC3" s="134"/>
      <c r="FD3" s="134"/>
      <c r="FE3" s="134"/>
      <c r="FF3" s="134"/>
      <c r="FG3" s="134"/>
      <c r="FH3" s="134"/>
      <c r="FI3" s="134"/>
      <c r="FJ3" s="134"/>
      <c r="FK3" s="134"/>
      <c r="FL3" s="134"/>
      <c r="FM3" s="134"/>
      <c r="FN3" s="134"/>
      <c r="FO3" s="134"/>
      <c r="FP3" s="134"/>
      <c r="FQ3" s="134"/>
      <c r="FR3" s="134"/>
      <c r="FS3" s="134"/>
      <c r="FT3" s="134"/>
      <c r="FU3" s="134"/>
      <c r="FV3" s="134"/>
      <c r="FW3" s="134"/>
      <c r="FX3" s="134"/>
      <c r="FY3" s="134"/>
      <c r="FZ3" s="134"/>
      <c r="GA3" s="134"/>
      <c r="GB3" s="134"/>
      <c r="GC3" s="134"/>
      <c r="GD3" s="134"/>
      <c r="GE3" s="134"/>
      <c r="GF3" s="134"/>
      <c r="GG3" s="134"/>
      <c r="GH3" s="134"/>
      <c r="GI3" s="134"/>
      <c r="GJ3" s="134"/>
      <c r="GK3" s="134"/>
      <c r="GL3" s="134"/>
      <c r="GM3" s="134"/>
      <c r="GN3" s="134"/>
      <c r="GO3" s="134"/>
      <c r="GP3" s="134"/>
      <c r="GQ3" s="134"/>
      <c r="GR3" s="134"/>
      <c r="GS3" s="134"/>
      <c r="GT3" s="134"/>
      <c r="GU3" s="134"/>
      <c r="GV3" s="134"/>
      <c r="GW3" s="134"/>
      <c r="GX3" s="134"/>
      <c r="GY3" s="134"/>
      <c r="GZ3" s="134"/>
      <c r="HA3" s="134"/>
      <c r="HB3" s="134"/>
      <c r="HC3" s="134"/>
      <c r="HD3" s="134"/>
      <c r="HE3" s="134"/>
      <c r="HF3" s="134"/>
      <c r="HG3" s="134"/>
      <c r="HH3" s="134"/>
      <c r="HI3" s="134"/>
      <c r="HJ3" s="134"/>
      <c r="HK3" s="134"/>
      <c r="HL3" s="134"/>
      <c r="HM3" s="134"/>
      <c r="HN3" s="134"/>
      <c r="HO3" s="134"/>
      <c r="HP3" s="134"/>
      <c r="HQ3" s="134"/>
      <c r="HR3" s="134"/>
      <c r="HS3" s="134"/>
      <c r="HT3" s="134"/>
      <c r="HU3" s="134"/>
      <c r="HV3" s="134"/>
      <c r="HW3" s="134"/>
      <c r="HX3" s="134"/>
      <c r="HY3" s="134"/>
      <c r="HZ3" s="134"/>
      <c r="IA3" s="134"/>
      <c r="IB3" s="134"/>
      <c r="IC3" s="134"/>
      <c r="ID3" s="134"/>
      <c r="IE3" s="134"/>
      <c r="IF3" s="134"/>
      <c r="IG3" s="134"/>
      <c r="IH3" s="134"/>
      <c r="II3" s="134"/>
      <c r="IJ3" s="134"/>
      <c r="IK3" s="134"/>
      <c r="IL3" s="134"/>
      <c r="IM3" s="134"/>
      <c r="IN3" s="134"/>
      <c r="IO3" s="134"/>
      <c r="IP3" s="134"/>
      <c r="IQ3" s="134"/>
      <c r="IR3" s="134"/>
      <c r="IS3" s="134"/>
      <c r="IT3" s="134"/>
      <c r="IU3" s="134"/>
      <c r="IV3" s="134"/>
      <c r="IW3" s="57">
        <v>0</v>
      </c>
    </row>
    <row r="4" s="139" customFormat="1" ht="14.65" customHeight="1">
      <c r="A4" s="50"/>
      <c r="B4" s="53"/>
      <c r="C4" s="50"/>
      <c r="D4" s="128"/>
      <c r="E4" s="50"/>
      <c r="F4" s="50"/>
      <c r="G4" s="50"/>
      <c r="H4" s="50"/>
      <c r="I4" s="50"/>
      <c r="J4" s="50"/>
      <c r="K4" s="50"/>
      <c r="L4" s="140"/>
      <c r="M4" s="133"/>
      <c r="N4" s="129"/>
      <c r="O4" s="129"/>
      <c r="P4" s="129"/>
      <c r="Q4" s="129"/>
      <c r="R4" s="129"/>
      <c r="S4" s="130"/>
      <c r="T4" s="130"/>
      <c r="U4" s="130"/>
      <c r="V4" s="130"/>
      <c r="IW4" s="139">
        <v>14</v>
      </c>
    </row>
    <row r="5" s="139" customFormat="1" ht="27.300000000000001" customHeight="1">
      <c r="A5" s="50"/>
      <c r="B5" s="53"/>
      <c r="C5" s="50"/>
      <c r="D5" s="128"/>
      <c r="E5" s="141" t="str">
        <f>"Форма "&amp;IF(TEMPLATE_SPHERE="HEAT","4","3")&amp;". Информация о рассмотрении дел об установлении "&amp;IF(TEMPLATE_SPHERE="TKO","предельных тарифов","тарифов в сфере "&amp;TEMPLATE_SPHERE_RUS)</f>
        <v xml:space="preserve">Форма 4. Информация о рассмотрении дел об установлении тарифов в сфере теплоснабжения</v>
      </c>
      <c r="F5" s="141"/>
      <c r="G5" s="141"/>
      <c r="H5" s="141"/>
      <c r="I5" s="141"/>
      <c r="J5" s="141"/>
      <c r="K5" s="141"/>
      <c r="L5" s="50"/>
      <c r="M5" s="133"/>
      <c r="N5" s="129"/>
      <c r="O5" s="129"/>
      <c r="P5" s="129"/>
      <c r="Q5" s="129"/>
      <c r="R5" s="129"/>
      <c r="S5" s="130"/>
      <c r="T5" s="130"/>
      <c r="U5" s="130"/>
      <c r="V5" s="130"/>
      <c r="IW5" s="139">
        <v>26</v>
      </c>
    </row>
    <row r="6" s="139" customFormat="1" ht="14.65" customHeight="1">
      <c r="A6" s="50"/>
      <c r="B6" s="53"/>
      <c r="C6" s="50"/>
      <c r="D6" s="128"/>
      <c r="E6" s="50"/>
      <c r="F6" s="142"/>
      <c r="G6" s="142"/>
      <c r="H6" s="142"/>
      <c r="I6" s="142"/>
      <c r="J6" s="142"/>
      <c r="K6" s="142"/>
      <c r="L6" s="120"/>
      <c r="M6" s="129"/>
      <c r="N6" s="129"/>
      <c r="O6" s="129"/>
      <c r="P6" s="129"/>
      <c r="Q6" s="129"/>
      <c r="R6" s="129"/>
      <c r="S6" s="130"/>
      <c r="T6" s="130"/>
      <c r="U6" s="130"/>
      <c r="V6" s="130"/>
      <c r="IW6" s="139">
        <v>14</v>
      </c>
    </row>
    <row r="7" s="139" customFormat="1" ht="14.65" customHeight="1">
      <c r="A7" s="50"/>
      <c r="B7" s="53"/>
      <c r="C7" s="50"/>
      <c r="D7" s="128"/>
      <c r="E7" s="73" t="s">
        <v>305</v>
      </c>
      <c r="F7" s="145"/>
      <c r="G7" s="145"/>
      <c r="H7" s="145"/>
      <c r="I7" s="145"/>
      <c r="J7" s="145"/>
      <c r="K7" s="145"/>
      <c r="L7" s="868" t="s">
        <v>306</v>
      </c>
      <c r="M7" s="129"/>
      <c r="N7" s="129"/>
      <c r="O7" s="129"/>
      <c r="P7" s="129"/>
      <c r="Q7" s="129"/>
      <c r="R7" s="129"/>
      <c r="S7" s="130"/>
      <c r="T7" s="130"/>
      <c r="U7" s="130"/>
      <c r="V7" s="130"/>
      <c r="IW7" s="139">
        <v>14</v>
      </c>
    </row>
    <row r="8" s="139" customFormat="1" ht="67.200000000000003" customHeight="1">
      <c r="A8" s="50"/>
      <c r="B8" s="53"/>
      <c r="C8" s="50"/>
      <c r="D8" s="128"/>
      <c r="E8" s="1088" t="s">
        <v>89</v>
      </c>
      <c r="F8" s="108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 xml:space="preserve">Наименование органа тарифного регулирования</v>
      </c>
      <c r="G8" s="147"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 xml:space="preserve">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1099"/>
      <c r="I8" s="1100"/>
      <c r="J8" s="108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 xml:space="preserve">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108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 xml:space="preserve">Протокол заседания правления (коллегии) органа тарифного регулирования, оформленный в соответствии с законодательством Российской Федерации</v>
      </c>
      <c r="L8" s="1101"/>
      <c r="M8" s="129"/>
      <c r="N8" s="129"/>
      <c r="O8" s="129"/>
      <c r="P8" s="129"/>
      <c r="Q8" s="129"/>
      <c r="R8" s="129"/>
      <c r="S8" s="130"/>
      <c r="T8" s="130"/>
      <c r="U8" s="130"/>
      <c r="V8" s="130"/>
      <c r="IW8" s="139">
        <v>64</v>
      </c>
    </row>
    <row r="9" s="139" customFormat="1" ht="29.25" customHeight="1">
      <c r="A9" s="50"/>
      <c r="B9" s="53"/>
      <c r="C9" s="50"/>
      <c r="D9" s="128"/>
      <c r="E9" s="1102"/>
      <c r="F9" s="1102"/>
      <c r="G9" s="1102" t="s">
        <v>1879</v>
      </c>
      <c r="H9" s="1102" t="s">
        <v>1880</v>
      </c>
      <c r="I9" s="1102" t="s">
        <v>1881</v>
      </c>
      <c r="J9" s="1102"/>
      <c r="K9" s="1102"/>
      <c r="L9" s="1089"/>
      <c r="M9" s="129"/>
      <c r="N9" s="129"/>
      <c r="O9" s="129"/>
      <c r="P9" s="129"/>
      <c r="Q9" s="129"/>
      <c r="R9" s="129"/>
      <c r="S9" s="130"/>
      <c r="T9" s="130"/>
      <c r="U9" s="130"/>
      <c r="V9" s="130"/>
      <c r="IW9" s="139">
        <v>28</v>
      </c>
    </row>
    <row r="10" s="63" customFormat="1" ht="23.25" customHeight="1">
      <c r="A10" s="51"/>
      <c r="B10" s="53">
        <v>1</v>
      </c>
      <c r="C10" s="53"/>
      <c r="D10" s="161"/>
      <c r="E10" s="162">
        <v>1</v>
      </c>
      <c r="F10" s="1103" t="str">
        <f>IF(ROIV_INFO_NAME="","",ROIV_INFO_NAME)</f>
        <v xml:space="preserve">АО "ДГК"</v>
      </c>
      <c r="G10" s="89" t="s">
        <v>28</v>
      </c>
      <c r="H10" s="1097"/>
      <c r="I10" s="1104"/>
      <c r="J10" s="768"/>
      <c r="K10" s="768"/>
      <c r="L10" s="92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 xml:space="preserve">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086" t="e">
        <f>MERGEVALUE(F10)</f>
        <v>#NAME?</v>
      </c>
      <c r="N10" s="57"/>
      <c r="O10" s="57"/>
      <c r="P10" s="129" t="str">
        <f t="array" ref="P10">IF(ISERROR(MATCH(MID(Q10,1,250),MID(note_ter,1,250),0)),"n","y")</f>
        <v>n</v>
      </c>
      <c r="Q10" s="57"/>
      <c r="R10" s="129" t="str">
        <f>G10&amp;"("&amp;L10&amp;")"</f>
        <v xml:space="preserve">(В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53"/>
      <c r="T10" s="53"/>
      <c r="U10" s="166"/>
      <c r="V10" s="53"/>
      <c r="W10" s="53"/>
      <c r="X10" s="53"/>
      <c r="Y10" s="64"/>
      <c r="Z10" s="64"/>
      <c r="AA10" s="167"/>
      <c r="AB10" s="167"/>
      <c r="AC10" s="167"/>
      <c r="AD10" s="167"/>
      <c r="AE10" s="167"/>
      <c r="AF10" s="167"/>
      <c r="AG10" s="167"/>
      <c r="AH10" s="167"/>
      <c r="AI10" s="167"/>
      <c r="AJ10" s="167"/>
      <c r="AK10" s="167"/>
      <c r="AL10" s="167"/>
      <c r="AM10" s="167"/>
      <c r="AN10" s="167"/>
      <c r="AO10" s="167"/>
      <c r="AP10" s="167"/>
      <c r="AQ10" s="167"/>
      <c r="AR10" s="167"/>
      <c r="AS10" s="167"/>
      <c r="AT10" s="167"/>
      <c r="AU10" s="167"/>
      <c r="AV10" s="167"/>
      <c r="AW10" s="167"/>
      <c r="AX10" s="167"/>
      <c r="AY10" s="167"/>
      <c r="AZ10" s="167"/>
      <c r="BA10" s="167"/>
      <c r="BB10" s="167"/>
      <c r="BC10" s="167"/>
      <c r="BD10" s="167"/>
      <c r="BE10" s="167"/>
      <c r="BF10" s="167"/>
      <c r="BG10" s="167"/>
      <c r="BH10" s="167"/>
      <c r="BI10" s="167"/>
      <c r="BJ10" s="167"/>
      <c r="BK10" s="167"/>
      <c r="BL10" s="167"/>
      <c r="BM10" s="167"/>
      <c r="BN10" s="167"/>
      <c r="BO10" s="167"/>
      <c r="BP10" s="167"/>
      <c r="BQ10" s="167"/>
      <c r="BR10" s="167"/>
      <c r="BS10" s="167"/>
      <c r="BT10" s="167"/>
      <c r="BU10" s="167"/>
      <c r="BV10" s="64"/>
      <c r="BW10" s="64"/>
      <c r="BX10" s="64"/>
      <c r="BY10" s="64"/>
      <c r="BZ10" s="64"/>
      <c r="CA10" s="64"/>
      <c r="CB10" s="64"/>
      <c r="CC10" s="64"/>
      <c r="CD10" s="64"/>
      <c r="CE10" s="64"/>
      <c r="IW10" s="63">
        <v>22</v>
      </c>
    </row>
    <row r="11" s="63" customFormat="1" ht="15.75" customHeight="1">
      <c r="A11" s="51"/>
      <c r="B11" s="53"/>
      <c r="C11" s="168"/>
      <c r="D11" s="169"/>
      <c r="E11" s="170"/>
      <c r="F11" s="177" t="s">
        <v>1882</v>
      </c>
      <c r="G11" s="173"/>
      <c r="H11" s="173"/>
      <c r="I11" s="173"/>
      <c r="J11" s="173"/>
      <c r="K11" s="174"/>
      <c r="L11" s="1105"/>
      <c r="M11" s="1095"/>
      <c r="N11" s="57"/>
      <c r="O11" s="57"/>
      <c r="P11" s="57"/>
      <c r="Q11" s="129"/>
      <c r="R11" s="57"/>
      <c r="S11" s="53"/>
      <c r="T11" s="53"/>
      <c r="U11" s="166"/>
      <c r="V11" s="53"/>
      <c r="W11" s="53"/>
      <c r="X11" s="53"/>
      <c r="Y11" s="64"/>
      <c r="Z11" s="64"/>
      <c r="AA11" s="167"/>
      <c r="AB11" s="167"/>
      <c r="AC11" s="167"/>
      <c r="AD11" s="167"/>
      <c r="AE11" s="167"/>
      <c r="AF11" s="167"/>
      <c r="AG11" s="167"/>
      <c r="AH11" s="167"/>
      <c r="AI11" s="167"/>
      <c r="AJ11" s="167"/>
      <c r="AK11" s="167"/>
      <c r="AL11" s="167"/>
      <c r="AM11" s="167"/>
      <c r="AN11" s="167"/>
      <c r="AO11" s="167"/>
      <c r="AP11" s="167"/>
      <c r="AQ11" s="167"/>
      <c r="AR11" s="167"/>
      <c r="AS11" s="167"/>
      <c r="AT11" s="167"/>
      <c r="AU11" s="167"/>
      <c r="AV11" s="167"/>
      <c r="AW11" s="167"/>
      <c r="AX11" s="167"/>
      <c r="AY11" s="167"/>
      <c r="AZ11" s="167"/>
      <c r="BA11" s="167"/>
      <c r="BB11" s="167"/>
      <c r="BC11" s="167"/>
      <c r="BD11" s="167"/>
      <c r="BE11" s="167"/>
      <c r="BF11" s="167"/>
      <c r="BG11" s="167"/>
      <c r="BH11" s="167"/>
      <c r="BI11" s="167"/>
      <c r="BJ11" s="167"/>
      <c r="BK11" s="167"/>
      <c r="BL11" s="167"/>
      <c r="BM11" s="167"/>
      <c r="BN11" s="167"/>
      <c r="BO11" s="167"/>
      <c r="BP11" s="167"/>
      <c r="BQ11" s="167"/>
      <c r="BR11" s="167"/>
      <c r="BS11" s="167"/>
      <c r="BT11" s="167"/>
      <c r="BU11" s="167"/>
      <c r="BV11" s="64"/>
      <c r="BW11" s="64"/>
      <c r="BX11" s="64"/>
      <c r="BY11" s="64"/>
      <c r="BZ11" s="64"/>
      <c r="CA11" s="64"/>
      <c r="CB11" s="64"/>
      <c r="CC11" s="64"/>
      <c r="CD11" s="64"/>
      <c r="CE11" s="64"/>
      <c r="IW11" s="63">
        <v>15</v>
      </c>
    </row>
    <row r="12" s="139" customFormat="1" ht="22" customHeight="1">
      <c r="A12" s="50"/>
      <c r="B12" s="53"/>
      <c r="C12" s="50"/>
      <c r="D12" s="128"/>
      <c r="E12" s="179"/>
      <c r="F12" s="179"/>
      <c r="G12" s="179"/>
      <c r="H12" s="179"/>
      <c r="I12" s="179"/>
      <c r="J12" s="179"/>
      <c r="K12" s="179"/>
      <c r="L12" s="179"/>
      <c r="M12" s="129"/>
      <c r="N12" s="129"/>
      <c r="O12" s="129"/>
      <c r="P12" s="129"/>
      <c r="Q12" s="129"/>
      <c r="R12" s="129"/>
      <c r="S12" s="130"/>
      <c r="T12" s="130"/>
      <c r="U12" s="130"/>
      <c r="V12" s="130"/>
      <c r="IW12" s="139">
        <v>21</v>
      </c>
    </row>
    <row r="13" s="139" customFormat="1" ht="14.65" customHeight="1">
      <c r="A13" s="50"/>
      <c r="B13" s="53"/>
      <c r="C13" s="50"/>
      <c r="D13" s="128"/>
      <c r="E13" s="50"/>
      <c r="F13" s="50"/>
      <c r="G13" s="50"/>
      <c r="H13" s="50"/>
      <c r="I13" s="50"/>
      <c r="J13" s="50"/>
      <c r="K13" s="50"/>
      <c r="L13" s="50"/>
      <c r="M13" s="129"/>
      <c r="N13" s="129"/>
      <c r="O13" s="129"/>
      <c r="P13" s="129"/>
      <c r="Q13" s="129"/>
      <c r="R13" s="129"/>
      <c r="S13" s="130"/>
      <c r="T13" s="130"/>
      <c r="U13" s="130"/>
      <c r="V13" s="130"/>
      <c r="IW13" s="139">
        <v>14</v>
      </c>
    </row>
    <row r="14" s="139" customFormat="1" ht="1.05" customHeight="1">
      <c r="A14" s="50"/>
      <c r="B14" s="53"/>
      <c r="C14" s="50"/>
      <c r="D14" s="128"/>
      <c r="E14" s="50"/>
      <c r="F14" s="50"/>
      <c r="G14" s="50"/>
      <c r="H14" s="50"/>
      <c r="I14" s="50"/>
      <c r="J14" s="50"/>
      <c r="K14" s="50"/>
      <c r="L14" s="50"/>
      <c r="M14" s="129"/>
      <c r="N14" s="129"/>
      <c r="O14" s="129"/>
      <c r="P14" s="129"/>
      <c r="Q14" s="129"/>
      <c r="R14" s="129"/>
      <c r="S14" s="130"/>
      <c r="T14" s="130"/>
      <c r="U14" s="130"/>
      <c r="V14" s="130"/>
      <c r="IW14" s="139">
        <v>1</v>
      </c>
    </row>
    <row r="15" ht="22.5" hidden="1" customHeight="1">
      <c r="A15" s="50" t="s">
        <v>83</v>
      </c>
      <c r="B15" s="53">
        <v>0</v>
      </c>
      <c r="C15" s="50">
        <v>0</v>
      </c>
      <c r="D15" s="128">
        <v>3</v>
      </c>
      <c r="E15" s="50">
        <v>6</v>
      </c>
      <c r="F15" s="50">
        <v>27</v>
      </c>
      <c r="G15" s="50">
        <v>16</v>
      </c>
      <c r="H15" s="50">
        <v>12</v>
      </c>
      <c r="I15" s="50">
        <v>32</v>
      </c>
      <c r="J15" s="50">
        <v>41</v>
      </c>
      <c r="K15" s="50">
        <v>41</v>
      </c>
      <c r="L15" s="50">
        <v>89</v>
      </c>
      <c r="M15" s="129">
        <v>3</v>
      </c>
      <c r="N15" s="129">
        <v>8</v>
      </c>
      <c r="O15" s="129">
        <v>8</v>
      </c>
      <c r="P15" s="129">
        <v>8</v>
      </c>
      <c r="Q15" s="129">
        <v>25</v>
      </c>
      <c r="R15" s="129">
        <v>14</v>
      </c>
      <c r="S15" s="130">
        <v>8</v>
      </c>
      <c r="T15" s="130">
        <v>8</v>
      </c>
      <c r="U15" s="130">
        <v>8</v>
      </c>
      <c r="V15" s="130">
        <v>8</v>
      </c>
      <c r="W15" s="50">
        <v>8</v>
      </c>
      <c r="X15" s="50">
        <v>8</v>
      </c>
      <c r="Y15" s="50">
        <v>8</v>
      </c>
      <c r="Z15" s="50">
        <v>8</v>
      </c>
      <c r="AA15" s="50">
        <v>8</v>
      </c>
      <c r="AB15" s="50">
        <v>8</v>
      </c>
      <c r="AC15" s="50">
        <v>8</v>
      </c>
      <c r="AD15" s="50">
        <v>8</v>
      </c>
      <c r="AE15" s="50">
        <v>8</v>
      </c>
      <c r="AF15" s="50">
        <v>8</v>
      </c>
      <c r="AG15" s="50">
        <v>8</v>
      </c>
      <c r="AH15" s="50">
        <v>8</v>
      </c>
      <c r="AI15" s="50">
        <v>8</v>
      </c>
      <c r="AJ15" s="50">
        <v>8</v>
      </c>
      <c r="AK15" s="50">
        <v>8</v>
      </c>
      <c r="AL15" s="50">
        <v>8</v>
      </c>
      <c r="AM15" s="50">
        <v>8</v>
      </c>
      <c r="AN15" s="50">
        <v>8</v>
      </c>
      <c r="AO15" s="50">
        <v>8</v>
      </c>
      <c r="AP15" s="50">
        <v>8</v>
      </c>
      <c r="AQ15" s="50">
        <v>8</v>
      </c>
      <c r="AR15" s="50">
        <v>8</v>
      </c>
      <c r="AS15" s="50">
        <v>8</v>
      </c>
      <c r="AT15" s="50">
        <v>8</v>
      </c>
      <c r="AU15" s="50">
        <v>8</v>
      </c>
      <c r="AV15" s="50">
        <v>8</v>
      </c>
      <c r="AW15" s="50">
        <v>8</v>
      </c>
      <c r="AX15" s="50">
        <v>8</v>
      </c>
      <c r="AY15" s="50">
        <v>8</v>
      </c>
      <c r="AZ15" s="50">
        <v>8</v>
      </c>
      <c r="BA15" s="50">
        <v>8</v>
      </c>
      <c r="BB15" s="50">
        <v>8</v>
      </c>
      <c r="BC15" s="50">
        <v>8</v>
      </c>
      <c r="BD15" s="50">
        <v>8</v>
      </c>
      <c r="BE15" s="50">
        <v>8</v>
      </c>
      <c r="BF15" s="50">
        <v>8</v>
      </c>
      <c r="BG15" s="50">
        <v>8</v>
      </c>
      <c r="BH15" s="50">
        <v>8</v>
      </c>
      <c r="BI15" s="50">
        <v>8</v>
      </c>
      <c r="BJ15" s="50">
        <v>8</v>
      </c>
      <c r="BK15" s="50">
        <v>8</v>
      </c>
      <c r="BL15" s="50">
        <v>8</v>
      </c>
      <c r="BM15" s="50">
        <v>8</v>
      </c>
      <c r="BN15" s="50">
        <v>8</v>
      </c>
      <c r="BO15" s="50">
        <v>8</v>
      </c>
      <c r="BP15" s="50">
        <v>8</v>
      </c>
      <c r="BQ15" s="50">
        <v>8</v>
      </c>
      <c r="BR15" s="50">
        <v>8</v>
      </c>
      <c r="BS15" s="50">
        <v>8</v>
      </c>
      <c r="BT15" s="50">
        <v>8</v>
      </c>
      <c r="BU15" s="50">
        <v>8</v>
      </c>
      <c r="BV15" s="50">
        <v>8</v>
      </c>
      <c r="BW15" s="50">
        <v>8</v>
      </c>
      <c r="BX15" s="50">
        <v>8</v>
      </c>
      <c r="BY15" s="50">
        <v>8</v>
      </c>
      <c r="BZ15" s="50">
        <v>8</v>
      </c>
      <c r="CA15" s="50">
        <v>8</v>
      </c>
      <c r="CB15" s="50">
        <v>8</v>
      </c>
      <c r="CC15" s="50">
        <v>8</v>
      </c>
      <c r="CD15" s="50">
        <v>8</v>
      </c>
      <c r="CE15" s="50">
        <v>8</v>
      </c>
      <c r="CF15" s="50">
        <v>8</v>
      </c>
      <c r="CG15" s="50">
        <v>8</v>
      </c>
      <c r="CH15" s="50">
        <v>8</v>
      </c>
      <c r="CI15" s="50">
        <v>8</v>
      </c>
      <c r="CJ15" s="50">
        <v>8</v>
      </c>
      <c r="CK15" s="50">
        <v>8</v>
      </c>
      <c r="CL15" s="50">
        <v>8</v>
      </c>
      <c r="CM15" s="50">
        <v>8</v>
      </c>
      <c r="CN15" s="50">
        <v>8</v>
      </c>
      <c r="CO15" s="50">
        <v>8</v>
      </c>
      <c r="CP15" s="50">
        <v>8</v>
      </c>
      <c r="CQ15" s="50">
        <v>8</v>
      </c>
      <c r="CR15" s="50">
        <v>8</v>
      </c>
      <c r="CS15" s="50">
        <v>8</v>
      </c>
      <c r="CT15" s="50">
        <v>8</v>
      </c>
      <c r="CU15" s="50">
        <v>8</v>
      </c>
      <c r="CV15" s="50">
        <v>8</v>
      </c>
      <c r="CW15" s="50">
        <v>8</v>
      </c>
      <c r="CX15" s="50">
        <v>8</v>
      </c>
      <c r="CY15" s="50">
        <v>8</v>
      </c>
      <c r="CZ15" s="50">
        <v>8</v>
      </c>
      <c r="DA15" s="50">
        <v>8</v>
      </c>
      <c r="DB15" s="50">
        <v>8</v>
      </c>
      <c r="DC15" s="50">
        <v>8</v>
      </c>
      <c r="DD15" s="50">
        <v>8</v>
      </c>
      <c r="DE15" s="50">
        <v>8</v>
      </c>
      <c r="DF15" s="50">
        <v>8</v>
      </c>
      <c r="DG15" s="50">
        <v>8</v>
      </c>
      <c r="DH15" s="50">
        <v>8</v>
      </c>
      <c r="DI15" s="50">
        <v>8</v>
      </c>
      <c r="DJ15" s="50">
        <v>8</v>
      </c>
      <c r="DK15" s="50">
        <v>8</v>
      </c>
      <c r="DL15" s="50">
        <v>8</v>
      </c>
      <c r="DM15" s="50">
        <v>8</v>
      </c>
      <c r="DN15" s="50">
        <v>8</v>
      </c>
      <c r="DO15" s="50">
        <v>8</v>
      </c>
      <c r="DP15" s="50">
        <v>8</v>
      </c>
      <c r="DQ15" s="50">
        <v>8</v>
      </c>
      <c r="DR15" s="50">
        <v>8</v>
      </c>
      <c r="DS15" s="50">
        <v>8</v>
      </c>
      <c r="DT15" s="50">
        <v>8</v>
      </c>
      <c r="DU15" s="50">
        <v>8</v>
      </c>
      <c r="DV15" s="50">
        <v>8</v>
      </c>
      <c r="DW15" s="50">
        <v>8</v>
      </c>
      <c r="DX15" s="50">
        <v>8</v>
      </c>
      <c r="DY15" s="50">
        <v>8</v>
      </c>
      <c r="DZ15" s="50">
        <v>8</v>
      </c>
      <c r="EA15" s="50">
        <v>8</v>
      </c>
      <c r="EB15" s="50">
        <v>8</v>
      </c>
      <c r="EC15" s="50">
        <v>8</v>
      </c>
      <c r="ED15" s="50">
        <v>8</v>
      </c>
      <c r="EE15" s="50">
        <v>8</v>
      </c>
      <c r="EF15" s="50">
        <v>8</v>
      </c>
      <c r="EG15" s="50">
        <v>8</v>
      </c>
      <c r="EH15" s="50">
        <v>8</v>
      </c>
      <c r="EI15" s="50">
        <v>8</v>
      </c>
      <c r="EJ15" s="50">
        <v>8</v>
      </c>
      <c r="EK15" s="50">
        <v>8</v>
      </c>
      <c r="EL15" s="50">
        <v>8</v>
      </c>
      <c r="EM15" s="50">
        <v>8</v>
      </c>
      <c r="EN15" s="50">
        <v>8</v>
      </c>
      <c r="EO15" s="50">
        <v>8</v>
      </c>
      <c r="EP15" s="50">
        <v>8</v>
      </c>
      <c r="EQ15" s="50">
        <v>8</v>
      </c>
      <c r="ER15" s="50">
        <v>8</v>
      </c>
      <c r="ES15" s="50">
        <v>8</v>
      </c>
      <c r="ET15" s="50">
        <v>8</v>
      </c>
      <c r="EU15" s="50">
        <v>8</v>
      </c>
      <c r="EV15" s="50">
        <v>8</v>
      </c>
      <c r="EW15" s="50">
        <v>8</v>
      </c>
      <c r="EX15" s="50">
        <v>8</v>
      </c>
      <c r="EY15" s="50">
        <v>8</v>
      </c>
      <c r="EZ15" s="50">
        <v>8</v>
      </c>
      <c r="FA15" s="50">
        <v>8</v>
      </c>
      <c r="FB15" s="50">
        <v>8</v>
      </c>
      <c r="FC15" s="50">
        <v>8</v>
      </c>
      <c r="FD15" s="50">
        <v>8</v>
      </c>
      <c r="FE15" s="50">
        <v>8</v>
      </c>
      <c r="FF15" s="50">
        <v>8</v>
      </c>
      <c r="FG15" s="50">
        <v>8</v>
      </c>
      <c r="FH15" s="50">
        <v>8</v>
      </c>
      <c r="FI15" s="50">
        <v>8</v>
      </c>
      <c r="FJ15" s="50">
        <v>8</v>
      </c>
      <c r="FK15" s="50">
        <v>8</v>
      </c>
      <c r="FL15" s="50">
        <v>8</v>
      </c>
      <c r="FM15" s="50">
        <v>8</v>
      </c>
      <c r="FN15" s="50">
        <v>8</v>
      </c>
      <c r="FO15" s="50">
        <v>8</v>
      </c>
      <c r="FP15" s="50">
        <v>8</v>
      </c>
      <c r="FQ15" s="50">
        <v>8</v>
      </c>
      <c r="FR15" s="50">
        <v>8</v>
      </c>
      <c r="FS15" s="50">
        <v>8</v>
      </c>
      <c r="FT15" s="50">
        <v>8</v>
      </c>
      <c r="FU15" s="50">
        <v>8</v>
      </c>
      <c r="FV15" s="50">
        <v>8</v>
      </c>
      <c r="FW15" s="50">
        <v>8</v>
      </c>
      <c r="FX15" s="50">
        <v>8</v>
      </c>
      <c r="FY15" s="50">
        <v>8</v>
      </c>
      <c r="FZ15" s="50">
        <v>8</v>
      </c>
      <c r="GA15" s="50">
        <v>8</v>
      </c>
      <c r="GB15" s="50">
        <v>8</v>
      </c>
      <c r="GC15" s="50">
        <v>8</v>
      </c>
      <c r="GD15" s="50">
        <v>8</v>
      </c>
      <c r="GE15" s="50">
        <v>8</v>
      </c>
      <c r="GF15" s="50">
        <v>8</v>
      </c>
      <c r="GG15" s="50">
        <v>8</v>
      </c>
      <c r="GH15" s="50">
        <v>8</v>
      </c>
      <c r="GI15" s="50">
        <v>8</v>
      </c>
      <c r="GJ15" s="50">
        <v>8</v>
      </c>
      <c r="GK15" s="50">
        <v>8</v>
      </c>
      <c r="GL15" s="50">
        <v>8</v>
      </c>
      <c r="GM15" s="50">
        <v>8</v>
      </c>
      <c r="GN15" s="50">
        <v>8</v>
      </c>
      <c r="GO15" s="50">
        <v>8</v>
      </c>
      <c r="GP15" s="50">
        <v>8</v>
      </c>
      <c r="GQ15" s="50">
        <v>8</v>
      </c>
      <c r="GR15" s="50">
        <v>8</v>
      </c>
      <c r="GS15" s="50">
        <v>8</v>
      </c>
      <c r="GT15" s="50">
        <v>8</v>
      </c>
      <c r="GU15" s="50">
        <v>8</v>
      </c>
      <c r="GV15" s="50">
        <v>8</v>
      </c>
      <c r="GW15" s="50">
        <v>8</v>
      </c>
      <c r="GX15" s="50">
        <v>8</v>
      </c>
      <c r="GY15" s="50">
        <v>8</v>
      </c>
      <c r="GZ15" s="50">
        <v>8</v>
      </c>
      <c r="HA15" s="50">
        <v>8</v>
      </c>
      <c r="HB15" s="50">
        <v>8</v>
      </c>
      <c r="HC15" s="50">
        <v>8</v>
      </c>
      <c r="HD15" s="50">
        <v>8</v>
      </c>
      <c r="HE15" s="50">
        <v>8</v>
      </c>
      <c r="HF15" s="50">
        <v>8</v>
      </c>
      <c r="HG15" s="50">
        <v>8</v>
      </c>
      <c r="HH15" s="50">
        <v>8</v>
      </c>
      <c r="HI15" s="50">
        <v>8</v>
      </c>
      <c r="HJ15" s="50">
        <v>8</v>
      </c>
      <c r="HK15" s="50">
        <v>8</v>
      </c>
      <c r="HL15" s="50">
        <v>8</v>
      </c>
      <c r="HM15" s="50">
        <v>8</v>
      </c>
      <c r="HN15" s="50">
        <v>8</v>
      </c>
      <c r="HO15" s="50">
        <v>8</v>
      </c>
      <c r="HP15" s="50">
        <v>8</v>
      </c>
      <c r="HQ15" s="50">
        <v>8</v>
      </c>
      <c r="HR15" s="50">
        <v>8</v>
      </c>
      <c r="HS15" s="50">
        <v>8</v>
      </c>
      <c r="HT15" s="50">
        <v>8</v>
      </c>
      <c r="HU15" s="50">
        <v>8</v>
      </c>
      <c r="HV15" s="50">
        <v>8</v>
      </c>
      <c r="HW15" s="50">
        <v>8</v>
      </c>
      <c r="HX15" s="50">
        <v>8</v>
      </c>
      <c r="HY15" s="50">
        <v>8</v>
      </c>
      <c r="HZ15" s="50">
        <v>8</v>
      </c>
      <c r="IA15" s="50">
        <v>8</v>
      </c>
      <c r="IB15" s="50">
        <v>8</v>
      </c>
      <c r="IC15" s="50">
        <v>8</v>
      </c>
      <c r="ID15" s="50">
        <v>8</v>
      </c>
      <c r="IE15" s="50">
        <v>8</v>
      </c>
      <c r="IF15" s="50">
        <v>8</v>
      </c>
      <c r="IG15" s="50">
        <v>8</v>
      </c>
      <c r="IH15" s="50">
        <v>8</v>
      </c>
      <c r="II15" s="50">
        <v>8</v>
      </c>
      <c r="IJ15" s="50">
        <v>8</v>
      </c>
      <c r="IK15" s="50">
        <v>8</v>
      </c>
      <c r="IL15" s="50">
        <v>8</v>
      </c>
      <c r="IM15" s="50">
        <v>8</v>
      </c>
      <c r="IN15" s="50">
        <v>8</v>
      </c>
      <c r="IO15" s="50">
        <v>8</v>
      </c>
      <c r="IP15" s="50">
        <v>8</v>
      </c>
      <c r="IQ15" s="50">
        <v>8</v>
      </c>
      <c r="IR15" s="50">
        <v>8</v>
      </c>
      <c r="IS15" s="50">
        <v>8</v>
      </c>
      <c r="IT15" s="50">
        <v>8</v>
      </c>
      <c r="IU15" s="50">
        <v>8</v>
      </c>
      <c r="IV15" s="50">
        <v>8</v>
      </c>
      <c r="IW15" s="50">
        <v>23</v>
      </c>
    </row>
  </sheetData>
  <sheetProtection autoFilter="0" deleteColumns="1" deleteRows="1" formatCells="1" formatColumns="0" formatRows="0" insertColumns="1" insertHyperlinks="1" insertRows="1" objects="0" pivotTables="1" scenarios="0" selectLockedCells="0" selectUnlockedCells="0" sheet="1" sort="1"/>
  <mergeCells count="10">
    <mergeCell ref="E5:K5"/>
    <mergeCell ref="E7:K7"/>
    <mergeCell ref="L7:L9"/>
    <mergeCell ref="E8:E9"/>
    <mergeCell ref="F8:F9"/>
    <mergeCell ref="G8:I8"/>
    <mergeCell ref="J8:J9"/>
    <mergeCell ref="K8:K9"/>
    <mergeCell ref="A10:A11"/>
    <mergeCell ref="L10:L11"/>
  </mergeCells>
  <dataValidations count="1" disablePrompts="0">
    <dataValidation sqref="G2:G3 G10"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E40086-00DD-4B95-B0C8-00AF00A100EB}" type="textLength" allowBlank="1" errorStyle="stop" imeMode="noControl" operator="lessThanOrEqual" showDropDown="0" showErrorMessage="1" showInputMessage="1">
          <x14:formula1>
            <xm:f>990</xm:f>
          </x14:formula1>
          <xm:sqref>I10 I2</xm:sqref>
        </x14:dataValidation>
        <x14:dataValidation xr:uid="{00070062-0045-4F4F-805A-00BD001800A3}" type="time" allowBlank="1" errorStyle="stop" imeMode="noControl" operator="between" prompt="Укажите время в формате ЧЧ:ММ" showDropDown="0" showErrorMessage="1" showInputMessage="1">
          <x14:formula1>
            <xm:f>0</xm:f>
          </x14:formula1>
          <x14:formula2>
            <xm:f>0.9993055555555556</xm:f>
          </x14:formula2>
          <xm:sqref>H10 H2</xm:sqref>
        </x14:dataValidation>
        <x14:dataValidation xr:uid="{007A00D2-00CF-41E2-975F-00CD00810090}"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J10:K10 J2:K3</xm:sqref>
        </x14:dataValidation>
        <x14:dataValidation xr:uid="{00330039-0053-4E48-B348-00CE007E002F}" type="textLength" allowBlank="1" errorStyle="stop" imeMode="noControl" operator="between" showDropDown="0" showErrorMessage="1" showInputMessage="1">
          <x14:formula1>
            <xm:f>13</xm:f>
          </x14:formula1>
          <x14:formula2>
            <xm:f>15</xm:f>
          </x14:formula2>
          <xm:sqref>H3:I3</xm:sqref>
        </x14:dataValidation>
      </x14:dataValidations>
    </ext>
  </extLst>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zoomScale="90" workbookViewId="0">
      <pane xSplit="6" ySplit="9" topLeftCell="G10" activePane="bottomRight" state="frozen"/>
      <selection activeCell="A1" activeCellId="0" sqref="A1"/>
    </sheetView>
  </sheetViews>
  <sheetFormatPr defaultColWidth="9.140625" defaultRowHeight="14.25" customHeight="1"/>
  <cols>
    <col hidden="1" min="1" max="1" style="50" width="9.140625"/>
    <col hidden="1" min="2" max="2" style="53" width="9.140625"/>
    <col customWidth="1" hidden="1" min="3" max="3" style="50" width="3.7109375"/>
    <col customWidth="1" min="4" max="4" style="128" width="3.00390625"/>
    <col customWidth="1" min="5" max="5" style="50" width="6.00390625"/>
    <col customWidth="1" min="6" max="6" style="50" width="27.00390625"/>
    <col customWidth="1" min="7" max="7" style="50" width="16.00390625"/>
    <col customWidth="1" min="8" max="8" style="50" width="12.00390625"/>
    <col customWidth="1" min="9" max="9" style="50" width="32.00390625"/>
    <col customWidth="1" min="10" max="11" style="50" width="41.00390625"/>
    <col customWidth="1" min="12" max="12" style="50" width="89.00390625"/>
    <col customWidth="1" min="13" max="13" style="129" width="3.00390625"/>
    <col customWidth="1" min="14" max="16" style="129" width="8.00390625"/>
    <col customWidth="1" min="17" max="17" style="129" width="25.00390625"/>
    <col customWidth="1" min="18" max="18" style="129" width="14.00390625"/>
    <col customWidth="1" min="19" max="22" style="130" width="8.00390625"/>
    <col customWidth="1" min="23" max="256" style="50" width="8.00390625"/>
    <col hidden="1" min="257" max="257" style="50" width="9.140625"/>
  </cols>
  <sheetData>
    <row r="1" ht="22.5" hidden="1" customHeight="1">
      <c r="IW1" s="50" t="s">
        <v>14</v>
      </c>
    </row>
    <row r="2" s="63" customFormat="1" ht="22.5" hidden="1" customHeight="1">
      <c r="A2" s="120"/>
      <c r="B2" s="53">
        <v>1</v>
      </c>
      <c r="C2" s="53"/>
      <c r="D2" s="966" t="s">
        <v>693</v>
      </c>
      <c r="E2" s="157"/>
      <c r="F2" s="553" t="str">
        <f>IF(ROIV_INFO_NAME="","",ROIV_INFO_NAME)</f>
        <v xml:space="preserve">АО "ДГК"</v>
      </c>
      <c r="G2" s="89" t="s">
        <v>28</v>
      </c>
      <c r="H2" s="1097"/>
      <c r="I2" s="1091"/>
      <c r="J2" s="768"/>
      <c r="K2" s="768"/>
      <c r="L2" s="136"/>
      <c r="M2" s="1086" t="e">
        <f>MERGEVALUE(F2)</f>
        <v>#NAME?</v>
      </c>
      <c r="N2" s="57"/>
      <c r="O2" s="57"/>
      <c r="P2" s="129" t="str">
        <f t="array" ref="P2">IF(ISERROR(MATCH(MID(Q2,1,250),MID(note_ter,1,250),0)),"n","y")</f>
        <v>n</v>
      </c>
      <c r="Q2" s="57"/>
      <c r="R2" s="129" t="str">
        <f>G2&amp;"("&amp;L2&amp;")"</f>
        <v>()</v>
      </c>
      <c r="S2" s="53"/>
      <c r="T2" s="53"/>
      <c r="U2" s="166"/>
      <c r="V2" s="53"/>
      <c r="W2" s="53"/>
      <c r="X2" s="53"/>
      <c r="Y2" s="64"/>
      <c r="Z2" s="64"/>
      <c r="AA2" s="167"/>
      <c r="AB2" s="167"/>
      <c r="AC2" s="167"/>
      <c r="AD2" s="167"/>
      <c r="AE2" s="167"/>
      <c r="AF2" s="167"/>
      <c r="AG2" s="167"/>
      <c r="AH2" s="167"/>
      <c r="AI2" s="167"/>
      <c r="AJ2" s="167"/>
      <c r="AK2" s="167"/>
      <c r="AL2" s="167"/>
      <c r="AM2" s="167"/>
      <c r="AN2" s="167"/>
      <c r="AO2" s="167"/>
      <c r="AP2" s="167"/>
      <c r="AQ2" s="167"/>
      <c r="AR2" s="167"/>
      <c r="AS2" s="167"/>
      <c r="AT2" s="167"/>
      <c r="AU2" s="167"/>
      <c r="AV2" s="167"/>
      <c r="AW2" s="167"/>
      <c r="AX2" s="167"/>
      <c r="AY2" s="167"/>
      <c r="AZ2" s="167"/>
      <c r="BA2" s="167"/>
      <c r="BB2" s="167"/>
      <c r="BC2" s="167"/>
      <c r="BD2" s="167"/>
      <c r="BE2" s="167"/>
      <c r="BF2" s="167"/>
      <c r="BG2" s="167"/>
      <c r="BH2" s="167"/>
      <c r="BI2" s="167"/>
      <c r="BJ2" s="167"/>
      <c r="BK2" s="167"/>
      <c r="BL2" s="167"/>
      <c r="BM2" s="167"/>
      <c r="BN2" s="167"/>
      <c r="BO2" s="167"/>
      <c r="BP2" s="167"/>
      <c r="BQ2" s="167"/>
      <c r="BR2" s="167"/>
      <c r="BS2" s="167"/>
      <c r="BT2" s="167"/>
      <c r="BU2" s="167"/>
      <c r="BV2" s="64"/>
      <c r="BW2" s="64"/>
      <c r="BX2" s="64"/>
      <c r="BY2" s="64"/>
      <c r="BZ2" s="64"/>
      <c r="CA2" s="64"/>
      <c r="CB2" s="64"/>
      <c r="CC2" s="64"/>
      <c r="CD2" s="64"/>
      <c r="CE2" s="64"/>
      <c r="IW2" s="63">
        <v>0</v>
      </c>
    </row>
    <row r="3" s="57" customFormat="1" ht="5.25" hidden="1" customHeight="1">
      <c r="A3" s="131"/>
      <c r="D3" s="132"/>
      <c r="F3" s="133" t="s">
        <v>84</v>
      </c>
      <c r="G3" s="1098" t="s">
        <v>85</v>
      </c>
      <c r="H3" s="132"/>
      <c r="I3" s="132"/>
      <c r="J3" s="132"/>
      <c r="K3" s="132"/>
      <c r="L3" s="134" t="s">
        <v>86</v>
      </c>
      <c r="M3" s="133" t="s">
        <v>84</v>
      </c>
      <c r="N3" s="133"/>
      <c r="O3" s="133"/>
      <c r="P3" s="133"/>
      <c r="Q3" s="133"/>
      <c r="R3" s="133"/>
      <c r="S3" s="133"/>
      <c r="T3" s="133"/>
      <c r="U3" s="133"/>
      <c r="V3" s="133"/>
      <c r="W3" s="134"/>
      <c r="X3" s="134"/>
      <c r="Y3" s="134"/>
      <c r="Z3" s="134"/>
      <c r="AA3" s="134"/>
      <c r="AB3" s="134"/>
      <c r="AC3" s="134"/>
      <c r="AD3" s="134"/>
      <c r="AE3" s="134"/>
      <c r="AF3" s="134"/>
      <c r="AG3" s="134"/>
      <c r="AH3" s="134"/>
      <c r="AI3" s="134"/>
      <c r="AJ3" s="134"/>
      <c r="AK3" s="134"/>
      <c r="AL3" s="134"/>
      <c r="AM3" s="134"/>
      <c r="AN3" s="134"/>
      <c r="AO3" s="134"/>
      <c r="AP3" s="134"/>
      <c r="AQ3" s="134"/>
      <c r="AR3" s="134"/>
      <c r="AS3" s="134"/>
      <c r="AT3" s="134"/>
      <c r="AU3" s="134"/>
      <c r="AV3" s="134"/>
      <c r="AW3" s="134"/>
      <c r="AX3" s="134"/>
      <c r="AY3" s="134"/>
      <c r="AZ3" s="134"/>
      <c r="BA3" s="134"/>
      <c r="BB3" s="134"/>
      <c r="BC3" s="134"/>
      <c r="BD3" s="134"/>
      <c r="BE3" s="134"/>
      <c r="BF3" s="134"/>
      <c r="BG3" s="134"/>
      <c r="BH3" s="134"/>
      <c r="BI3" s="134"/>
      <c r="BJ3" s="134"/>
      <c r="BK3" s="134"/>
      <c r="BL3" s="134"/>
      <c r="BM3" s="134"/>
      <c r="BN3" s="134"/>
      <c r="BO3" s="134"/>
      <c r="BP3" s="134"/>
      <c r="BQ3" s="134"/>
      <c r="BR3" s="134"/>
      <c r="BS3" s="134"/>
      <c r="BT3" s="134"/>
      <c r="BU3" s="134"/>
      <c r="BV3" s="134"/>
      <c r="BW3" s="134"/>
      <c r="BX3" s="134"/>
      <c r="BY3" s="134"/>
      <c r="BZ3" s="134"/>
      <c r="CA3" s="134"/>
      <c r="CB3" s="134"/>
      <c r="CC3" s="134"/>
      <c r="CD3" s="134"/>
      <c r="CE3" s="134"/>
      <c r="CF3" s="134"/>
      <c r="CG3" s="134"/>
      <c r="CH3" s="134"/>
      <c r="CI3" s="134"/>
      <c r="CJ3" s="134"/>
      <c r="CK3" s="134"/>
      <c r="CL3" s="134"/>
      <c r="CM3" s="134"/>
      <c r="CN3" s="134"/>
      <c r="CO3" s="134"/>
      <c r="CP3" s="134"/>
      <c r="CQ3" s="134"/>
      <c r="CR3" s="134"/>
      <c r="CS3" s="134"/>
      <c r="CT3" s="134"/>
      <c r="CU3" s="134"/>
      <c r="CV3" s="134"/>
      <c r="CW3" s="134"/>
      <c r="CX3" s="134"/>
      <c r="CY3" s="134"/>
      <c r="CZ3" s="134"/>
      <c r="DA3" s="134"/>
      <c r="DB3" s="134"/>
      <c r="DC3" s="134"/>
      <c r="DD3" s="134"/>
      <c r="DE3" s="134"/>
      <c r="DF3" s="134"/>
      <c r="DG3" s="134"/>
      <c r="DH3" s="134"/>
      <c r="DI3" s="134"/>
      <c r="DJ3" s="134"/>
      <c r="DK3" s="134"/>
      <c r="DL3" s="134"/>
      <c r="DM3" s="134"/>
      <c r="DN3" s="134"/>
      <c r="DO3" s="134"/>
      <c r="DP3" s="134"/>
      <c r="DQ3" s="134"/>
      <c r="DR3" s="134"/>
      <c r="DS3" s="134"/>
      <c r="DT3" s="134"/>
      <c r="DU3" s="134"/>
      <c r="DV3" s="134"/>
      <c r="DW3" s="134"/>
      <c r="DX3" s="134"/>
      <c r="DY3" s="134"/>
      <c r="DZ3" s="134"/>
      <c r="EA3" s="134"/>
      <c r="EB3" s="134"/>
      <c r="EC3" s="134"/>
      <c r="ED3" s="134"/>
      <c r="EE3" s="134"/>
      <c r="EF3" s="134"/>
      <c r="EG3" s="134"/>
      <c r="EH3" s="134"/>
      <c r="EI3" s="134"/>
      <c r="EJ3" s="134"/>
      <c r="EK3" s="134"/>
      <c r="EL3" s="134"/>
      <c r="EM3" s="134"/>
      <c r="EN3" s="134"/>
      <c r="EO3" s="134"/>
      <c r="EP3" s="134"/>
      <c r="EQ3" s="134"/>
      <c r="ER3" s="134"/>
      <c r="ES3" s="134"/>
      <c r="ET3" s="134"/>
      <c r="EU3" s="134"/>
      <c r="EV3" s="134"/>
      <c r="EW3" s="134"/>
      <c r="EX3" s="134"/>
      <c r="EY3" s="134"/>
      <c r="EZ3" s="134"/>
      <c r="FA3" s="134"/>
      <c r="FB3" s="134"/>
      <c r="FC3" s="134"/>
      <c r="FD3" s="134"/>
      <c r="FE3" s="134"/>
      <c r="FF3" s="134"/>
      <c r="FG3" s="134"/>
      <c r="FH3" s="134"/>
      <c r="FI3" s="134"/>
      <c r="FJ3" s="134"/>
      <c r="FK3" s="134"/>
      <c r="FL3" s="134"/>
      <c r="FM3" s="134"/>
      <c r="FN3" s="134"/>
      <c r="FO3" s="134"/>
      <c r="FP3" s="134"/>
      <c r="FQ3" s="134"/>
      <c r="FR3" s="134"/>
      <c r="FS3" s="134"/>
      <c r="FT3" s="134"/>
      <c r="FU3" s="134"/>
      <c r="FV3" s="134"/>
      <c r="FW3" s="134"/>
      <c r="FX3" s="134"/>
      <c r="FY3" s="134"/>
      <c r="FZ3" s="134"/>
      <c r="GA3" s="134"/>
      <c r="GB3" s="134"/>
      <c r="GC3" s="134"/>
      <c r="GD3" s="134"/>
      <c r="GE3" s="134"/>
      <c r="GF3" s="134"/>
      <c r="GG3" s="134"/>
      <c r="GH3" s="134"/>
      <c r="GI3" s="134"/>
      <c r="GJ3" s="134"/>
      <c r="GK3" s="134"/>
      <c r="GL3" s="134"/>
      <c r="GM3" s="134"/>
      <c r="GN3" s="134"/>
      <c r="GO3" s="134"/>
      <c r="GP3" s="134"/>
      <c r="GQ3" s="134"/>
      <c r="GR3" s="134"/>
      <c r="GS3" s="134"/>
      <c r="GT3" s="134"/>
      <c r="GU3" s="134"/>
      <c r="GV3" s="134"/>
      <c r="GW3" s="134"/>
      <c r="GX3" s="134"/>
      <c r="GY3" s="134"/>
      <c r="GZ3" s="134"/>
      <c r="HA3" s="134"/>
      <c r="HB3" s="134"/>
      <c r="HC3" s="134"/>
      <c r="HD3" s="134"/>
      <c r="HE3" s="134"/>
      <c r="HF3" s="134"/>
      <c r="HG3" s="134"/>
      <c r="HH3" s="134"/>
      <c r="HI3" s="134"/>
      <c r="HJ3" s="134"/>
      <c r="HK3" s="134"/>
      <c r="HL3" s="134"/>
      <c r="HM3" s="134"/>
      <c r="HN3" s="134"/>
      <c r="HO3" s="134"/>
      <c r="HP3" s="134"/>
      <c r="HQ3" s="134"/>
      <c r="HR3" s="134"/>
      <c r="HS3" s="134"/>
      <c r="HT3" s="134"/>
      <c r="HU3" s="134"/>
      <c r="HV3" s="134"/>
      <c r="HW3" s="134"/>
      <c r="HX3" s="134"/>
      <c r="HY3" s="134"/>
      <c r="HZ3" s="134"/>
      <c r="IA3" s="134"/>
      <c r="IB3" s="134"/>
      <c r="IC3" s="134"/>
      <c r="ID3" s="134"/>
      <c r="IE3" s="134"/>
      <c r="IF3" s="134"/>
      <c r="IG3" s="134"/>
      <c r="IH3" s="134"/>
      <c r="II3" s="134"/>
      <c r="IJ3" s="134"/>
      <c r="IK3" s="134"/>
      <c r="IL3" s="134"/>
      <c r="IM3" s="134"/>
      <c r="IN3" s="134"/>
      <c r="IO3" s="134"/>
      <c r="IP3" s="134"/>
      <c r="IQ3" s="134"/>
      <c r="IR3" s="134"/>
      <c r="IS3" s="134"/>
      <c r="IT3" s="134"/>
      <c r="IU3" s="134"/>
      <c r="IV3" s="134"/>
      <c r="IW3" s="57">
        <v>0</v>
      </c>
    </row>
    <row r="4" s="139" customFormat="1" ht="14.65" customHeight="1">
      <c r="A4" s="50"/>
      <c r="B4" s="53"/>
      <c r="C4" s="50"/>
      <c r="D4" s="128"/>
      <c r="E4" s="50"/>
      <c r="F4" s="50"/>
      <c r="G4" s="50"/>
      <c r="H4" s="50"/>
      <c r="I4" s="50"/>
      <c r="J4" s="50"/>
      <c r="K4" s="50"/>
      <c r="L4" s="140"/>
      <c r="M4" s="133"/>
      <c r="N4" s="129"/>
      <c r="O4" s="129"/>
      <c r="P4" s="129"/>
      <c r="Q4" s="129"/>
      <c r="R4" s="129"/>
      <c r="S4" s="130"/>
      <c r="T4" s="130"/>
      <c r="U4" s="130"/>
      <c r="V4" s="130"/>
      <c r="IW4" s="139">
        <v>14</v>
      </c>
    </row>
    <row r="5" s="139" customFormat="1" ht="27.300000000000001" customHeight="1">
      <c r="A5" s="50"/>
      <c r="B5" s="53"/>
      <c r="C5" s="50"/>
      <c r="D5" s="128"/>
      <c r="E5" s="141" t="str">
        <f>"Форма "&amp;IF(TEMPLATE_SPHERE="HEAT","4","3")&amp;". Информация о рассмотрении дел об установлении "&amp;IF(TEMPLATE_SPHERE="TKO","предельных тарифов","тарифов в сфере "&amp;TEMPLATE_SPHERE_RUS)</f>
        <v xml:space="preserve">Форма 4. Информация о рассмотрении дел об установлении тарифов в сфере теплоснабжения</v>
      </c>
      <c r="F5" s="141"/>
      <c r="G5" s="141"/>
      <c r="H5" s="141"/>
      <c r="I5" s="141"/>
      <c r="J5" s="141"/>
      <c r="K5" s="141"/>
      <c r="L5" s="50"/>
      <c r="M5" s="133"/>
      <c r="N5" s="129"/>
      <c r="O5" s="129"/>
      <c r="P5" s="129"/>
      <c r="Q5" s="129"/>
      <c r="R5" s="129"/>
      <c r="S5" s="130"/>
      <c r="T5" s="130"/>
      <c r="U5" s="130"/>
      <c r="V5" s="130"/>
      <c r="IW5" s="139">
        <v>26</v>
      </c>
    </row>
    <row r="6" s="139" customFormat="1" ht="14.65" customHeight="1">
      <c r="A6" s="50"/>
      <c r="B6" s="53"/>
      <c r="C6" s="50"/>
      <c r="D6" s="128"/>
      <c r="E6" s="50"/>
      <c r="F6" s="142"/>
      <c r="G6" s="142"/>
      <c r="H6" s="142"/>
      <c r="I6" s="142"/>
      <c r="J6" s="142"/>
      <c r="K6" s="142"/>
      <c r="L6" s="120"/>
      <c r="M6" s="129"/>
      <c r="N6" s="129"/>
      <c r="O6" s="129"/>
      <c r="P6" s="129"/>
      <c r="Q6" s="129"/>
      <c r="R6" s="129"/>
      <c r="S6" s="130"/>
      <c r="T6" s="130"/>
      <c r="U6" s="130"/>
      <c r="V6" s="130"/>
      <c r="IW6" s="139">
        <v>14</v>
      </c>
    </row>
    <row r="7" s="139" customFormat="1" ht="14.65" customHeight="1">
      <c r="A7" s="50"/>
      <c r="B7" s="53"/>
      <c r="C7" s="50"/>
      <c r="D7" s="128"/>
      <c r="E7" s="73" t="s">
        <v>305</v>
      </c>
      <c r="F7" s="145"/>
      <c r="G7" s="145"/>
      <c r="H7" s="145"/>
      <c r="I7" s="145"/>
      <c r="J7" s="145"/>
      <c r="K7" s="145"/>
      <c r="L7" s="868" t="s">
        <v>306</v>
      </c>
      <c r="M7" s="129"/>
      <c r="N7" s="129"/>
      <c r="O7" s="129"/>
      <c r="P7" s="129"/>
      <c r="Q7" s="129"/>
      <c r="R7" s="129"/>
      <c r="S7" s="130"/>
      <c r="T7" s="130"/>
      <c r="U7" s="130"/>
      <c r="V7" s="130"/>
      <c r="IW7" s="139">
        <v>14</v>
      </c>
    </row>
    <row r="8" s="139" customFormat="1" ht="67.200000000000003" customHeight="1">
      <c r="A8" s="50"/>
      <c r="B8" s="53"/>
      <c r="C8" s="50"/>
      <c r="D8" s="128"/>
      <c r="E8" s="1088" t="s">
        <v>89</v>
      </c>
      <c r="F8" s="1088" t="s">
        <v>1883</v>
      </c>
      <c r="G8" s="147" t="s">
        <v>1884</v>
      </c>
      <c r="H8" s="1099"/>
      <c r="I8" s="1100"/>
      <c r="J8" s="1088" t="s">
        <v>1885</v>
      </c>
      <c r="K8" s="108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 xml:space="preserve">Протокол заседания правления (коллегии) органа тарифного регулирования, оформленный в соответствии с законодательством Российской Федерации</v>
      </c>
      <c r="L8" s="1101"/>
      <c r="M8" s="129"/>
      <c r="N8" s="129"/>
      <c r="O8" s="129"/>
      <c r="P8" s="129"/>
      <c r="Q8" s="129"/>
      <c r="R8" s="129"/>
      <c r="S8" s="130"/>
      <c r="T8" s="130"/>
      <c r="U8" s="130"/>
      <c r="V8" s="130"/>
      <c r="IW8" s="139">
        <v>64</v>
      </c>
    </row>
    <row r="9" s="139" customFormat="1" ht="29.25" customHeight="1">
      <c r="A9" s="50"/>
      <c r="B9" s="53"/>
      <c r="C9" s="50"/>
      <c r="D9" s="128"/>
      <c r="E9" s="1102"/>
      <c r="F9" s="1102"/>
      <c r="G9" s="1102" t="s">
        <v>1879</v>
      </c>
      <c r="H9" s="1102" t="s">
        <v>1880</v>
      </c>
      <c r="I9" s="1102" t="s">
        <v>1881</v>
      </c>
      <c r="J9" s="1102"/>
      <c r="K9" s="1102"/>
      <c r="L9" s="1089"/>
      <c r="M9" s="129"/>
      <c r="N9" s="129"/>
      <c r="O9" s="129"/>
      <c r="P9" s="129"/>
      <c r="Q9" s="129"/>
      <c r="R9" s="129"/>
      <c r="S9" s="130"/>
      <c r="T9" s="130"/>
      <c r="U9" s="130"/>
      <c r="V9" s="130"/>
      <c r="IW9" s="139">
        <v>28</v>
      </c>
    </row>
    <row r="10" s="63" customFormat="1" ht="1.05" customHeight="1">
      <c r="A10" s="51"/>
      <c r="B10" s="53">
        <v>1</v>
      </c>
      <c r="C10" s="53"/>
      <c r="D10" s="161"/>
      <c r="E10" s="163">
        <v>0</v>
      </c>
      <c r="F10" s="418" t="str">
        <f>IF(ROIV_INFO_NAME="","",ROIV_INFO_NAME)</f>
        <v xml:space="preserve">АО "ДГК"</v>
      </c>
      <c r="G10" s="375" t="s">
        <v>28</v>
      </c>
      <c r="H10" s="1106"/>
      <c r="I10" s="1106"/>
      <c r="J10" s="859"/>
      <c r="K10" s="859"/>
      <c r="L10" s="92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 xml:space="preserve">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086" t="e">
        <f>MERGEVALUE(F10)</f>
        <v>#NAME?</v>
      </c>
      <c r="N10" s="57"/>
      <c r="O10" s="57"/>
      <c r="P10" s="129" t="str">
        <f t="array" ref="P10">IF(ISERROR(MATCH(MID(Q10,1,250),MID(note_ter,1,250),0)),"n","y")</f>
        <v>n</v>
      </c>
      <c r="Q10" s="57"/>
      <c r="R10" s="129" t="str">
        <f>G10&amp;"("&amp;L10&amp;")"</f>
        <v xml:space="preserve">(В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53"/>
      <c r="T10" s="53"/>
      <c r="U10" s="166"/>
      <c r="V10" s="53"/>
      <c r="W10" s="53"/>
      <c r="X10" s="53"/>
      <c r="Y10" s="64"/>
      <c r="Z10" s="64"/>
      <c r="AA10" s="167"/>
      <c r="AB10" s="167"/>
      <c r="AC10" s="167"/>
      <c r="AD10" s="167"/>
      <c r="AE10" s="167"/>
      <c r="AF10" s="167"/>
      <c r="AG10" s="167"/>
      <c r="AH10" s="167"/>
      <c r="AI10" s="167"/>
      <c r="AJ10" s="167"/>
      <c r="AK10" s="167"/>
      <c r="AL10" s="167"/>
      <c r="AM10" s="167"/>
      <c r="AN10" s="167"/>
      <c r="AO10" s="167"/>
      <c r="AP10" s="167"/>
      <c r="AQ10" s="167"/>
      <c r="AR10" s="167"/>
      <c r="AS10" s="167"/>
      <c r="AT10" s="167"/>
      <c r="AU10" s="167"/>
      <c r="AV10" s="167"/>
      <c r="AW10" s="167"/>
      <c r="AX10" s="167"/>
      <c r="AY10" s="167"/>
      <c r="AZ10" s="167"/>
      <c r="BA10" s="167"/>
      <c r="BB10" s="167"/>
      <c r="BC10" s="167"/>
      <c r="BD10" s="167"/>
      <c r="BE10" s="167"/>
      <c r="BF10" s="167"/>
      <c r="BG10" s="167"/>
      <c r="BH10" s="167"/>
      <c r="BI10" s="167"/>
      <c r="BJ10" s="167"/>
      <c r="BK10" s="167"/>
      <c r="BL10" s="167"/>
      <c r="BM10" s="167"/>
      <c r="BN10" s="167"/>
      <c r="BO10" s="167"/>
      <c r="BP10" s="167"/>
      <c r="BQ10" s="167"/>
      <c r="BR10" s="167"/>
      <c r="BS10" s="167"/>
      <c r="BT10" s="167"/>
      <c r="BU10" s="167"/>
      <c r="BV10" s="64"/>
      <c r="BW10" s="64"/>
      <c r="BX10" s="64"/>
      <c r="BY10" s="64"/>
      <c r="BZ10" s="64"/>
      <c r="CA10" s="64"/>
      <c r="CB10" s="64"/>
      <c r="CC10" s="64"/>
      <c r="CD10" s="64"/>
      <c r="CE10" s="64"/>
      <c r="IW10" s="63">
        <v>1</v>
      </c>
    </row>
    <row r="11" s="63" customFormat="1" ht="15.75" customHeight="1">
      <c r="A11" s="51"/>
      <c r="B11" s="53"/>
      <c r="C11" s="168"/>
      <c r="D11" s="169"/>
      <c r="E11" s="170"/>
      <c r="F11" s="177" t="s">
        <v>1882</v>
      </c>
      <c r="G11" s="173"/>
      <c r="H11" s="173"/>
      <c r="I11" s="173"/>
      <c r="J11" s="173"/>
      <c r="K11" s="174"/>
      <c r="L11" s="1105"/>
      <c r="M11" s="1095"/>
      <c r="N11" s="57"/>
      <c r="O11" s="57"/>
      <c r="P11" s="57"/>
      <c r="Q11" s="129"/>
      <c r="R11" s="57"/>
      <c r="S11" s="53"/>
      <c r="T11" s="53"/>
      <c r="U11" s="166"/>
      <c r="V11" s="53"/>
      <c r="W11" s="53"/>
      <c r="X11" s="53"/>
      <c r="Y11" s="64"/>
      <c r="Z11" s="64"/>
      <c r="AA11" s="167"/>
      <c r="AB11" s="167"/>
      <c r="AC11" s="167"/>
      <c r="AD11" s="167"/>
      <c r="AE11" s="167"/>
      <c r="AF11" s="167"/>
      <c r="AG11" s="167"/>
      <c r="AH11" s="167"/>
      <c r="AI11" s="167"/>
      <c r="AJ11" s="167"/>
      <c r="AK11" s="167"/>
      <c r="AL11" s="167"/>
      <c r="AM11" s="167"/>
      <c r="AN11" s="167"/>
      <c r="AO11" s="167"/>
      <c r="AP11" s="167"/>
      <c r="AQ11" s="167"/>
      <c r="AR11" s="167"/>
      <c r="AS11" s="167"/>
      <c r="AT11" s="167"/>
      <c r="AU11" s="167"/>
      <c r="AV11" s="167"/>
      <c r="AW11" s="167"/>
      <c r="AX11" s="167"/>
      <c r="AY11" s="167"/>
      <c r="AZ11" s="167"/>
      <c r="BA11" s="167"/>
      <c r="BB11" s="167"/>
      <c r="BC11" s="167"/>
      <c r="BD11" s="167"/>
      <c r="BE11" s="167"/>
      <c r="BF11" s="167"/>
      <c r="BG11" s="167"/>
      <c r="BH11" s="167"/>
      <c r="BI11" s="167"/>
      <c r="BJ11" s="167"/>
      <c r="BK11" s="167"/>
      <c r="BL11" s="167"/>
      <c r="BM11" s="167"/>
      <c r="BN11" s="167"/>
      <c r="BO11" s="167"/>
      <c r="BP11" s="167"/>
      <c r="BQ11" s="167"/>
      <c r="BR11" s="167"/>
      <c r="BS11" s="167"/>
      <c r="BT11" s="167"/>
      <c r="BU11" s="167"/>
      <c r="BV11" s="64"/>
      <c r="BW11" s="64"/>
      <c r="BX11" s="64"/>
      <c r="BY11" s="64"/>
      <c r="BZ11" s="64"/>
      <c r="CA11" s="64"/>
      <c r="CB11" s="64"/>
      <c r="CC11" s="64"/>
      <c r="CD11" s="64"/>
      <c r="CE11" s="64"/>
      <c r="IW11" s="63">
        <v>15</v>
      </c>
    </row>
    <row r="12" s="139" customFormat="1" ht="22" customHeight="1">
      <c r="A12" s="50"/>
      <c r="B12" s="53"/>
      <c r="C12" s="50"/>
      <c r="D12" s="128"/>
      <c r="E12" s="179"/>
      <c r="F12" s="179"/>
      <c r="G12" s="179"/>
      <c r="H12" s="179"/>
      <c r="I12" s="179"/>
      <c r="J12" s="179"/>
      <c r="K12" s="179"/>
      <c r="L12" s="179"/>
      <c r="M12" s="129"/>
      <c r="N12" s="129"/>
      <c r="O12" s="129"/>
      <c r="P12" s="129"/>
      <c r="Q12" s="129"/>
      <c r="R12" s="129"/>
      <c r="S12" s="130"/>
      <c r="T12" s="130"/>
      <c r="U12" s="130"/>
      <c r="V12" s="130"/>
      <c r="IW12" s="139">
        <v>21</v>
      </c>
    </row>
    <row r="13" s="139" customFormat="1" ht="14.65" customHeight="1">
      <c r="A13" s="50"/>
      <c r="B13" s="53"/>
      <c r="C13" s="50"/>
      <c r="D13" s="128"/>
      <c r="E13" s="50"/>
      <c r="F13" s="50"/>
      <c r="G13" s="50"/>
      <c r="H13" s="50"/>
      <c r="I13" s="50"/>
      <c r="J13" s="50"/>
      <c r="K13" s="50"/>
      <c r="L13" s="50"/>
      <c r="M13" s="129"/>
      <c r="N13" s="129"/>
      <c r="O13" s="129"/>
      <c r="P13" s="129"/>
      <c r="Q13" s="129"/>
      <c r="R13" s="129"/>
      <c r="S13" s="130"/>
      <c r="T13" s="130"/>
      <c r="U13" s="130"/>
      <c r="V13" s="130"/>
      <c r="IW13" s="139">
        <v>14</v>
      </c>
    </row>
    <row r="14" s="139" customFormat="1" ht="1.05" customHeight="1">
      <c r="A14" s="50"/>
      <c r="B14" s="53"/>
      <c r="C14" s="50"/>
      <c r="D14" s="128"/>
      <c r="E14" s="50"/>
      <c r="F14" s="50"/>
      <c r="G14" s="50"/>
      <c r="H14" s="50"/>
      <c r="I14" s="50"/>
      <c r="J14" s="50"/>
      <c r="K14" s="50"/>
      <c r="L14" s="50"/>
      <c r="M14" s="129"/>
      <c r="N14" s="129"/>
      <c r="O14" s="129"/>
      <c r="P14" s="129"/>
      <c r="Q14" s="129"/>
      <c r="R14" s="129"/>
      <c r="S14" s="130"/>
      <c r="T14" s="130"/>
      <c r="U14" s="130"/>
      <c r="V14" s="130"/>
      <c r="IW14" s="139">
        <v>1</v>
      </c>
    </row>
    <row r="15" ht="22.5" hidden="1" customHeight="1">
      <c r="A15" s="50" t="s">
        <v>83</v>
      </c>
      <c r="B15" s="53">
        <v>0</v>
      </c>
      <c r="C15" s="50">
        <v>0</v>
      </c>
      <c r="D15" s="128">
        <v>3</v>
      </c>
      <c r="E15" s="50">
        <v>6</v>
      </c>
      <c r="F15" s="50">
        <v>27</v>
      </c>
      <c r="G15" s="50">
        <v>16</v>
      </c>
      <c r="H15" s="50">
        <v>12</v>
      </c>
      <c r="I15" s="50">
        <v>32</v>
      </c>
      <c r="J15" s="50">
        <v>41</v>
      </c>
      <c r="K15" s="50">
        <v>41</v>
      </c>
      <c r="L15" s="50">
        <v>89</v>
      </c>
      <c r="M15" s="129">
        <v>3</v>
      </c>
      <c r="N15" s="129">
        <v>8</v>
      </c>
      <c r="O15" s="129">
        <v>8</v>
      </c>
      <c r="P15" s="129">
        <v>8</v>
      </c>
      <c r="Q15" s="129">
        <v>25</v>
      </c>
      <c r="R15" s="129">
        <v>14</v>
      </c>
      <c r="S15" s="130">
        <v>8</v>
      </c>
      <c r="T15" s="130">
        <v>8</v>
      </c>
      <c r="U15" s="130">
        <v>8</v>
      </c>
      <c r="V15" s="130">
        <v>8</v>
      </c>
      <c r="W15" s="50">
        <v>8</v>
      </c>
      <c r="X15" s="50">
        <v>8</v>
      </c>
      <c r="Y15" s="50">
        <v>8</v>
      </c>
      <c r="Z15" s="50">
        <v>8</v>
      </c>
      <c r="AA15" s="50">
        <v>8</v>
      </c>
      <c r="AB15" s="50">
        <v>8</v>
      </c>
      <c r="AC15" s="50">
        <v>8</v>
      </c>
      <c r="AD15" s="50">
        <v>8</v>
      </c>
      <c r="AE15" s="50">
        <v>8</v>
      </c>
      <c r="AF15" s="50">
        <v>8</v>
      </c>
      <c r="AG15" s="50">
        <v>8</v>
      </c>
      <c r="AH15" s="50">
        <v>8</v>
      </c>
      <c r="AI15" s="50">
        <v>8</v>
      </c>
      <c r="AJ15" s="50">
        <v>8</v>
      </c>
      <c r="AK15" s="50">
        <v>8</v>
      </c>
      <c r="AL15" s="50">
        <v>8</v>
      </c>
      <c r="AM15" s="50">
        <v>8</v>
      </c>
      <c r="AN15" s="50">
        <v>8</v>
      </c>
      <c r="AO15" s="50">
        <v>8</v>
      </c>
      <c r="AP15" s="50">
        <v>8</v>
      </c>
      <c r="AQ15" s="50">
        <v>8</v>
      </c>
      <c r="AR15" s="50">
        <v>8</v>
      </c>
      <c r="AS15" s="50">
        <v>8</v>
      </c>
      <c r="AT15" s="50">
        <v>8</v>
      </c>
      <c r="AU15" s="50">
        <v>8</v>
      </c>
      <c r="AV15" s="50">
        <v>8</v>
      </c>
      <c r="AW15" s="50">
        <v>8</v>
      </c>
      <c r="AX15" s="50">
        <v>8</v>
      </c>
      <c r="AY15" s="50">
        <v>8</v>
      </c>
      <c r="AZ15" s="50">
        <v>8</v>
      </c>
      <c r="BA15" s="50">
        <v>8</v>
      </c>
      <c r="BB15" s="50">
        <v>8</v>
      </c>
      <c r="BC15" s="50">
        <v>8</v>
      </c>
      <c r="BD15" s="50">
        <v>8</v>
      </c>
      <c r="BE15" s="50">
        <v>8</v>
      </c>
      <c r="BF15" s="50">
        <v>8</v>
      </c>
      <c r="BG15" s="50">
        <v>8</v>
      </c>
      <c r="BH15" s="50">
        <v>8</v>
      </c>
      <c r="BI15" s="50">
        <v>8</v>
      </c>
      <c r="BJ15" s="50">
        <v>8</v>
      </c>
      <c r="BK15" s="50">
        <v>8</v>
      </c>
      <c r="BL15" s="50">
        <v>8</v>
      </c>
      <c r="BM15" s="50">
        <v>8</v>
      </c>
      <c r="BN15" s="50">
        <v>8</v>
      </c>
      <c r="BO15" s="50">
        <v>8</v>
      </c>
      <c r="BP15" s="50">
        <v>8</v>
      </c>
      <c r="BQ15" s="50">
        <v>8</v>
      </c>
      <c r="BR15" s="50">
        <v>8</v>
      </c>
      <c r="BS15" s="50">
        <v>8</v>
      </c>
      <c r="BT15" s="50">
        <v>8</v>
      </c>
      <c r="BU15" s="50">
        <v>8</v>
      </c>
      <c r="BV15" s="50">
        <v>8</v>
      </c>
      <c r="BW15" s="50">
        <v>8</v>
      </c>
      <c r="BX15" s="50">
        <v>8</v>
      </c>
      <c r="BY15" s="50">
        <v>8</v>
      </c>
      <c r="BZ15" s="50">
        <v>8</v>
      </c>
      <c r="CA15" s="50">
        <v>8</v>
      </c>
      <c r="CB15" s="50">
        <v>8</v>
      </c>
      <c r="CC15" s="50">
        <v>8</v>
      </c>
      <c r="CD15" s="50">
        <v>8</v>
      </c>
      <c r="CE15" s="50">
        <v>8</v>
      </c>
      <c r="CF15" s="50">
        <v>8</v>
      </c>
      <c r="CG15" s="50">
        <v>8</v>
      </c>
      <c r="CH15" s="50">
        <v>8</v>
      </c>
      <c r="CI15" s="50">
        <v>8</v>
      </c>
      <c r="CJ15" s="50">
        <v>8</v>
      </c>
      <c r="CK15" s="50">
        <v>8</v>
      </c>
      <c r="CL15" s="50">
        <v>8</v>
      </c>
      <c r="CM15" s="50">
        <v>8</v>
      </c>
      <c r="CN15" s="50">
        <v>8</v>
      </c>
      <c r="CO15" s="50">
        <v>8</v>
      </c>
      <c r="CP15" s="50">
        <v>8</v>
      </c>
      <c r="CQ15" s="50">
        <v>8</v>
      </c>
      <c r="CR15" s="50">
        <v>8</v>
      </c>
      <c r="CS15" s="50">
        <v>8</v>
      </c>
      <c r="CT15" s="50">
        <v>8</v>
      </c>
      <c r="CU15" s="50">
        <v>8</v>
      </c>
      <c r="CV15" s="50">
        <v>8</v>
      </c>
      <c r="CW15" s="50">
        <v>8</v>
      </c>
      <c r="CX15" s="50">
        <v>8</v>
      </c>
      <c r="CY15" s="50">
        <v>8</v>
      </c>
      <c r="CZ15" s="50">
        <v>8</v>
      </c>
      <c r="DA15" s="50">
        <v>8</v>
      </c>
      <c r="DB15" s="50">
        <v>8</v>
      </c>
      <c r="DC15" s="50">
        <v>8</v>
      </c>
      <c r="DD15" s="50">
        <v>8</v>
      </c>
      <c r="DE15" s="50">
        <v>8</v>
      </c>
      <c r="DF15" s="50">
        <v>8</v>
      </c>
      <c r="DG15" s="50">
        <v>8</v>
      </c>
      <c r="DH15" s="50">
        <v>8</v>
      </c>
      <c r="DI15" s="50">
        <v>8</v>
      </c>
      <c r="DJ15" s="50">
        <v>8</v>
      </c>
      <c r="DK15" s="50">
        <v>8</v>
      </c>
      <c r="DL15" s="50">
        <v>8</v>
      </c>
      <c r="DM15" s="50">
        <v>8</v>
      </c>
      <c r="DN15" s="50">
        <v>8</v>
      </c>
      <c r="DO15" s="50">
        <v>8</v>
      </c>
      <c r="DP15" s="50">
        <v>8</v>
      </c>
      <c r="DQ15" s="50">
        <v>8</v>
      </c>
      <c r="DR15" s="50">
        <v>8</v>
      </c>
      <c r="DS15" s="50">
        <v>8</v>
      </c>
      <c r="DT15" s="50">
        <v>8</v>
      </c>
      <c r="DU15" s="50">
        <v>8</v>
      </c>
      <c r="DV15" s="50">
        <v>8</v>
      </c>
      <c r="DW15" s="50">
        <v>8</v>
      </c>
      <c r="DX15" s="50">
        <v>8</v>
      </c>
      <c r="DY15" s="50">
        <v>8</v>
      </c>
      <c r="DZ15" s="50">
        <v>8</v>
      </c>
      <c r="EA15" s="50">
        <v>8</v>
      </c>
      <c r="EB15" s="50">
        <v>8</v>
      </c>
      <c r="EC15" s="50">
        <v>8</v>
      </c>
      <c r="ED15" s="50">
        <v>8</v>
      </c>
      <c r="EE15" s="50">
        <v>8</v>
      </c>
      <c r="EF15" s="50">
        <v>8</v>
      </c>
      <c r="EG15" s="50">
        <v>8</v>
      </c>
      <c r="EH15" s="50">
        <v>8</v>
      </c>
      <c r="EI15" s="50">
        <v>8</v>
      </c>
      <c r="EJ15" s="50">
        <v>8</v>
      </c>
      <c r="EK15" s="50">
        <v>8</v>
      </c>
      <c r="EL15" s="50">
        <v>8</v>
      </c>
      <c r="EM15" s="50">
        <v>8</v>
      </c>
      <c r="EN15" s="50">
        <v>8</v>
      </c>
      <c r="EO15" s="50">
        <v>8</v>
      </c>
      <c r="EP15" s="50">
        <v>8</v>
      </c>
      <c r="EQ15" s="50">
        <v>8</v>
      </c>
      <c r="ER15" s="50">
        <v>8</v>
      </c>
      <c r="ES15" s="50">
        <v>8</v>
      </c>
      <c r="ET15" s="50">
        <v>8</v>
      </c>
      <c r="EU15" s="50">
        <v>8</v>
      </c>
      <c r="EV15" s="50">
        <v>8</v>
      </c>
      <c r="EW15" s="50">
        <v>8</v>
      </c>
      <c r="EX15" s="50">
        <v>8</v>
      </c>
      <c r="EY15" s="50">
        <v>8</v>
      </c>
      <c r="EZ15" s="50">
        <v>8</v>
      </c>
      <c r="FA15" s="50">
        <v>8</v>
      </c>
      <c r="FB15" s="50">
        <v>8</v>
      </c>
      <c r="FC15" s="50">
        <v>8</v>
      </c>
      <c r="FD15" s="50">
        <v>8</v>
      </c>
      <c r="FE15" s="50">
        <v>8</v>
      </c>
      <c r="FF15" s="50">
        <v>8</v>
      </c>
      <c r="FG15" s="50">
        <v>8</v>
      </c>
      <c r="FH15" s="50">
        <v>8</v>
      </c>
      <c r="FI15" s="50">
        <v>8</v>
      </c>
      <c r="FJ15" s="50">
        <v>8</v>
      </c>
      <c r="FK15" s="50">
        <v>8</v>
      </c>
      <c r="FL15" s="50">
        <v>8</v>
      </c>
      <c r="FM15" s="50">
        <v>8</v>
      </c>
      <c r="FN15" s="50">
        <v>8</v>
      </c>
      <c r="FO15" s="50">
        <v>8</v>
      </c>
      <c r="FP15" s="50">
        <v>8</v>
      </c>
      <c r="FQ15" s="50">
        <v>8</v>
      </c>
      <c r="FR15" s="50">
        <v>8</v>
      </c>
      <c r="FS15" s="50">
        <v>8</v>
      </c>
      <c r="FT15" s="50">
        <v>8</v>
      </c>
      <c r="FU15" s="50">
        <v>8</v>
      </c>
      <c r="FV15" s="50">
        <v>8</v>
      </c>
      <c r="FW15" s="50">
        <v>8</v>
      </c>
      <c r="FX15" s="50">
        <v>8</v>
      </c>
      <c r="FY15" s="50">
        <v>8</v>
      </c>
      <c r="FZ15" s="50">
        <v>8</v>
      </c>
      <c r="GA15" s="50">
        <v>8</v>
      </c>
      <c r="GB15" s="50">
        <v>8</v>
      </c>
      <c r="GC15" s="50">
        <v>8</v>
      </c>
      <c r="GD15" s="50">
        <v>8</v>
      </c>
      <c r="GE15" s="50">
        <v>8</v>
      </c>
      <c r="GF15" s="50">
        <v>8</v>
      </c>
      <c r="GG15" s="50">
        <v>8</v>
      </c>
      <c r="GH15" s="50">
        <v>8</v>
      </c>
      <c r="GI15" s="50">
        <v>8</v>
      </c>
      <c r="GJ15" s="50">
        <v>8</v>
      </c>
      <c r="GK15" s="50">
        <v>8</v>
      </c>
      <c r="GL15" s="50">
        <v>8</v>
      </c>
      <c r="GM15" s="50">
        <v>8</v>
      </c>
      <c r="GN15" s="50">
        <v>8</v>
      </c>
      <c r="GO15" s="50">
        <v>8</v>
      </c>
      <c r="GP15" s="50">
        <v>8</v>
      </c>
      <c r="GQ15" s="50">
        <v>8</v>
      </c>
      <c r="GR15" s="50">
        <v>8</v>
      </c>
      <c r="GS15" s="50">
        <v>8</v>
      </c>
      <c r="GT15" s="50">
        <v>8</v>
      </c>
      <c r="GU15" s="50">
        <v>8</v>
      </c>
      <c r="GV15" s="50">
        <v>8</v>
      </c>
      <c r="GW15" s="50">
        <v>8</v>
      </c>
      <c r="GX15" s="50">
        <v>8</v>
      </c>
      <c r="GY15" s="50">
        <v>8</v>
      </c>
      <c r="GZ15" s="50">
        <v>8</v>
      </c>
      <c r="HA15" s="50">
        <v>8</v>
      </c>
      <c r="HB15" s="50">
        <v>8</v>
      </c>
      <c r="HC15" s="50">
        <v>8</v>
      </c>
      <c r="HD15" s="50">
        <v>8</v>
      </c>
      <c r="HE15" s="50">
        <v>8</v>
      </c>
      <c r="HF15" s="50">
        <v>8</v>
      </c>
      <c r="HG15" s="50">
        <v>8</v>
      </c>
      <c r="HH15" s="50">
        <v>8</v>
      </c>
      <c r="HI15" s="50">
        <v>8</v>
      </c>
      <c r="HJ15" s="50">
        <v>8</v>
      </c>
      <c r="HK15" s="50">
        <v>8</v>
      </c>
      <c r="HL15" s="50">
        <v>8</v>
      </c>
      <c r="HM15" s="50">
        <v>8</v>
      </c>
      <c r="HN15" s="50">
        <v>8</v>
      </c>
      <c r="HO15" s="50">
        <v>8</v>
      </c>
      <c r="HP15" s="50">
        <v>8</v>
      </c>
      <c r="HQ15" s="50">
        <v>8</v>
      </c>
      <c r="HR15" s="50">
        <v>8</v>
      </c>
      <c r="HS15" s="50">
        <v>8</v>
      </c>
      <c r="HT15" s="50">
        <v>8</v>
      </c>
      <c r="HU15" s="50">
        <v>8</v>
      </c>
      <c r="HV15" s="50">
        <v>8</v>
      </c>
      <c r="HW15" s="50">
        <v>8</v>
      </c>
      <c r="HX15" s="50">
        <v>8</v>
      </c>
      <c r="HY15" s="50">
        <v>8</v>
      </c>
      <c r="HZ15" s="50">
        <v>8</v>
      </c>
      <c r="IA15" s="50">
        <v>8</v>
      </c>
      <c r="IB15" s="50">
        <v>8</v>
      </c>
      <c r="IC15" s="50">
        <v>8</v>
      </c>
      <c r="ID15" s="50">
        <v>8</v>
      </c>
      <c r="IE15" s="50">
        <v>8</v>
      </c>
      <c r="IF15" s="50">
        <v>8</v>
      </c>
      <c r="IG15" s="50">
        <v>8</v>
      </c>
      <c r="IH15" s="50">
        <v>8</v>
      </c>
      <c r="II15" s="50">
        <v>8</v>
      </c>
      <c r="IJ15" s="50">
        <v>8</v>
      </c>
      <c r="IK15" s="50">
        <v>8</v>
      </c>
      <c r="IL15" s="50">
        <v>8</v>
      </c>
      <c r="IM15" s="50">
        <v>8</v>
      </c>
      <c r="IN15" s="50">
        <v>8</v>
      </c>
      <c r="IO15" s="50">
        <v>8</v>
      </c>
      <c r="IP15" s="50">
        <v>8</v>
      </c>
      <c r="IQ15" s="50">
        <v>8</v>
      </c>
      <c r="IR15" s="50">
        <v>8</v>
      </c>
      <c r="IS15" s="50">
        <v>8</v>
      </c>
      <c r="IT15" s="50">
        <v>8</v>
      </c>
      <c r="IU15" s="50">
        <v>8</v>
      </c>
      <c r="IV15" s="50">
        <v>8</v>
      </c>
      <c r="IW15" s="50">
        <v>23</v>
      </c>
    </row>
  </sheetData>
  <sheetProtection autoFilter="0" deleteColumns="1" deleteRows="1" formatCells="1" formatColumns="1" formatRows="1" insertColumns="1" insertHyperlinks="1" insertRows="1" objects="0" pivotTables="1" scenarios="0" selectLockedCells="0" selectUnlockedCells="0" sheet="1" sort="1"/>
  <mergeCells count="10">
    <mergeCell ref="E5:K5"/>
    <mergeCell ref="E7:K7"/>
    <mergeCell ref="L7:L9"/>
    <mergeCell ref="E8:E9"/>
    <mergeCell ref="F8:F9"/>
    <mergeCell ref="G8:I8"/>
    <mergeCell ref="J8:J9"/>
    <mergeCell ref="K8:K9"/>
    <mergeCell ref="A10:A11"/>
    <mergeCell ref="L10:L11"/>
  </mergeCells>
  <dataValidations count="1" disablePrompts="0">
    <dataValidation sqref="G2:G3"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69006E-00EB-42C5-B469-006500E800F5}" type="time" allowBlank="1" errorStyle="stop" imeMode="noControl" operator="between" prompt="Укажите время в формате ЧЧ:ММ" showDropDown="0" showErrorMessage="1" showInputMessage="1">
          <x14:formula1>
            <xm:f>0</xm:f>
          </x14:formula1>
          <x14:formula2>
            <xm:f>0.9993055555555556</xm:f>
          </x14:formula2>
          <xm:sqref>H2</xm:sqref>
        </x14:dataValidation>
        <x14:dataValidation xr:uid="{0001005A-003D-4671-9284-00DB002C0003}" type="textLength" allowBlank="1" errorStyle="stop" imeMode="noControl" operator="lessThanOrEqual" showDropDown="0" showErrorMessage="1" showInputMessage="1">
          <x14:formula1>
            <xm:f>990</xm:f>
          </x14:formula1>
          <xm:sqref>I2</xm:sqref>
        </x14:dataValidation>
        <x14:dataValidation xr:uid="{0025001B-00F2-4BF6-BBBE-0020002700BE}" type="textLength" allowBlank="1" errorStyle="stop" imeMode="noControl" operator="between" showDropDown="0" showErrorMessage="1" showInputMessage="1">
          <x14:formula1>
            <xm:f>13</xm:f>
          </x14:formula1>
          <x14:formula2>
            <xm:f>15</xm:f>
          </x14:formula2>
          <xm:sqref>H3:I3</xm:sqref>
        </x14:dataValidation>
        <x14:dataValidation xr:uid="{003100EC-00F3-4B3C-B261-00BA00E90070}"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J2:K3</xm:sqref>
        </x14:dataValidation>
      </x14:dataValidations>
    </ext>
  </extLst>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zoomScale="90" workbookViewId="0">
      <pane xSplit="10" ySplit="12" topLeftCell="K13" activePane="bottomRight" state="frozen"/>
      <selection activeCell="A1" activeCellId="0" sqref="A1"/>
    </sheetView>
  </sheetViews>
  <sheetFormatPr defaultColWidth="9.140625" defaultRowHeight="14.25" customHeight="1"/>
  <cols>
    <col hidden="1" min="1" max="1" style="50" width="9.140625"/>
    <col hidden="1" min="2" max="2" style="53" width="9.140625"/>
    <col customWidth="1" hidden="1" min="3" max="3" style="50" width="3.7109375"/>
    <col customWidth="1" min="4" max="4" style="128" width="3.00390625"/>
    <col customWidth="1" min="5" max="5" style="50" width="6.00390625"/>
    <col customWidth="1" min="6" max="6" style="50" width="27.00390625"/>
    <col customWidth="1" min="7" max="7" style="50" width="29.00390625"/>
    <col customWidth="1" min="8" max="8" style="50" width="25.00390625"/>
    <col customWidth="1" min="9" max="9" style="50" width="5.00390625"/>
    <col customWidth="1" min="10" max="10" style="50" width="6.00390625"/>
    <col customWidth="1" min="11" max="11" style="50" width="41.00390625"/>
    <col customWidth="1" min="12" max="12" style="50" width="42.00390625"/>
    <col customWidth="1" min="13" max="13" style="50" width="41.00390625"/>
    <col customWidth="1" min="14" max="14" style="50" width="89.00390625"/>
    <col customWidth="1" min="15" max="15" style="129" width="3.00390625"/>
    <col customWidth="1" min="16" max="16" style="129" width="8.00390625"/>
    <col hidden="1" min="17" max="17" style="50" width="9.140625"/>
  </cols>
  <sheetData>
    <row r="1" ht="22.5" hidden="1" customHeight="1">
      <c r="Q1" s="50" t="s">
        <v>14</v>
      </c>
    </row>
    <row r="2" s="63" customFormat="1" ht="22.5" hidden="1" customHeight="1">
      <c r="A2" s="131"/>
      <c r="B2" s="53">
        <v>1</v>
      </c>
      <c r="C2" s="53"/>
      <c r="D2" s="966" t="s">
        <v>693</v>
      </c>
      <c r="E2" s="157">
        <v>1</v>
      </c>
      <c r="F2" s="613" t="str">
        <f>IF(region_name="","",region_name)</f>
        <v xml:space="preserve">Приморский край</v>
      </c>
      <c r="G2" s="1090"/>
      <c r="H2" s="399"/>
      <c r="I2" s="366"/>
      <c r="J2" s="73">
        <v>1</v>
      </c>
      <c r="K2" s="457"/>
      <c r="L2" s="457"/>
      <c r="M2" s="457"/>
      <c r="N2" s="377"/>
      <c r="O2" s="1086"/>
      <c r="P2" s="57"/>
      <c r="Q2" s="63">
        <v>0</v>
      </c>
    </row>
    <row r="3" s="63" customFormat="1" ht="22.5" hidden="1" customHeight="1">
      <c r="A3" s="120"/>
      <c r="B3" s="53"/>
      <c r="C3" s="53"/>
      <c r="D3" s="169"/>
      <c r="E3" s="157"/>
      <c r="F3" s="613"/>
      <c r="G3" s="1090"/>
      <c r="H3" s="397"/>
      <c r="I3" s="170"/>
      <c r="J3" s="711"/>
      <c r="K3" s="711" t="s">
        <v>1886</v>
      </c>
      <c r="L3" s="1107"/>
      <c r="M3" s="1108"/>
      <c r="N3" s="1109"/>
      <c r="O3" s="1086"/>
      <c r="P3" s="57"/>
      <c r="Q3" s="63">
        <v>0</v>
      </c>
    </row>
    <row r="4" s="57" customFormat="1" ht="5.25" hidden="1" customHeight="1">
      <c r="A4" s="131"/>
      <c r="D4" s="132"/>
      <c r="F4" s="133" t="s">
        <v>84</v>
      </c>
      <c r="G4" s="132" t="s">
        <v>85</v>
      </c>
      <c r="H4" s="132"/>
      <c r="I4" s="132"/>
      <c r="J4" s="1110"/>
      <c r="K4" s="132"/>
      <c r="L4" s="132"/>
      <c r="M4" s="132"/>
      <c r="N4" s="132"/>
      <c r="O4" s="133" t="s">
        <v>84</v>
      </c>
      <c r="P4" s="133"/>
      <c r="Q4" s="57">
        <v>0</v>
      </c>
    </row>
    <row r="5" s="63" customFormat="1" ht="22.5" hidden="1" customHeight="1">
      <c r="A5" s="131"/>
      <c r="B5" s="53">
        <v>1</v>
      </c>
      <c r="C5" s="53"/>
      <c r="D5" s="169"/>
      <c r="E5" s="1109"/>
      <c r="F5" s="1109"/>
      <c r="G5" s="1109"/>
      <c r="H5" s="1111"/>
      <c r="I5" s="1112" t="s">
        <v>693</v>
      </c>
      <c r="J5" s="145">
        <v>1</v>
      </c>
      <c r="K5" s="457"/>
      <c r="L5" s="457"/>
      <c r="M5" s="457"/>
      <c r="N5" s="377"/>
      <c r="O5" s="1086"/>
      <c r="P5" s="57"/>
      <c r="Q5" s="63">
        <v>0</v>
      </c>
    </row>
    <row r="6" s="139" customFormat="1" ht="14.65" customHeight="1">
      <c r="A6" s="50"/>
      <c r="B6" s="53"/>
      <c r="C6" s="50"/>
      <c r="D6" s="128"/>
      <c r="E6" s="50"/>
      <c r="F6" s="50"/>
      <c r="G6" s="50"/>
      <c r="H6" s="50"/>
      <c r="I6" s="50"/>
      <c r="J6" s="50"/>
      <c r="K6" s="50"/>
      <c r="L6" s="50"/>
      <c r="M6" s="50"/>
      <c r="N6" s="50"/>
      <c r="O6" s="133"/>
      <c r="P6" s="129"/>
      <c r="Q6" s="139">
        <v>14</v>
      </c>
    </row>
    <row r="7" s="139" customFormat="1" ht="27.300000000000001" customHeight="1">
      <c r="A7" s="50"/>
      <c r="B7" s="53"/>
      <c r="C7" s="50"/>
      <c r="D7" s="128"/>
      <c r="E7" s="1113"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 xml:space="preserve">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1113"/>
      <c r="G7" s="1113"/>
      <c r="H7" s="1113"/>
      <c r="I7" s="1113"/>
      <c r="J7" s="1113"/>
      <c r="K7" s="1113"/>
      <c r="L7" s="1113"/>
      <c r="M7" s="1113"/>
      <c r="N7" s="120"/>
      <c r="O7" s="133"/>
      <c r="P7" s="129"/>
      <c r="Q7" s="139">
        <v>26</v>
      </c>
    </row>
    <row r="8" s="139" customFormat="1" ht="14.65" customHeight="1">
      <c r="A8" s="50"/>
      <c r="B8" s="53"/>
      <c r="C8" s="50"/>
      <c r="D8" s="128"/>
      <c r="E8" s="50"/>
      <c r="F8" s="142"/>
      <c r="G8" s="142"/>
      <c r="H8" s="142"/>
      <c r="I8" s="142"/>
      <c r="J8" s="142"/>
      <c r="K8" s="142"/>
      <c r="L8" s="142"/>
      <c r="M8" s="142"/>
      <c r="N8" s="142"/>
      <c r="O8" s="129"/>
      <c r="P8" s="129"/>
      <c r="Q8" s="139">
        <v>14</v>
      </c>
    </row>
    <row r="9" s="1114" customFormat="1" ht="14.25" hidden="1" customHeight="1">
      <c r="A9" s="51"/>
      <c r="B9" s="113"/>
      <c r="C9" s="51"/>
      <c r="D9" s="128"/>
      <c r="E9" s="1115"/>
      <c r="F9" s="1115"/>
      <c r="G9" s="1115"/>
      <c r="H9" s="1115"/>
      <c r="I9" s="1115"/>
      <c r="J9" s="1115"/>
      <c r="K9" s="1115"/>
      <c r="L9" s="1115"/>
      <c r="M9" s="1116"/>
      <c r="O9" s="212"/>
      <c r="P9" s="212"/>
      <c r="Q9" s="1114">
        <v>0</v>
      </c>
    </row>
    <row r="10" s="139" customFormat="1" ht="14.65" customHeight="1">
      <c r="A10" s="50"/>
      <c r="B10" s="53"/>
      <c r="C10" s="50"/>
      <c r="D10" s="128"/>
      <c r="E10" s="157" t="s">
        <v>305</v>
      </c>
      <c r="F10" s="157"/>
      <c r="G10" s="157"/>
      <c r="H10" s="157"/>
      <c r="I10" s="157"/>
      <c r="J10" s="157"/>
      <c r="K10" s="157"/>
      <c r="L10" s="157"/>
      <c r="M10" s="73"/>
      <c r="N10" s="1088" t="s">
        <v>306</v>
      </c>
      <c r="O10" s="129"/>
      <c r="P10" s="129"/>
      <c r="Q10" s="139">
        <v>14</v>
      </c>
    </row>
    <row r="11" s="139" customFormat="1" ht="44.25" customHeight="1">
      <c r="A11" s="50"/>
      <c r="B11" s="53"/>
      <c r="C11" s="50"/>
      <c r="D11" s="128"/>
      <c r="E11" s="148" t="s">
        <v>89</v>
      </c>
      <c r="F11" s="148" t="s">
        <v>309</v>
      </c>
      <c r="G11" s="148" t="s">
        <v>1887</v>
      </c>
      <c r="H11" s="148"/>
      <c r="I11" s="148" t="s">
        <v>1888</v>
      </c>
      <c r="J11" s="148"/>
      <c r="K11" s="148"/>
      <c r="L11" s="148" t="s">
        <v>1889</v>
      </c>
      <c r="M11" s="147" t="s">
        <v>1890</v>
      </c>
      <c r="N11" s="1117"/>
      <c r="O11" s="129"/>
      <c r="P11" s="129"/>
      <c r="Q11" s="139">
        <v>42</v>
      </c>
    </row>
    <row r="12" s="139" customFormat="1" ht="29.25" customHeight="1">
      <c r="A12" s="50"/>
      <c r="B12" s="53"/>
      <c r="C12" s="50"/>
      <c r="D12" s="128"/>
      <c r="E12" s="1088"/>
      <c r="F12" s="148"/>
      <c r="G12" s="148" t="s">
        <v>1891</v>
      </c>
      <c r="H12" s="148" t="s">
        <v>313</v>
      </c>
      <c r="I12" s="148"/>
      <c r="J12" s="148"/>
      <c r="K12" s="148"/>
      <c r="L12" s="148"/>
      <c r="M12" s="147"/>
      <c r="N12" s="1102"/>
      <c r="O12" s="129"/>
      <c r="P12" s="129"/>
      <c r="Q12" s="139">
        <v>28</v>
      </c>
    </row>
    <row r="13" s="63" customFormat="1" ht="23.25" customHeight="1">
      <c r="A13" s="51">
        <v>26379339</v>
      </c>
      <c r="B13" s="53">
        <v>1</v>
      </c>
      <c r="C13" s="53"/>
      <c r="D13" s="169"/>
      <c r="E13" s="157">
        <v>1</v>
      </c>
      <c r="F13" s="1118" t="str">
        <f>IF(region_name="","",region_name)</f>
        <v xml:space="preserve">Приморский край</v>
      </c>
      <c r="G13" s="477"/>
      <c r="H13" s="1119"/>
      <c r="I13" s="366"/>
      <c r="J13" s="162">
        <v>1</v>
      </c>
      <c r="K13" s="1120"/>
      <c r="L13" s="1121"/>
      <c r="M13" s="1121"/>
      <c r="N13" s="1122" t="s">
        <v>1892</v>
      </c>
      <c r="O13" s="1086"/>
      <c r="P13" s="57"/>
      <c r="Q13" s="63">
        <v>22</v>
      </c>
    </row>
    <row r="14" s="63" customFormat="1" ht="23.25" customHeight="1">
      <c r="A14" s="51"/>
      <c r="B14" s="53"/>
      <c r="C14" s="53"/>
      <c r="D14" s="169"/>
      <c r="E14" s="157"/>
      <c r="F14" s="1118"/>
      <c r="G14" s="477"/>
      <c r="H14" s="1123"/>
      <c r="I14" s="170"/>
      <c r="J14" s="711"/>
      <c r="K14" s="711" t="s">
        <v>1886</v>
      </c>
      <c r="L14" s="1107"/>
      <c r="M14" s="1107"/>
      <c r="N14" s="1124"/>
      <c r="O14" s="1086"/>
      <c r="P14" s="57"/>
      <c r="Q14" s="63">
        <v>22</v>
      </c>
    </row>
    <row r="15" s="63" customFormat="1" ht="23.25" customHeight="1">
      <c r="A15" s="51"/>
      <c r="B15" s="53"/>
      <c r="C15" s="168"/>
      <c r="D15" s="169"/>
      <c r="E15" s="170"/>
      <c r="F15" s="711" t="s">
        <v>1878</v>
      </c>
      <c r="G15" s="1093"/>
      <c r="H15" s="1093"/>
      <c r="I15" s="173"/>
      <c r="J15" s="173"/>
      <c r="K15" s="173"/>
      <c r="L15" s="173"/>
      <c r="M15" s="173"/>
      <c r="N15" s="1124"/>
      <c r="O15" s="1095"/>
      <c r="P15" s="57"/>
      <c r="Q15" s="63">
        <v>22</v>
      </c>
    </row>
    <row r="16" s="139" customFormat="1" ht="22" customHeight="1">
      <c r="A16" s="50"/>
      <c r="B16" s="53"/>
      <c r="C16" s="50"/>
      <c r="D16" s="128"/>
      <c r="E16" s="179"/>
      <c r="F16" s="179"/>
      <c r="G16" s="179"/>
      <c r="H16" s="179"/>
      <c r="I16" s="179"/>
      <c r="J16" s="179"/>
      <c r="K16" s="179"/>
      <c r="L16" s="179"/>
      <c r="M16" s="50"/>
      <c r="N16" s="50"/>
      <c r="O16" s="129"/>
      <c r="P16" s="129"/>
      <c r="Q16" s="139">
        <v>21</v>
      </c>
    </row>
    <row r="17" s="139" customFormat="1" ht="14.65" customHeight="1">
      <c r="A17" s="50"/>
      <c r="B17" s="53"/>
      <c r="C17" s="50"/>
      <c r="D17" s="128"/>
      <c r="E17" s="50"/>
      <c r="F17" s="50"/>
      <c r="G17" s="50"/>
      <c r="H17" s="50"/>
      <c r="I17" s="50"/>
      <c r="J17" s="50"/>
      <c r="K17" s="50"/>
      <c r="L17" s="50"/>
      <c r="M17" s="50"/>
      <c r="N17" s="50"/>
      <c r="O17" s="129"/>
      <c r="P17" s="129"/>
      <c r="Q17" s="139">
        <v>14</v>
      </c>
    </row>
    <row r="18" s="139" customFormat="1" ht="1.05" customHeight="1">
      <c r="A18" s="50"/>
      <c r="B18" s="53"/>
      <c r="C18" s="50"/>
      <c r="D18" s="128"/>
      <c r="E18" s="50"/>
      <c r="F18" s="50"/>
      <c r="G18" s="50"/>
      <c r="H18" s="50"/>
      <c r="I18" s="50"/>
      <c r="J18" s="50"/>
      <c r="K18" s="50"/>
      <c r="L18" s="50"/>
      <c r="M18" s="50"/>
      <c r="N18" s="50"/>
      <c r="O18" s="129"/>
      <c r="P18" s="129"/>
      <c r="Q18" s="139">
        <v>1</v>
      </c>
    </row>
    <row r="19" ht="22.5" hidden="1" customHeight="1">
      <c r="A19" s="50" t="s">
        <v>83</v>
      </c>
      <c r="B19" s="53">
        <v>0</v>
      </c>
      <c r="C19" s="50">
        <v>0</v>
      </c>
      <c r="D19" s="128">
        <v>3</v>
      </c>
      <c r="E19" s="50">
        <v>6</v>
      </c>
      <c r="F19" s="50">
        <v>27</v>
      </c>
      <c r="G19" s="50">
        <v>29</v>
      </c>
      <c r="H19" s="50">
        <v>25</v>
      </c>
      <c r="I19" s="50">
        <v>5</v>
      </c>
      <c r="J19" s="50">
        <v>6</v>
      </c>
      <c r="K19" s="50">
        <v>41</v>
      </c>
      <c r="L19" s="50">
        <v>42</v>
      </c>
      <c r="M19" s="50">
        <v>41</v>
      </c>
      <c r="N19" s="50">
        <v>89</v>
      </c>
      <c r="O19" s="129">
        <v>3</v>
      </c>
      <c r="P19" s="129">
        <v>8</v>
      </c>
      <c r="Q19" s="50">
        <v>23</v>
      </c>
    </row>
  </sheetData>
  <sheetProtection autoFilter="0" deleteColumns="1" deleteRows="1" formatCells="1" formatColumns="0" formatRows="0" insertColumns="1" insertHyperlinks="1" insertRows="1" objects="0" pivotTables="1" scenarios="0" selectLockedCells="0" selectUnlockedCells="0" sheet="1" sort="1"/>
  <mergeCells count="20">
    <mergeCell ref="E2:E3"/>
    <mergeCell ref="F2:F3"/>
    <mergeCell ref="G2:G3"/>
    <mergeCell ref="H2:H3"/>
    <mergeCell ref="E7:M7"/>
    <mergeCell ref="I9:K9"/>
    <mergeCell ref="E10:M10"/>
    <mergeCell ref="N10:N12"/>
    <mergeCell ref="E11:E12"/>
    <mergeCell ref="F11:F12"/>
    <mergeCell ref="G11:H11"/>
    <mergeCell ref="I11:K12"/>
    <mergeCell ref="L11:L12"/>
    <mergeCell ref="M11:M12"/>
    <mergeCell ref="A13:A15"/>
    <mergeCell ref="E13:E14"/>
    <mergeCell ref="F13:F14"/>
    <mergeCell ref="G13:G14"/>
    <mergeCell ref="H13:H14"/>
    <mergeCell ref="N13:N15"/>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disablePrompts="0">
        <x14:dataValidation xr:uid="{0040000A-002A-463C-A84B-00BB005100DC}"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L4</xm:sqref>
        </x14:dataValidation>
        <x14:dataValidation xr:uid="{00E200C9-00EC-4223-B938-009200E60056}"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 showDropDown="0" showErrorMessage="1" showInputMessage="1">
          <x14:formula1>
            <xm:f>900</xm:f>
          </x14:formula1>
          <xm:sqref>M4</xm:sqref>
        </x14:dataValidation>
      </x14:dataValidations>
    </ext>
  </extLst>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EAEBEE"/>
    <outlinePr applyStyles="0" summaryBelow="1" summaryRight="1" showOutlineSymbols="1"/>
    <pageSetUpPr autoPageBreaks="1" fitToPage="1"/>
  </sheetPr>
  <sheetViews>
    <sheetView showGridLines="0" zoomScale="90" workbookViewId="0">
      <pane xSplit="4" ySplit="11" topLeftCell="E12" activePane="bottomRight" state="frozen"/>
      <selection activeCell="A1" activeCellId="0" sqref="A1"/>
    </sheetView>
  </sheetViews>
  <sheetFormatPr defaultColWidth="9.140625" defaultRowHeight="14.25" customHeight="1"/>
  <cols>
    <col hidden="1" min="1" max="1" style="307" width="9.140625"/>
    <col hidden="1" min="2" max="2" style="143" width="9.140625"/>
    <col customWidth="1" min="3" max="3" style="1125" width="3.00390625"/>
    <col customWidth="1" min="4" max="4" style="143" width="6.00390625"/>
    <col customWidth="1" min="5" max="5" style="143" width="22.00390625"/>
    <col customWidth="1" min="6" max="6" style="143" width="15.00390625"/>
    <col customWidth="1" min="7" max="7" style="143" width="14.00390625"/>
    <col customWidth="1" min="8" max="8" style="143" width="47.00390625"/>
    <col customWidth="1" min="9" max="9" style="143" width="115.00390625"/>
    <col customWidth="1" min="10" max="10" style="143" width="3.00390625"/>
    <col customWidth="1" min="11" max="12" style="143" width="8.00390625"/>
    <col hidden="1" min="13" max="13" style="143" width="9.140625"/>
  </cols>
  <sheetData>
    <row r="1" ht="14.25" hidden="1" customHeight="1">
      <c r="M1" s="143" t="s">
        <v>14</v>
      </c>
    </row>
    <row r="2" ht="14.25" hidden="1" customHeight="1">
      <c r="M2" s="143">
        <v>0</v>
      </c>
    </row>
    <row r="3" ht="14.25" hidden="1" customHeight="1">
      <c r="M3" s="143">
        <v>0</v>
      </c>
    </row>
    <row r="4" ht="3" customHeight="1">
      <c r="M4" s="143">
        <v>3</v>
      </c>
    </row>
    <row r="5" s="50" customFormat="1" ht="31.5" customHeight="1">
      <c r="A5" s="56"/>
      <c r="C5" s="391"/>
      <c r="D5" s="141" t="s">
        <v>1893</v>
      </c>
      <c r="E5" s="141"/>
      <c r="F5" s="141"/>
      <c r="G5" s="141"/>
      <c r="H5" s="141"/>
      <c r="I5" s="239"/>
      <c r="M5" s="50">
        <v>30</v>
      </c>
    </row>
    <row r="6" ht="3" hidden="1" customHeight="1">
      <c r="D6" s="344"/>
      <c r="E6" s="344"/>
      <c r="F6" s="344"/>
      <c r="G6" s="344"/>
      <c r="H6" s="344"/>
      <c r="I6" s="344"/>
      <c r="M6" s="143">
        <v>0</v>
      </c>
    </row>
    <row r="7" s="307" customFormat="1" ht="14.65" customHeight="1">
      <c r="B7" s="143"/>
      <c r="C7" s="1125"/>
      <c r="D7" s="1126"/>
      <c r="E7" s="1126"/>
      <c r="F7" s="1126"/>
      <c r="G7" s="1126"/>
      <c r="H7" s="352"/>
      <c r="I7" s="1126"/>
      <c r="J7" s="1127"/>
      <c r="M7" s="307">
        <v>14</v>
      </c>
    </row>
    <row r="8" ht="14.65" customHeight="1">
      <c r="D8" s="358" t="s">
        <v>305</v>
      </c>
      <c r="E8" s="358"/>
      <c r="F8" s="358"/>
      <c r="G8" s="358"/>
      <c r="H8" s="358"/>
      <c r="I8" s="358" t="s">
        <v>306</v>
      </c>
      <c r="M8" s="143">
        <v>14</v>
      </c>
    </row>
    <row r="9" ht="29.25" customHeight="1">
      <c r="D9" s="358" t="s">
        <v>89</v>
      </c>
      <c r="E9" s="358" t="s">
        <v>1894</v>
      </c>
      <c r="F9" s="358"/>
      <c r="G9" s="358"/>
      <c r="H9" s="358"/>
      <c r="I9" s="358"/>
      <c r="M9" s="143">
        <v>28</v>
      </c>
    </row>
    <row r="10" ht="24" customHeight="1">
      <c r="D10" s="358"/>
      <c r="E10" s="358" t="s">
        <v>1895</v>
      </c>
      <c r="F10" s="358" t="s">
        <v>1896</v>
      </c>
      <c r="G10" s="358" t="s">
        <v>1897</v>
      </c>
      <c r="H10" s="358" t="s">
        <v>395</v>
      </c>
      <c r="I10" s="358"/>
      <c r="M10" s="143">
        <v>23</v>
      </c>
    </row>
    <row r="11" ht="12" hidden="1" customHeight="1">
      <c r="D11" s="434" t="s">
        <v>109</v>
      </c>
      <c r="E11" s="434" t="s">
        <v>92</v>
      </c>
      <c r="F11" s="434" t="s">
        <v>111</v>
      </c>
      <c r="G11" s="434" t="s">
        <v>93</v>
      </c>
      <c r="H11" s="434" t="s">
        <v>94</v>
      </c>
      <c r="I11" s="434" t="s">
        <v>112</v>
      </c>
      <c r="M11" s="143">
        <v>0</v>
      </c>
    </row>
    <row r="12" s="143" customFormat="1" ht="26.25" customHeight="1">
      <c r="A12" s="64" t="s">
        <v>91</v>
      </c>
      <c r="B12" s="143" t="s">
        <v>28</v>
      </c>
      <c r="C12" s="335"/>
      <c r="D12" s="218" t="s">
        <v>109</v>
      </c>
      <c r="E12" s="457"/>
      <c r="F12" s="457"/>
      <c r="G12" s="519" t="s">
        <v>28</v>
      </c>
      <c r="H12" s="479"/>
      <c r="I12" s="285" t="s">
        <v>1898</v>
      </c>
      <c r="K12" s="1128"/>
      <c r="L12" s="167"/>
      <c r="M12" s="143">
        <v>25</v>
      </c>
    </row>
    <row r="13" ht="15.75" customHeight="1">
      <c r="A13" s="143"/>
      <c r="B13" s="143"/>
      <c r="C13" s="143"/>
      <c r="D13" s="841"/>
      <c r="E13" s="177" t="s">
        <v>469</v>
      </c>
      <c r="F13" s="972"/>
      <c r="G13" s="972"/>
      <c r="H13" s="842"/>
      <c r="I13" s="289"/>
      <c r="M13" s="143">
        <v>15</v>
      </c>
    </row>
    <row r="14" ht="3" customHeight="1">
      <c r="A14" s="143"/>
      <c r="B14" s="143"/>
      <c r="C14" s="143"/>
      <c r="M14" s="143">
        <v>3</v>
      </c>
    </row>
    <row r="15" ht="29.25" customHeight="1">
      <c r="E15" s="1129" t="s">
        <v>1899</v>
      </c>
      <c r="F15" s="1129"/>
      <c r="G15" s="1129"/>
      <c r="H15" s="1129"/>
      <c r="M15" s="143">
        <v>28</v>
      </c>
    </row>
    <row r="16" ht="14.25" hidden="1" customHeight="1">
      <c r="A16" s="307" t="s">
        <v>83</v>
      </c>
      <c r="B16" s="143">
        <v>0</v>
      </c>
      <c r="C16" s="1125">
        <v>3</v>
      </c>
      <c r="D16" s="143">
        <v>6</v>
      </c>
      <c r="E16" s="143">
        <v>22</v>
      </c>
      <c r="F16" s="143">
        <v>15</v>
      </c>
      <c r="G16" s="143">
        <v>14</v>
      </c>
      <c r="H16" s="143">
        <v>47</v>
      </c>
      <c r="I16" s="143">
        <v>115</v>
      </c>
      <c r="J16" s="143">
        <v>3</v>
      </c>
      <c r="K16" s="143">
        <v>8</v>
      </c>
      <c r="L16" s="143">
        <v>8</v>
      </c>
      <c r="M16" s="143">
        <v>14</v>
      </c>
    </row>
  </sheetData>
  <sheetProtection autoFilter="0" deleteColumns="1" deleteRows="1" formatCells="1" formatColumns="0" formatRows="0" insertColumns="1" insertHyperlinks="1" insertRows="1" objects="0" pivotTables="1" scenarios="0" selectLockedCells="0" selectUnlockedCells="0" sheet="1" sort="1"/>
  <mergeCells count="7">
    <mergeCell ref="D5:H5"/>
    <mergeCell ref="D8:H8"/>
    <mergeCell ref="I8:I10"/>
    <mergeCell ref="D9:D10"/>
    <mergeCell ref="E9:H9"/>
    <mergeCell ref="I12:I13"/>
    <mergeCell ref="E15:H15"/>
  </mergeCells>
  <dataValidations count="1" disablePrompts="0">
    <dataValidation sqref="G12"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s>
  <printOptions headings="0" gridLines="0"/>
  <pageMargins left="0.24000000000000002" right="0.24000000000000002" top="0.24000000000000002" bottom="0.24000000000000002" header="0.24000000000000002" footer="0.24000000000000002"/>
  <pageSetup paperSize="9" scale="70" fitToWidth="1" fitToHeight="0" pageOrder="downThenOver" orientation="landscape"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disablePrompts="0">
        <x14:dataValidation xr:uid="{004C002F-009E-45DB-B227-008300E90013}" type="textLength" allowBlank="1" error="Допускается ввод не более 900 символов!" errorStyle="stop" errorTitle="Ошибка" imeMode="noControl" operator="lessThanOrEqual" showDropDown="0" showErrorMessage="1" showInputMessage="1">
          <x14:formula1>
            <xm:f>900</xm:f>
          </x14:formula1>
          <xm:sqref>E12:F12</xm:sqref>
        </x14:dataValidation>
        <x14:dataValidation xr:uid="{00B900F5-00F1-4EDD-9744-000500E90087}"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H12</xm:sqref>
        </x14:dataValidation>
      </x14:dataValidations>
    </ext>
  </extLst>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outlinePr applyStyles="0" summaryBelow="1" summaryRight="1" showOutlineSymbols="1"/>
    <pageSetUpPr autoPageBreaks="1" fitToPage="1"/>
  </sheetPr>
  <sheetViews>
    <sheetView showGridLines="0" zoomScale="90" workbookViewId="0">
      <pane xSplit="4" ySplit="11" topLeftCell="E12" activePane="bottomRight" state="frozen"/>
      <selection activeCell="E12" activeCellId="0" sqref="E12"/>
    </sheetView>
  </sheetViews>
  <sheetFormatPr defaultColWidth="9.140625" defaultRowHeight="14.25" customHeight="1"/>
  <cols>
    <col hidden="1" min="1" max="2" style="1130" width="9.140625"/>
    <col customWidth="1" min="3" max="3" style="1131" width="3.00390625"/>
    <col customWidth="1" min="4" max="4" style="1130" width="6.00390625"/>
    <col customWidth="1" min="5" max="5" style="1130" width="94.00390625"/>
    <col customWidth="1" min="6" max="9" style="1130" width="8.00390625"/>
    <col hidden="1" min="10" max="10" style="1130" width="9.140625"/>
  </cols>
  <sheetData>
    <row r="1" ht="14.25" hidden="1" customHeight="1">
      <c r="J1" s="1130" t="s">
        <v>14</v>
      </c>
    </row>
    <row r="2" ht="14.25" hidden="1" customHeight="1">
      <c r="J2" s="1130">
        <v>0</v>
      </c>
    </row>
    <row r="3" ht="14.25" hidden="1" customHeight="1">
      <c r="J3" s="1130">
        <v>0</v>
      </c>
    </row>
    <row r="4" ht="14.25" hidden="1" customHeight="1">
      <c r="J4" s="1130">
        <v>0</v>
      </c>
    </row>
    <row r="5" ht="14.25" hidden="1" customHeight="1">
      <c r="J5" s="1130">
        <v>0</v>
      </c>
    </row>
    <row r="6" ht="3" customHeight="1">
      <c r="C6" s="1132"/>
      <c r="D6" s="344"/>
      <c r="E6" s="344"/>
      <c r="J6" s="1130">
        <v>3</v>
      </c>
    </row>
    <row r="7" ht="23.25" customHeight="1">
      <c r="C7" s="1132"/>
      <c r="D7" s="798" t="s">
        <v>1900</v>
      </c>
      <c r="E7" s="766"/>
      <c r="F7" s="1133"/>
      <c r="J7" s="1130">
        <v>22</v>
      </c>
    </row>
    <row r="8" ht="3" customHeight="1">
      <c r="C8" s="1132"/>
      <c r="D8" s="344"/>
      <c r="E8" s="344"/>
      <c r="J8" s="1130">
        <v>3</v>
      </c>
    </row>
    <row r="9" ht="16.800000000000001" customHeight="1">
      <c r="C9" s="1132"/>
      <c r="D9" s="358" t="s">
        <v>89</v>
      </c>
      <c r="E9" s="157" t="s">
        <v>1901</v>
      </c>
      <c r="J9" s="1130">
        <v>16</v>
      </c>
    </row>
    <row r="10" ht="1.05" customHeight="1">
      <c r="C10" s="1132"/>
      <c r="D10" s="434"/>
      <c r="E10" s="434"/>
      <c r="J10" s="1130">
        <v>1</v>
      </c>
    </row>
    <row r="11" ht="11.25" hidden="1" customHeight="1">
      <c r="C11" s="1132"/>
      <c r="D11" s="1134">
        <v>0</v>
      </c>
      <c r="E11" s="1135"/>
      <c r="J11" s="1130">
        <v>0</v>
      </c>
    </row>
    <row r="12" ht="28.199999999999999" customHeight="1">
      <c r="C12" s="391"/>
      <c r="D12" s="838">
        <v>1</v>
      </c>
      <c r="E12" s="457" t="s">
        <v>1902</v>
      </c>
      <c r="J12" s="1130">
        <v>15</v>
      </c>
    </row>
    <row r="13" ht="12.75" customHeight="1">
      <c r="C13" s="1132"/>
      <c r="D13" s="448"/>
      <c r="E13" s="1136" t="s">
        <v>1903</v>
      </c>
      <c r="J13" s="1130">
        <v>12</v>
      </c>
    </row>
    <row r="14" ht="3" customHeight="1">
      <c r="J14" s="1130">
        <v>3</v>
      </c>
    </row>
    <row r="15" ht="23.25" customHeight="1">
      <c r="C15" s="1137"/>
      <c r="D15" s="1129" t="s">
        <v>1904</v>
      </c>
      <c r="E15" s="1129"/>
      <c r="F15" s="925"/>
      <c r="G15" s="925"/>
      <c r="H15" s="925"/>
      <c r="I15" s="925"/>
      <c r="J15" s="1130">
        <v>22</v>
      </c>
    </row>
    <row r="16" ht="14.25" hidden="1" customHeight="1">
      <c r="A16" s="1130" t="s">
        <v>83</v>
      </c>
      <c r="B16" s="1130">
        <v>0</v>
      </c>
      <c r="C16" s="1131">
        <v>3</v>
      </c>
      <c r="D16" s="1130">
        <v>6</v>
      </c>
      <c r="E16" s="1130">
        <v>94</v>
      </c>
      <c r="F16" s="1130">
        <v>8</v>
      </c>
      <c r="G16" s="1130">
        <v>8</v>
      </c>
      <c r="H16" s="1130">
        <v>8</v>
      </c>
      <c r="I16" s="1130">
        <v>8</v>
      </c>
      <c r="J16" s="1130">
        <v>14</v>
      </c>
    </row>
  </sheetData>
  <sheetProtection autoFilter="0" deleteColumns="1" deleteRows="1" formatCells="1" formatColumns="0" formatRows="0" insertColumns="1" insertHyperlinks="1" insertRows="1" objects="0" pivotTables="1" scenarios="0" selectLockedCells="0" selectUnlockedCells="0" sheet="1" sort="1"/>
  <mergeCells count="2">
    <mergeCell ref="D7:E7"/>
    <mergeCell ref="D15:E15"/>
  </mergeCells>
  <printOptions headings="0" gridLines="0"/>
  <pageMargins left="0.75" right="0.75" top="1" bottom="1" header="0.5" footer="0.5"/>
  <pageSetup paperSize="9" scale="94"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1" disablePrompts="0">
        <x14:dataValidation xr:uid="{003000BF-0065-4DDA-8A94-005A00B00043}" type="textLength" allowBlank="1" error="Допускается ввод не более 900 символов!" errorStyle="stop" errorTitle="Ошибка" imeMode="noControl" operator="lessThanOrEqual" showDropDown="0" showErrorMessage="1" showInputMessage="1">
          <x14:formula1>
            <xm:f>900</xm:f>
          </x14:formula1>
          <xm:sqref>E11:E12</xm:sqref>
        </x14:dataValidation>
      </x14:dataValidations>
    </ext>
  </extLst>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outlinePr applyStyles="0" summaryBelow="1" summaryRight="1" showOutlineSymbols="1"/>
    <pageSetUpPr autoPageBreaks="1" fitToPage="1"/>
  </sheetPr>
  <sheetViews>
    <sheetView showGridLines="0" topLeftCell="C6" zoomScale="90" workbookViewId="0">
      <selection activeCell="A1" activeCellId="0" sqref="A1"/>
    </sheetView>
  </sheetViews>
  <sheetFormatPr defaultColWidth="9.140625" defaultRowHeight="14.25" customHeight="1"/>
  <cols>
    <col hidden="1" min="1" max="2" style="1130" width="9.140625"/>
    <col customWidth="1" min="3" max="3" style="1131" width="3.00390625"/>
    <col customWidth="1" min="4" max="4" style="1130" width="6.00390625"/>
    <col customWidth="1" min="5" max="5" style="1130" width="94.00390625"/>
    <col customWidth="1" min="6" max="12" style="1130" width="8.00390625"/>
    <col hidden="1" min="13" max="13" style="1130" width="9.140625"/>
  </cols>
  <sheetData>
    <row r="1" ht="14.25" hidden="1" customHeight="1">
      <c r="L1" s="1130"/>
      <c r="M1" s="1130" t="s">
        <v>14</v>
      </c>
    </row>
    <row r="2" ht="14.25" hidden="1" customHeight="1">
      <c r="M2" s="1130">
        <v>0</v>
      </c>
    </row>
    <row r="3" ht="14.25" hidden="1" customHeight="1">
      <c r="M3" s="1130">
        <v>0</v>
      </c>
    </row>
    <row r="4" ht="14.25" hidden="1" customHeight="1">
      <c r="M4" s="1130">
        <v>0</v>
      </c>
    </row>
    <row r="5" ht="14.25" hidden="1" customHeight="1">
      <c r="M5" s="1130">
        <v>0</v>
      </c>
    </row>
    <row r="6" ht="3" customHeight="1">
      <c r="C6" s="1132"/>
      <c r="D6" s="344"/>
      <c r="E6" s="344"/>
      <c r="M6" s="1130">
        <v>3</v>
      </c>
    </row>
    <row r="7" ht="23.25" customHeight="1">
      <c r="C7" s="1132"/>
      <c r="D7" s="141" t="s">
        <v>1905</v>
      </c>
      <c r="E7" s="141"/>
      <c r="F7" s="1133"/>
      <c r="M7" s="1130">
        <v>22</v>
      </c>
    </row>
    <row r="8" ht="3" customHeight="1">
      <c r="C8" s="1132"/>
      <c r="D8" s="344"/>
      <c r="E8" s="344"/>
      <c r="M8" s="1130">
        <v>3</v>
      </c>
    </row>
    <row r="9" ht="16.800000000000001" customHeight="1">
      <c r="C9" s="1132"/>
      <c r="D9" s="358" t="s">
        <v>89</v>
      </c>
      <c r="E9" s="246" t="s">
        <v>292</v>
      </c>
      <c r="M9" s="1130">
        <v>16</v>
      </c>
    </row>
    <row r="10" ht="12.75" customHeight="1">
      <c r="C10" s="1132"/>
      <c r="D10" s="434" t="s">
        <v>109</v>
      </c>
      <c r="E10" s="434" t="s">
        <v>110</v>
      </c>
      <c r="M10" s="1130">
        <v>12</v>
      </c>
    </row>
    <row r="11" ht="15" hidden="1" customHeight="1">
      <c r="C11" s="1132"/>
      <c r="D11" s="838">
        <v>0</v>
      </c>
      <c r="E11" s="467"/>
      <c r="M11" s="1130">
        <v>0</v>
      </c>
    </row>
    <row r="12" ht="14.65" customHeight="1">
      <c r="C12" s="1132"/>
      <c r="D12" s="841"/>
      <c r="E12" s="1136" t="s">
        <v>1903</v>
      </c>
      <c r="M12" s="1130">
        <v>14</v>
      </c>
    </row>
    <row r="13" ht="14.25" hidden="1" customHeight="1">
      <c r="A13" s="1130" t="s">
        <v>83</v>
      </c>
      <c r="B13" s="1130">
        <v>0</v>
      </c>
      <c r="C13" s="1131">
        <v>3</v>
      </c>
      <c r="D13" s="1130">
        <v>6</v>
      </c>
      <c r="E13" s="1130">
        <v>94</v>
      </c>
      <c r="F13" s="1130">
        <v>8</v>
      </c>
      <c r="G13" s="1130">
        <v>8</v>
      </c>
      <c r="H13" s="1130">
        <v>8</v>
      </c>
      <c r="I13" s="1130">
        <v>8</v>
      </c>
      <c r="J13" s="1130">
        <v>8</v>
      </c>
      <c r="K13" s="1130">
        <v>8</v>
      </c>
      <c r="L13" s="1130">
        <v>8</v>
      </c>
      <c r="M13" s="1130">
        <v>14</v>
      </c>
    </row>
  </sheetData>
  <sheetProtection autoFilter="0" deleteColumns="1" deleteRows="1" formatCells="1" formatColumns="0" formatRows="0" insertColumns="1" insertHyperlinks="1" insertRows="1" objects="0" pivotTables="1" scenarios="0" selectLockedCells="0" selectUnlockedCells="0" sheet="1" sort="1"/>
  <mergeCells count="1">
    <mergeCell ref="D7:E7"/>
  </mergeCells>
  <printOptions headings="0" gridLines="0"/>
  <pageMargins left="0.75" right="0.75" top="1" bottom="1" header="0.5" footer="0.5"/>
  <pageSetup paperSize="9" scale="94"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1" disablePrompts="0">
        <x14:dataValidation xr:uid="{00520050-00C1-4F3E-9A4F-00F80052004B}" type="textLength" allowBlank="1" error="Допускается ввод не более 900 символов!" errorStyle="stop" errorTitle="Ошибка" imeMode="noControl" operator="lessThanOrEqual" showDropDown="0" showErrorMessage="1" showInputMessage="1">
          <x14:formula1>
            <xm:f>900</xm:f>
          </x14:formula1>
          <xm:sqref>E11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outlinePr applyStyles="0" summaryBelow="1" summaryRight="1" showOutlineSymbols="1"/>
    <pageSetUpPr autoPageBreaks="1" fitToPage="0"/>
  </sheetPr>
  <sheetViews>
    <sheetView showGridLines="0" zoomScale="90" workbookViewId="0">
      <pane xSplit="10" ySplit="10" topLeftCell="K11" activePane="bottomRight" state="frozen"/>
      <selection activeCell="A1" activeCellId="0" sqref="A1"/>
    </sheetView>
  </sheetViews>
  <sheetFormatPr defaultColWidth="9.140625" defaultRowHeight="11.25" customHeight="1"/>
  <cols>
    <col hidden="1" min="1" max="2" style="63" width="9.140625"/>
    <col customWidth="1" min="3" max="4" style="63" width="3.00390625"/>
    <col customWidth="1" min="5" max="6" style="63" width="15.00390625"/>
    <col customWidth="1" min="7" max="7" style="63" width="11.57421875"/>
    <col customWidth="1" min="8" max="9" style="63" width="3.00390625"/>
    <col customWidth="1" min="10" max="10" style="63" width="12.00390625"/>
    <col customWidth="1" min="11" max="11" style="63" width="0.28125"/>
    <col customWidth="1" min="12" max="13" style="63" width="10.00390625"/>
    <col customWidth="1" min="14" max="15" style="63" width="3.00390625"/>
    <col customWidth="1" min="16" max="16" style="63" width="19.00390625"/>
    <col customWidth="1" min="17" max="17" style="63" width="0.28125"/>
    <col customWidth="1" min="18" max="19" style="63" width="10.00390625"/>
    <col customWidth="1" min="20" max="21" style="63" width="3.00390625"/>
    <col customWidth="1" min="22" max="22" style="63" width="25.00390625"/>
    <col customWidth="1" min="23" max="23" style="63" width="0.28125"/>
    <col customWidth="1" min="24" max="25" style="63" width="10.00390625"/>
    <col customWidth="1" min="26" max="27" style="63" width="3.00390625"/>
    <col customWidth="1" min="28" max="28" style="63" width="16.00390625"/>
    <col customWidth="1" min="29" max="29" style="63" width="0.28125"/>
    <col customWidth="1" min="30" max="31" style="63" width="10.00390625"/>
    <col customWidth="1" min="32" max="33" style="63" width="3.00390625"/>
    <col customWidth="1" min="34" max="34" style="63" width="8.00390625"/>
    <col customWidth="1" min="35" max="35" style="63" width="21.00390625"/>
    <col customWidth="1" min="36" max="36" style="63" width="8.00390625"/>
    <col customWidth="1" min="37" max="37" style="307" width="8.00390625"/>
    <col customWidth="1" min="38" max="64" style="63" width="8.00390625"/>
    <col hidden="1" min="65" max="65" style="63" width="9.140625"/>
  </cols>
  <sheetData>
    <row r="1" s="167" customFormat="1" ht="11.25" hidden="1" customHeight="1">
      <c r="AJ1" s="64"/>
      <c r="AK1" s="64"/>
      <c r="AL1" s="64"/>
      <c r="AM1" s="64"/>
      <c r="AN1" s="64"/>
      <c r="AO1" s="64"/>
      <c r="AP1" s="64"/>
      <c r="AQ1" s="64"/>
      <c r="AR1" s="64"/>
      <c r="AS1" s="64"/>
      <c r="AT1" s="64"/>
      <c r="AU1" s="64"/>
      <c r="AV1" s="64"/>
      <c r="AW1" s="64"/>
      <c r="AX1" s="64"/>
      <c r="AY1" s="64"/>
      <c r="AZ1" s="64"/>
      <c r="BA1" s="64"/>
      <c r="BB1" s="64"/>
      <c r="BC1" s="64"/>
      <c r="BD1" s="64"/>
      <c r="BE1" s="64"/>
      <c r="BF1" s="64"/>
      <c r="BG1" s="64"/>
      <c r="BH1" s="64"/>
      <c r="BI1" s="64"/>
      <c r="BJ1" s="64"/>
      <c r="BK1" s="64"/>
      <c r="BL1" s="64"/>
      <c r="BM1" s="167" t="s">
        <v>14</v>
      </c>
    </row>
    <row r="2" s="308" customFormat="1" ht="11.25" hidden="1" customHeight="1">
      <c r="L2" s="308" t="s">
        <v>284</v>
      </c>
      <c r="M2" s="308" t="s">
        <v>285</v>
      </c>
      <c r="R2" s="308" t="s">
        <v>286</v>
      </c>
      <c r="S2" s="308" t="s">
        <v>285</v>
      </c>
      <c r="X2" s="308" t="s">
        <v>284</v>
      </c>
      <c r="Y2" s="308" t="s">
        <v>285</v>
      </c>
      <c r="AD2" s="308" t="s">
        <v>284</v>
      </c>
      <c r="AE2" s="308" t="s">
        <v>285</v>
      </c>
      <c r="AJ2" s="309"/>
      <c r="AK2" s="309"/>
      <c r="AL2" s="309"/>
      <c r="AM2" s="309"/>
      <c r="AN2" s="309"/>
      <c r="AO2" s="309"/>
      <c r="AP2" s="309"/>
      <c r="AQ2" s="309"/>
      <c r="AR2" s="309"/>
      <c r="AS2" s="309"/>
      <c r="AT2" s="309"/>
      <c r="AU2" s="309"/>
      <c r="AV2" s="309"/>
      <c r="AW2" s="309"/>
      <c r="AX2" s="309"/>
      <c r="AY2" s="309"/>
      <c r="AZ2" s="309"/>
      <c r="BA2" s="309"/>
      <c r="BB2" s="309"/>
      <c r="BC2" s="309"/>
      <c r="BD2" s="309"/>
      <c r="BE2" s="309"/>
      <c r="BF2" s="309"/>
      <c r="BG2" s="309"/>
      <c r="BH2" s="309"/>
      <c r="BI2" s="309"/>
      <c r="BJ2" s="309"/>
      <c r="BK2" s="309"/>
      <c r="BL2" s="309"/>
      <c r="BM2" s="308">
        <v>0</v>
      </c>
    </row>
    <row r="3" s="310" customFormat="1" ht="11.5" customHeight="1">
      <c r="AJ3" s="63"/>
      <c r="AK3" s="307"/>
      <c r="AL3" s="63"/>
      <c r="AM3" s="63"/>
      <c r="AN3" s="63"/>
      <c r="AO3" s="63"/>
      <c r="AP3" s="63"/>
      <c r="AQ3" s="63"/>
      <c r="AR3" s="63"/>
      <c r="AS3" s="63"/>
      <c r="AT3" s="63"/>
      <c r="AU3" s="63"/>
      <c r="AV3" s="63"/>
      <c r="AW3" s="63"/>
      <c r="AX3" s="63"/>
      <c r="AY3" s="63"/>
      <c r="AZ3" s="63"/>
      <c r="BA3" s="63"/>
      <c r="BB3" s="63"/>
      <c r="BC3" s="63"/>
      <c r="BD3" s="63"/>
      <c r="BE3" s="63"/>
      <c r="BF3" s="63"/>
      <c r="BG3" s="63"/>
      <c r="BH3" s="63"/>
      <c r="BI3" s="63"/>
      <c r="BJ3" s="63"/>
      <c r="BK3" s="63"/>
      <c r="BL3" s="63"/>
      <c r="BM3" s="310">
        <v>11</v>
      </c>
    </row>
    <row r="4" s="139" customFormat="1" ht="34.5" customHeight="1">
      <c r="A4" s="56"/>
      <c r="B4" s="50"/>
      <c r="C4" s="128"/>
      <c r="D4" s="311" t="s">
        <v>287</v>
      </c>
      <c r="E4" s="311"/>
      <c r="F4" s="311"/>
      <c r="G4" s="311"/>
      <c r="H4" s="311"/>
      <c r="I4" s="311"/>
      <c r="J4" s="311"/>
      <c r="K4" s="312"/>
      <c r="T4" s="313"/>
      <c r="AJ4" s="314"/>
      <c r="AK4" s="315"/>
      <c r="AL4" s="314"/>
      <c r="AM4" s="314"/>
      <c r="AN4" s="314"/>
      <c r="AO4" s="314"/>
      <c r="AP4" s="314"/>
      <c r="AQ4" s="314"/>
      <c r="AR4" s="314"/>
      <c r="AS4" s="314"/>
      <c r="AT4" s="314"/>
      <c r="AU4" s="314"/>
      <c r="AV4" s="314"/>
      <c r="AW4" s="314"/>
      <c r="AX4" s="314"/>
      <c r="AY4" s="314"/>
      <c r="AZ4" s="314"/>
      <c r="BA4" s="314"/>
      <c r="BB4" s="314"/>
      <c r="BC4" s="314"/>
      <c r="BD4" s="314"/>
      <c r="BE4" s="314"/>
      <c r="BF4" s="314"/>
      <c r="BG4" s="314"/>
      <c r="BH4" s="314"/>
      <c r="BI4" s="314"/>
      <c r="BJ4" s="314"/>
      <c r="BK4" s="314"/>
      <c r="BL4" s="314"/>
      <c r="BM4" s="139">
        <v>33</v>
      </c>
    </row>
    <row r="5" s="139" customFormat="1" ht="14.65" customHeight="1">
      <c r="A5" s="56"/>
      <c r="B5" s="50"/>
      <c r="C5" s="128"/>
      <c r="D5" s="316" t="str">
        <f>IF(org=0,"Не определено",org)</f>
        <v xml:space="preserve">АО "ДГК"</v>
      </c>
      <c r="E5" s="316"/>
      <c r="F5" s="316"/>
      <c r="G5" s="316"/>
      <c r="H5" s="316"/>
      <c r="I5" s="316"/>
      <c r="J5" s="316"/>
      <c r="K5" s="312"/>
      <c r="T5" s="313"/>
      <c r="AJ5" s="314"/>
      <c r="AK5" s="315"/>
      <c r="AL5" s="314"/>
      <c r="AM5" s="314"/>
      <c r="AN5" s="314"/>
      <c r="AO5" s="314"/>
      <c r="AP5" s="314"/>
      <c r="AQ5" s="314"/>
      <c r="AR5" s="314"/>
      <c r="AS5" s="314"/>
      <c r="AT5" s="314"/>
      <c r="AU5" s="314"/>
      <c r="AV5" s="314"/>
      <c r="AW5" s="314"/>
      <c r="AX5" s="314"/>
      <c r="AY5" s="314"/>
      <c r="AZ5" s="314"/>
      <c r="BA5" s="314"/>
      <c r="BB5" s="314"/>
      <c r="BC5" s="314"/>
      <c r="BD5" s="314"/>
      <c r="BE5" s="314"/>
      <c r="BF5" s="314"/>
      <c r="BG5" s="314"/>
      <c r="BH5" s="314"/>
      <c r="BI5" s="314"/>
      <c r="BJ5" s="314"/>
      <c r="BK5" s="314"/>
      <c r="BL5" s="314"/>
      <c r="BM5" s="139">
        <v>14</v>
      </c>
    </row>
    <row r="6" s="139" customFormat="1" ht="14.65" customHeight="1">
      <c r="A6" s="56"/>
      <c r="B6" s="50"/>
      <c r="C6" s="128"/>
      <c r="D6" s="312"/>
      <c r="E6" s="312"/>
      <c r="F6" s="312"/>
      <c r="G6" s="312"/>
      <c r="H6" s="312"/>
      <c r="I6" s="312"/>
      <c r="J6" s="312"/>
      <c r="K6" s="312"/>
      <c r="T6" s="313"/>
      <c r="AJ6" s="314"/>
      <c r="AK6" s="315"/>
      <c r="AL6" s="314"/>
      <c r="AM6" s="314"/>
      <c r="AN6" s="314"/>
      <c r="AO6" s="314"/>
      <c r="AP6" s="314"/>
      <c r="AQ6" s="314"/>
      <c r="AR6" s="314"/>
      <c r="AS6" s="314"/>
      <c r="AT6" s="314"/>
      <c r="AU6" s="314"/>
      <c r="AV6" s="314"/>
      <c r="AW6" s="314"/>
      <c r="AX6" s="314"/>
      <c r="AY6" s="314"/>
      <c r="AZ6" s="314"/>
      <c r="BA6" s="314"/>
      <c r="BB6" s="314"/>
      <c r="BC6" s="314"/>
      <c r="BD6" s="314"/>
      <c r="BE6" s="314"/>
      <c r="BF6" s="314"/>
      <c r="BG6" s="314"/>
      <c r="BH6" s="314"/>
      <c r="BI6" s="314"/>
      <c r="BJ6" s="314"/>
      <c r="BK6" s="314"/>
      <c r="BL6" s="314"/>
      <c r="BM6" s="139">
        <v>14</v>
      </c>
    </row>
    <row r="7" s="167" customFormat="1" ht="1.05" customHeight="1">
      <c r="AJ7" s="64"/>
      <c r="AK7" s="64"/>
      <c r="AL7" s="64"/>
      <c r="AM7" s="64"/>
      <c r="AN7" s="64"/>
      <c r="AO7" s="64"/>
      <c r="AP7" s="64"/>
      <c r="AQ7" s="64"/>
      <c r="AR7" s="64"/>
      <c r="AS7" s="64"/>
      <c r="AT7" s="64"/>
      <c r="AU7" s="64"/>
      <c r="AV7" s="64"/>
      <c r="AW7" s="64"/>
      <c r="AX7" s="64"/>
      <c r="AY7" s="64"/>
      <c r="AZ7" s="64"/>
      <c r="BA7" s="64"/>
      <c r="BB7" s="64"/>
      <c r="BC7" s="64"/>
      <c r="BD7" s="64"/>
      <c r="BE7" s="64"/>
      <c r="BF7" s="64"/>
      <c r="BG7" s="64"/>
      <c r="BH7" s="64"/>
      <c r="BI7" s="64"/>
      <c r="BJ7" s="64"/>
      <c r="BK7" s="64"/>
      <c r="BL7" s="64"/>
      <c r="BM7" s="167">
        <v>1</v>
      </c>
    </row>
    <row r="8" ht="33.75" customHeight="1">
      <c r="D8" s="157" t="s">
        <v>89</v>
      </c>
      <c r="E8" s="157" t="s">
        <v>105</v>
      </c>
      <c r="F8" s="317" t="s">
        <v>122</v>
      </c>
      <c r="G8" s="318"/>
      <c r="H8" s="317" t="s">
        <v>89</v>
      </c>
      <c r="I8" s="318"/>
      <c r="J8" s="157" t="s">
        <v>123</v>
      </c>
      <c r="K8" s="319"/>
      <c r="L8" s="320" t="s">
        <v>288</v>
      </c>
      <c r="M8" s="320"/>
      <c r="N8" s="320"/>
      <c r="O8" s="320"/>
      <c r="P8" s="320"/>
      <c r="Q8" s="317"/>
      <c r="R8" s="73" t="s">
        <v>289</v>
      </c>
      <c r="S8" s="145"/>
      <c r="T8" s="145"/>
      <c r="U8" s="145"/>
      <c r="V8" s="145"/>
      <c r="W8" s="317"/>
      <c r="X8" s="157" t="s">
        <v>290</v>
      </c>
      <c r="Y8" s="157"/>
      <c r="Z8" s="157"/>
      <c r="AA8" s="157"/>
      <c r="AB8" s="157"/>
      <c r="AC8" s="320"/>
      <c r="AD8" s="157" t="s">
        <v>291</v>
      </c>
      <c r="AE8" s="157"/>
      <c r="AF8" s="157"/>
      <c r="AG8" s="157"/>
      <c r="AH8" s="73"/>
      <c r="AI8" s="157" t="s">
        <v>292</v>
      </c>
      <c r="AJ8" s="63"/>
      <c r="BM8" s="63">
        <v>32</v>
      </c>
    </row>
    <row r="9" ht="23.25" customHeight="1">
      <c r="D9" s="157"/>
      <c r="E9" s="157"/>
      <c r="F9" s="320" t="s">
        <v>90</v>
      </c>
      <c r="G9" s="320" t="s">
        <v>128</v>
      </c>
      <c r="H9" s="321"/>
      <c r="I9" s="322"/>
      <c r="J9" s="73"/>
      <c r="K9" s="321"/>
      <c r="L9" s="157" t="s">
        <v>293</v>
      </c>
      <c r="M9" s="73"/>
      <c r="N9" s="317" t="s">
        <v>89</v>
      </c>
      <c r="O9" s="318"/>
      <c r="P9" s="157" t="s">
        <v>129</v>
      </c>
      <c r="Q9" s="319"/>
      <c r="R9" s="157" t="s">
        <v>293</v>
      </c>
      <c r="S9" s="73"/>
      <c r="T9" s="317" t="s">
        <v>89</v>
      </c>
      <c r="U9" s="318"/>
      <c r="V9" s="157" t="s">
        <v>129</v>
      </c>
      <c r="W9" s="319"/>
      <c r="X9" s="157" t="s">
        <v>293</v>
      </c>
      <c r="Y9" s="73"/>
      <c r="Z9" s="317" t="s">
        <v>89</v>
      </c>
      <c r="AA9" s="318"/>
      <c r="AB9" s="157" t="s">
        <v>294</v>
      </c>
      <c r="AC9" s="319"/>
      <c r="AD9" s="157" t="s">
        <v>293</v>
      </c>
      <c r="AE9" s="73"/>
      <c r="AF9" s="317" t="s">
        <v>89</v>
      </c>
      <c r="AG9" s="318"/>
      <c r="AH9" s="73" t="s">
        <v>294</v>
      </c>
      <c r="AI9" s="157"/>
      <c r="AJ9" s="63"/>
      <c r="BM9" s="63">
        <v>22</v>
      </c>
    </row>
    <row r="10" ht="24" customHeight="1">
      <c r="D10" s="320"/>
      <c r="E10" s="320"/>
      <c r="F10" s="319"/>
      <c r="G10" s="319"/>
      <c r="H10" s="323"/>
      <c r="I10" s="324"/>
      <c r="J10" s="317"/>
      <c r="K10" s="321"/>
      <c r="L10" s="320" t="s">
        <v>295</v>
      </c>
      <c r="M10" s="317" t="s">
        <v>296</v>
      </c>
      <c r="N10" s="321"/>
      <c r="O10" s="322"/>
      <c r="P10" s="320"/>
      <c r="Q10" s="319"/>
      <c r="R10" s="320" t="s">
        <v>295</v>
      </c>
      <c r="S10" s="317" t="s">
        <v>296</v>
      </c>
      <c r="T10" s="321"/>
      <c r="U10" s="322"/>
      <c r="V10" s="320"/>
      <c r="W10" s="319"/>
      <c r="X10" s="320" t="s">
        <v>295</v>
      </c>
      <c r="Y10" s="317" t="s">
        <v>296</v>
      </c>
      <c r="Z10" s="321"/>
      <c r="AA10" s="322"/>
      <c r="AB10" s="320"/>
      <c r="AC10" s="319"/>
      <c r="AD10" s="320" t="s">
        <v>295</v>
      </c>
      <c r="AE10" s="317" t="s">
        <v>296</v>
      </c>
      <c r="AF10" s="321"/>
      <c r="AG10" s="322"/>
      <c r="AH10" s="317"/>
      <c r="AI10" s="320"/>
      <c r="AJ10" s="63"/>
      <c r="AK10" s="143" t="s">
        <v>297</v>
      </c>
      <c r="AL10" s="143" t="s">
        <v>130</v>
      </c>
      <c r="BM10" s="63">
        <v>23</v>
      </c>
    </row>
    <row r="11" ht="15" customHeight="1">
      <c r="D11" s="325" t="s">
        <v>109</v>
      </c>
      <c r="E11" s="326" t="s">
        <v>298</v>
      </c>
      <c r="F11" s="326" t="s">
        <v>299</v>
      </c>
      <c r="G11" s="292" t="s">
        <v>19</v>
      </c>
      <c r="H11" s="327"/>
      <c r="I11" s="328"/>
      <c r="J11" s="259"/>
      <c r="K11" s="259"/>
      <c r="L11" s="260"/>
      <c r="M11" s="260"/>
      <c r="N11" s="329"/>
      <c r="O11" s="260"/>
      <c r="P11" s="259"/>
      <c r="Q11" s="259"/>
      <c r="R11" s="260"/>
      <c r="S11" s="260"/>
      <c r="T11" s="330"/>
      <c r="U11" s="260"/>
      <c r="V11" s="259"/>
      <c r="W11" s="260"/>
      <c r="X11" s="260"/>
      <c r="Y11" s="260"/>
      <c r="Z11" s="329"/>
      <c r="AA11" s="260"/>
      <c r="AB11" s="259"/>
      <c r="AC11" s="331"/>
      <c r="AD11" s="260"/>
      <c r="AE11" s="260"/>
      <c r="AF11" s="260"/>
      <c r="AG11" s="260"/>
      <c r="AH11" s="329"/>
      <c r="AI11" s="263"/>
      <c r="AJ11" s="63"/>
      <c r="BM11" s="63">
        <v>14</v>
      </c>
    </row>
    <row r="12" ht="14.65" customHeight="1">
      <c r="D12" s="325"/>
      <c r="E12" s="326"/>
      <c r="F12" s="326"/>
      <c r="G12" s="296"/>
      <c r="H12" s="332"/>
      <c r="I12" s="333"/>
      <c r="J12" s="268"/>
      <c r="K12" s="86"/>
      <c r="L12" s="125"/>
      <c r="M12" s="125"/>
      <c r="N12" s="60"/>
      <c r="O12" s="125"/>
      <c r="P12" s="268"/>
      <c r="Q12" s="268"/>
      <c r="R12" s="125"/>
      <c r="S12" s="125"/>
      <c r="T12" s="334"/>
      <c r="U12" s="125"/>
      <c r="V12" s="268"/>
      <c r="W12" s="125"/>
      <c r="X12" s="125"/>
      <c r="Y12" s="125"/>
      <c r="Z12" s="60"/>
      <c r="AA12" s="125"/>
      <c r="AB12" s="268"/>
      <c r="AC12" s="86"/>
      <c r="AD12" s="125"/>
      <c r="AE12" s="125"/>
      <c r="AF12" s="271"/>
      <c r="AG12" s="271"/>
      <c r="AH12" s="271"/>
      <c r="AI12" s="272"/>
      <c r="AJ12" s="63"/>
      <c r="BM12" s="63">
        <v>14</v>
      </c>
    </row>
    <row r="13" ht="14.65" customHeight="1">
      <c r="D13" s="325"/>
      <c r="E13" s="326"/>
      <c r="F13" s="326"/>
      <c r="G13" s="296"/>
      <c r="H13" s="332"/>
      <c r="I13" s="333"/>
      <c r="J13" s="268"/>
      <c r="K13" s="86"/>
      <c r="L13" s="125"/>
      <c r="M13" s="125"/>
      <c r="N13" s="60"/>
      <c r="O13" s="125"/>
      <c r="P13" s="268"/>
      <c r="Q13" s="268"/>
      <c r="R13" s="125"/>
      <c r="S13" s="125"/>
      <c r="T13" s="334"/>
      <c r="U13" s="125"/>
      <c r="V13" s="268"/>
      <c r="W13" s="125"/>
      <c r="X13" s="125"/>
      <c r="Y13" s="125"/>
      <c r="Z13" s="125"/>
      <c r="AA13" s="271"/>
      <c r="AB13" s="271"/>
      <c r="AC13" s="271"/>
      <c r="AD13" s="271"/>
      <c r="AE13" s="271"/>
      <c r="AF13" s="271"/>
      <c r="AG13" s="271"/>
      <c r="AH13" s="271"/>
      <c r="AI13" s="272"/>
      <c r="AJ13" s="63"/>
      <c r="BM13" s="63">
        <v>14</v>
      </c>
    </row>
    <row r="14" ht="14.65" customHeight="1">
      <c r="D14" s="325"/>
      <c r="E14" s="326"/>
      <c r="F14" s="326"/>
      <c r="G14" s="296"/>
      <c r="H14" s="332"/>
      <c r="I14" s="333"/>
      <c r="J14" s="268"/>
      <c r="K14" s="86"/>
      <c r="L14" s="125"/>
      <c r="M14" s="125"/>
      <c r="N14" s="60"/>
      <c r="O14" s="125"/>
      <c r="P14" s="268"/>
      <c r="Q14" s="268"/>
      <c r="R14" s="125"/>
      <c r="S14" s="125"/>
      <c r="T14" s="335"/>
      <c r="U14" s="336"/>
      <c r="V14" s="271"/>
      <c r="W14" s="271"/>
      <c r="X14" s="271"/>
      <c r="Y14" s="271"/>
      <c r="Z14" s="271"/>
      <c r="AA14" s="271"/>
      <c r="AB14" s="271"/>
      <c r="AC14" s="271"/>
      <c r="AD14" s="271"/>
      <c r="AE14" s="271"/>
      <c r="AF14" s="271"/>
      <c r="AG14" s="271"/>
      <c r="AH14" s="271"/>
      <c r="AI14" s="272"/>
      <c r="AJ14" s="63"/>
      <c r="BM14" s="63">
        <v>14</v>
      </c>
    </row>
    <row r="15" ht="11.5" customHeight="1">
      <c r="D15" s="325"/>
      <c r="E15" s="326"/>
      <c r="F15" s="326"/>
      <c r="G15" s="296"/>
      <c r="H15" s="337"/>
      <c r="I15" s="333"/>
      <c r="J15" s="268"/>
      <c r="K15" s="86"/>
      <c r="L15" s="125"/>
      <c r="M15" s="125"/>
      <c r="N15" s="271"/>
      <c r="O15" s="271"/>
      <c r="P15" s="271"/>
      <c r="Q15" s="271"/>
      <c r="R15" s="271"/>
      <c r="S15" s="271"/>
      <c r="T15" s="271"/>
      <c r="U15" s="271"/>
      <c r="V15" s="271"/>
      <c r="W15" s="271"/>
      <c r="X15" s="271"/>
      <c r="Y15" s="271"/>
      <c r="Z15" s="271"/>
      <c r="AA15" s="271"/>
      <c r="AB15" s="271"/>
      <c r="AC15" s="271"/>
      <c r="AD15" s="271"/>
      <c r="AE15" s="271"/>
      <c r="AF15" s="271"/>
      <c r="AG15" s="271"/>
      <c r="AH15" s="271"/>
      <c r="AI15" s="272"/>
      <c r="AJ15" s="63"/>
      <c r="BM15" s="63">
        <v>11</v>
      </c>
    </row>
    <row r="16" s="310" customFormat="1" ht="11.5" customHeight="1">
      <c r="D16" s="338"/>
      <c r="E16" s="339"/>
      <c r="F16" s="340"/>
      <c r="G16" s="220"/>
      <c r="H16" s="341"/>
      <c r="I16" s="342"/>
      <c r="J16" s="278"/>
      <c r="K16" s="278"/>
      <c r="L16" s="278"/>
      <c r="M16" s="278"/>
      <c r="N16" s="278"/>
      <c r="O16" s="278"/>
      <c r="P16" s="278"/>
      <c r="Q16" s="278"/>
      <c r="R16" s="278"/>
      <c r="S16" s="278"/>
      <c r="T16" s="278"/>
      <c r="U16" s="278"/>
      <c r="V16" s="278"/>
      <c r="W16" s="278"/>
      <c r="X16" s="278"/>
      <c r="Y16" s="278"/>
      <c r="Z16" s="278"/>
      <c r="AA16" s="278"/>
      <c r="AB16" s="278"/>
      <c r="AC16" s="278"/>
      <c r="AD16" s="278"/>
      <c r="AE16" s="278"/>
      <c r="AF16" s="278"/>
      <c r="AG16" s="278"/>
      <c r="AH16" s="278"/>
      <c r="AI16" s="280"/>
      <c r="AJ16" s="63"/>
      <c r="AK16" s="307"/>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310">
        <v>11</v>
      </c>
    </row>
    <row r="17" ht="15" customHeight="1">
      <c r="D17" s="325" t="s">
        <v>110</v>
      </c>
      <c r="E17" s="326" t="s">
        <v>298</v>
      </c>
      <c r="F17" s="326" t="s">
        <v>300</v>
      </c>
      <c r="G17" s="292" t="s">
        <v>19</v>
      </c>
      <c r="H17" s="327"/>
      <c r="I17" s="328"/>
      <c r="J17" s="259"/>
      <c r="K17" s="259"/>
      <c r="L17" s="260"/>
      <c r="M17" s="260"/>
      <c r="N17" s="329"/>
      <c r="O17" s="260"/>
      <c r="P17" s="259"/>
      <c r="Q17" s="259"/>
      <c r="R17" s="260"/>
      <c r="S17" s="260"/>
      <c r="T17" s="330"/>
      <c r="U17" s="260"/>
      <c r="V17" s="259"/>
      <c r="W17" s="260"/>
      <c r="X17" s="260"/>
      <c r="Y17" s="260"/>
      <c r="Z17" s="329"/>
      <c r="AA17" s="260"/>
      <c r="AB17" s="259"/>
      <c r="AC17" s="331"/>
      <c r="AD17" s="260"/>
      <c r="AE17" s="260"/>
      <c r="AF17" s="260"/>
      <c r="AG17" s="260"/>
      <c r="AH17" s="329"/>
      <c r="AI17" s="263"/>
      <c r="AJ17" s="63"/>
      <c r="BM17" s="63">
        <v>14</v>
      </c>
    </row>
    <row r="18" ht="14.65" customHeight="1">
      <c r="D18" s="325"/>
      <c r="E18" s="326"/>
      <c r="F18" s="326"/>
      <c r="G18" s="296"/>
      <c r="H18" s="332"/>
      <c r="I18" s="333"/>
      <c r="J18" s="268"/>
      <c r="K18" s="86"/>
      <c r="L18" s="125"/>
      <c r="M18" s="125"/>
      <c r="N18" s="60"/>
      <c r="O18" s="125"/>
      <c r="P18" s="268"/>
      <c r="Q18" s="268"/>
      <c r="R18" s="125"/>
      <c r="S18" s="125"/>
      <c r="T18" s="334"/>
      <c r="U18" s="125"/>
      <c r="V18" s="268"/>
      <c r="W18" s="125"/>
      <c r="X18" s="125"/>
      <c r="Y18" s="125"/>
      <c r="Z18" s="60"/>
      <c r="AA18" s="125"/>
      <c r="AB18" s="268"/>
      <c r="AC18" s="86"/>
      <c r="AD18" s="125"/>
      <c r="AE18" s="125"/>
      <c r="AF18" s="271"/>
      <c r="AG18" s="271"/>
      <c r="AH18" s="271"/>
      <c r="AI18" s="272"/>
      <c r="AJ18" s="63"/>
      <c r="BM18" s="63">
        <v>14</v>
      </c>
    </row>
    <row r="19" ht="14.65" customHeight="1">
      <c r="D19" s="325"/>
      <c r="E19" s="326"/>
      <c r="F19" s="326"/>
      <c r="G19" s="296"/>
      <c r="H19" s="332"/>
      <c r="I19" s="333"/>
      <c r="J19" s="268"/>
      <c r="K19" s="86"/>
      <c r="L19" s="125"/>
      <c r="M19" s="125"/>
      <c r="N19" s="60"/>
      <c r="O19" s="125"/>
      <c r="P19" s="268"/>
      <c r="Q19" s="268"/>
      <c r="R19" s="125"/>
      <c r="S19" s="125"/>
      <c r="T19" s="334"/>
      <c r="U19" s="125"/>
      <c r="V19" s="268"/>
      <c r="W19" s="125"/>
      <c r="X19" s="125"/>
      <c r="Y19" s="125"/>
      <c r="Z19" s="125"/>
      <c r="AA19" s="271"/>
      <c r="AB19" s="271"/>
      <c r="AC19" s="271"/>
      <c r="AD19" s="271"/>
      <c r="AE19" s="271"/>
      <c r="AF19" s="271"/>
      <c r="AG19" s="271"/>
      <c r="AH19" s="271"/>
      <c r="AI19" s="272"/>
      <c r="AJ19" s="63"/>
      <c r="BM19" s="63">
        <v>14</v>
      </c>
    </row>
    <row r="20" ht="14.65" customHeight="1">
      <c r="D20" s="325"/>
      <c r="E20" s="326"/>
      <c r="F20" s="326"/>
      <c r="G20" s="296"/>
      <c r="H20" s="332"/>
      <c r="I20" s="333"/>
      <c r="J20" s="268"/>
      <c r="K20" s="86"/>
      <c r="L20" s="125"/>
      <c r="M20" s="125"/>
      <c r="N20" s="60"/>
      <c r="O20" s="125"/>
      <c r="P20" s="268"/>
      <c r="Q20" s="268"/>
      <c r="R20" s="125"/>
      <c r="S20" s="125"/>
      <c r="T20" s="335"/>
      <c r="U20" s="336"/>
      <c r="V20" s="271"/>
      <c r="W20" s="271"/>
      <c r="X20" s="271"/>
      <c r="Y20" s="271"/>
      <c r="Z20" s="271"/>
      <c r="AA20" s="271"/>
      <c r="AB20" s="271"/>
      <c r="AC20" s="271"/>
      <c r="AD20" s="271"/>
      <c r="AE20" s="271"/>
      <c r="AF20" s="271"/>
      <c r="AG20" s="271"/>
      <c r="AH20" s="271"/>
      <c r="AI20" s="272"/>
      <c r="AJ20" s="63"/>
      <c r="BM20" s="63">
        <v>14</v>
      </c>
    </row>
    <row r="21" ht="11.5" customHeight="1">
      <c r="D21" s="325"/>
      <c r="E21" s="326"/>
      <c r="F21" s="326"/>
      <c r="G21" s="296"/>
      <c r="H21" s="337"/>
      <c r="I21" s="333"/>
      <c r="J21" s="268"/>
      <c r="K21" s="86"/>
      <c r="L21" s="125"/>
      <c r="M21" s="125"/>
      <c r="N21" s="271"/>
      <c r="O21" s="271"/>
      <c r="P21" s="271"/>
      <c r="Q21" s="271"/>
      <c r="R21" s="271"/>
      <c r="S21" s="271"/>
      <c r="T21" s="271"/>
      <c r="U21" s="271"/>
      <c r="V21" s="271"/>
      <c r="W21" s="271"/>
      <c r="X21" s="271"/>
      <c r="Y21" s="271"/>
      <c r="Z21" s="271"/>
      <c r="AA21" s="271"/>
      <c r="AB21" s="271"/>
      <c r="AC21" s="271"/>
      <c r="AD21" s="271"/>
      <c r="AE21" s="271"/>
      <c r="AF21" s="271"/>
      <c r="AG21" s="271"/>
      <c r="AH21" s="271"/>
      <c r="AI21" s="272"/>
      <c r="AJ21" s="63"/>
      <c r="BM21" s="63">
        <v>11</v>
      </c>
    </row>
    <row r="22" s="310" customFormat="1" ht="11.5" customHeight="1">
      <c r="D22" s="338"/>
      <c r="E22" s="339"/>
      <c r="F22" s="340"/>
      <c r="G22" s="220"/>
      <c r="H22" s="341"/>
      <c r="I22" s="342"/>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80"/>
      <c r="AJ22" s="63"/>
      <c r="AK22" s="307"/>
      <c r="AL22" s="63"/>
      <c r="AM22" s="63"/>
      <c r="AN22" s="63"/>
      <c r="AO22" s="63"/>
      <c r="AP22" s="63"/>
      <c r="AQ22" s="63"/>
      <c r="AR22" s="63"/>
      <c r="AS22" s="63"/>
      <c r="AT22" s="63"/>
      <c r="AU22" s="63"/>
      <c r="AV22" s="63"/>
      <c r="AW22" s="63"/>
      <c r="AX22" s="63"/>
      <c r="AY22" s="63"/>
      <c r="AZ22" s="63"/>
      <c r="BA22" s="63"/>
      <c r="BB22" s="63"/>
      <c r="BC22" s="63"/>
      <c r="BD22" s="63"/>
      <c r="BE22" s="63"/>
      <c r="BF22" s="63"/>
      <c r="BG22" s="63"/>
      <c r="BH22" s="63"/>
      <c r="BI22" s="63"/>
      <c r="BJ22" s="63"/>
      <c r="BK22" s="63"/>
      <c r="BL22" s="63"/>
      <c r="BM22" s="310">
        <v>11</v>
      </c>
    </row>
    <row r="23" ht="15" customHeight="1">
      <c r="D23" s="325" t="s">
        <v>91</v>
      </c>
      <c r="E23" s="326" t="s">
        <v>298</v>
      </c>
      <c r="F23" s="326" t="s">
        <v>301</v>
      </c>
      <c r="G23" s="292" t="s">
        <v>19</v>
      </c>
      <c r="H23" s="327"/>
      <c r="I23" s="328"/>
      <c r="J23" s="259"/>
      <c r="K23" s="259"/>
      <c r="L23" s="260"/>
      <c r="M23" s="260"/>
      <c r="N23" s="329"/>
      <c r="O23" s="260"/>
      <c r="P23" s="259"/>
      <c r="Q23" s="259"/>
      <c r="R23" s="260"/>
      <c r="S23" s="260"/>
      <c r="T23" s="330"/>
      <c r="U23" s="260"/>
      <c r="V23" s="259"/>
      <c r="W23" s="260"/>
      <c r="X23" s="260"/>
      <c r="Y23" s="260"/>
      <c r="Z23" s="329"/>
      <c r="AA23" s="260"/>
      <c r="AB23" s="259"/>
      <c r="AC23" s="331"/>
      <c r="AD23" s="260"/>
      <c r="AE23" s="260"/>
      <c r="AF23" s="260"/>
      <c r="AG23" s="260"/>
      <c r="AH23" s="329"/>
      <c r="AI23" s="263"/>
      <c r="AJ23" s="63"/>
      <c r="AK23" s="307" t="s">
        <v>99</v>
      </c>
      <c r="BM23" s="63">
        <v>14</v>
      </c>
    </row>
    <row r="24" ht="14.65" customHeight="1">
      <c r="D24" s="325"/>
      <c r="E24" s="326"/>
      <c r="F24" s="326"/>
      <c r="G24" s="296"/>
      <c r="H24" s="332"/>
      <c r="I24" s="333"/>
      <c r="J24" s="268"/>
      <c r="K24" s="86"/>
      <c r="L24" s="125"/>
      <c r="M24" s="125"/>
      <c r="N24" s="60"/>
      <c r="O24" s="125"/>
      <c r="P24" s="268"/>
      <c r="Q24" s="268"/>
      <c r="R24" s="125"/>
      <c r="S24" s="125"/>
      <c r="T24" s="334"/>
      <c r="U24" s="125"/>
      <c r="V24" s="268"/>
      <c r="W24" s="125"/>
      <c r="X24" s="125"/>
      <c r="Y24" s="125"/>
      <c r="Z24" s="60"/>
      <c r="AA24" s="125"/>
      <c r="AB24" s="268"/>
      <c r="AC24" s="86"/>
      <c r="AD24" s="125"/>
      <c r="AE24" s="125"/>
      <c r="AF24" s="271"/>
      <c r="AG24" s="271"/>
      <c r="AH24" s="271"/>
      <c r="AI24" s="272"/>
      <c r="AJ24" s="63"/>
      <c r="BM24" s="63">
        <v>14</v>
      </c>
    </row>
    <row r="25" ht="14.65" customHeight="1">
      <c r="D25" s="325"/>
      <c r="E25" s="326"/>
      <c r="F25" s="326"/>
      <c r="G25" s="296"/>
      <c r="H25" s="332"/>
      <c r="I25" s="333"/>
      <c r="J25" s="268"/>
      <c r="K25" s="86"/>
      <c r="L25" s="125"/>
      <c r="M25" s="125"/>
      <c r="N25" s="60"/>
      <c r="O25" s="125"/>
      <c r="P25" s="268"/>
      <c r="Q25" s="268"/>
      <c r="R25" s="125"/>
      <c r="S25" s="125"/>
      <c r="T25" s="334"/>
      <c r="U25" s="125"/>
      <c r="V25" s="268"/>
      <c r="W25" s="125"/>
      <c r="X25" s="125"/>
      <c r="Y25" s="125"/>
      <c r="Z25" s="125"/>
      <c r="AA25" s="271"/>
      <c r="AB25" s="271"/>
      <c r="AC25" s="271"/>
      <c r="AD25" s="271"/>
      <c r="AE25" s="271"/>
      <c r="AF25" s="271"/>
      <c r="AG25" s="271"/>
      <c r="AH25" s="271"/>
      <c r="AI25" s="272"/>
      <c r="AJ25" s="63"/>
      <c r="BM25" s="63">
        <v>14</v>
      </c>
    </row>
    <row r="26" ht="14.65" customHeight="1">
      <c r="D26" s="325"/>
      <c r="E26" s="326"/>
      <c r="F26" s="326"/>
      <c r="G26" s="296"/>
      <c r="H26" s="332"/>
      <c r="I26" s="333"/>
      <c r="J26" s="268"/>
      <c r="K26" s="86"/>
      <c r="L26" s="125"/>
      <c r="M26" s="125"/>
      <c r="N26" s="60"/>
      <c r="O26" s="125"/>
      <c r="P26" s="268"/>
      <c r="Q26" s="268"/>
      <c r="R26" s="125"/>
      <c r="S26" s="125"/>
      <c r="T26" s="335"/>
      <c r="U26" s="336"/>
      <c r="V26" s="271"/>
      <c r="W26" s="271"/>
      <c r="X26" s="271"/>
      <c r="Y26" s="271"/>
      <c r="Z26" s="271"/>
      <c r="AA26" s="271"/>
      <c r="AB26" s="271"/>
      <c r="AC26" s="271"/>
      <c r="AD26" s="271"/>
      <c r="AE26" s="271"/>
      <c r="AF26" s="271"/>
      <c r="AG26" s="271"/>
      <c r="AH26" s="271"/>
      <c r="AI26" s="272"/>
      <c r="AJ26" s="63"/>
      <c r="BM26" s="63">
        <v>14</v>
      </c>
    </row>
    <row r="27" ht="11.5" customHeight="1">
      <c r="D27" s="325"/>
      <c r="E27" s="326"/>
      <c r="F27" s="326"/>
      <c r="G27" s="296"/>
      <c r="H27" s="337"/>
      <c r="I27" s="333"/>
      <c r="J27" s="268"/>
      <c r="K27" s="86"/>
      <c r="L27" s="125"/>
      <c r="M27" s="125"/>
      <c r="N27" s="271"/>
      <c r="O27" s="271"/>
      <c r="P27" s="271"/>
      <c r="Q27" s="271"/>
      <c r="R27" s="271"/>
      <c r="S27" s="271"/>
      <c r="T27" s="271"/>
      <c r="U27" s="271"/>
      <c r="V27" s="271"/>
      <c r="W27" s="271"/>
      <c r="X27" s="271"/>
      <c r="Y27" s="271"/>
      <c r="Z27" s="271"/>
      <c r="AA27" s="271"/>
      <c r="AB27" s="271"/>
      <c r="AC27" s="271"/>
      <c r="AD27" s="271"/>
      <c r="AE27" s="271"/>
      <c r="AF27" s="271"/>
      <c r="AG27" s="271"/>
      <c r="AH27" s="271"/>
      <c r="AI27" s="272"/>
      <c r="AJ27" s="63"/>
      <c r="BM27" s="63">
        <v>11</v>
      </c>
    </row>
    <row r="28" s="310" customFormat="1" ht="11.5" customHeight="1">
      <c r="D28" s="338"/>
      <c r="E28" s="339"/>
      <c r="F28" s="340"/>
      <c r="G28" s="220"/>
      <c r="H28" s="341"/>
      <c r="I28" s="342"/>
      <c r="J28" s="278"/>
      <c r="K28" s="278"/>
      <c r="L28" s="278"/>
      <c r="M28" s="278"/>
      <c r="N28" s="278"/>
      <c r="O28" s="278"/>
      <c r="P28" s="278"/>
      <c r="Q28" s="278"/>
      <c r="R28" s="278"/>
      <c r="S28" s="278"/>
      <c r="T28" s="278"/>
      <c r="U28" s="278"/>
      <c r="V28" s="278"/>
      <c r="W28" s="278"/>
      <c r="X28" s="278"/>
      <c r="Y28" s="278"/>
      <c r="Z28" s="278"/>
      <c r="AA28" s="278"/>
      <c r="AB28" s="278"/>
      <c r="AC28" s="278"/>
      <c r="AD28" s="278"/>
      <c r="AE28" s="278"/>
      <c r="AF28" s="278"/>
      <c r="AG28" s="278"/>
      <c r="AH28" s="278"/>
      <c r="AI28" s="280"/>
      <c r="AJ28" s="63"/>
      <c r="AK28" s="307"/>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310">
        <v>11</v>
      </c>
    </row>
    <row r="29" ht="15" customHeight="1">
      <c r="D29" s="325" t="s">
        <v>92</v>
      </c>
      <c r="E29" s="326" t="s">
        <v>298</v>
      </c>
      <c r="F29" s="326" t="s">
        <v>302</v>
      </c>
      <c r="G29" s="292" t="s">
        <v>19</v>
      </c>
      <c r="H29" s="327"/>
      <c r="I29" s="328"/>
      <c r="J29" s="259"/>
      <c r="K29" s="259"/>
      <c r="L29" s="260"/>
      <c r="M29" s="260"/>
      <c r="N29" s="329"/>
      <c r="O29" s="260"/>
      <c r="P29" s="259"/>
      <c r="Q29" s="259"/>
      <c r="R29" s="260"/>
      <c r="S29" s="260"/>
      <c r="T29" s="330"/>
      <c r="U29" s="260"/>
      <c r="V29" s="259"/>
      <c r="W29" s="260"/>
      <c r="X29" s="260"/>
      <c r="Y29" s="260"/>
      <c r="Z29" s="329"/>
      <c r="AA29" s="260"/>
      <c r="AB29" s="259"/>
      <c r="AC29" s="331"/>
      <c r="AD29" s="260"/>
      <c r="AE29" s="260"/>
      <c r="AF29" s="260"/>
      <c r="AG29" s="260"/>
      <c r="AH29" s="329"/>
      <c r="AI29" s="263"/>
      <c r="AJ29" s="63"/>
      <c r="BM29" s="63">
        <v>14</v>
      </c>
    </row>
    <row r="30" ht="14.65" customHeight="1">
      <c r="D30" s="325"/>
      <c r="E30" s="326"/>
      <c r="F30" s="326"/>
      <c r="G30" s="296"/>
      <c r="H30" s="332"/>
      <c r="I30" s="333"/>
      <c r="J30" s="268"/>
      <c r="K30" s="86"/>
      <c r="L30" s="125"/>
      <c r="M30" s="125"/>
      <c r="N30" s="60"/>
      <c r="O30" s="125"/>
      <c r="P30" s="268"/>
      <c r="Q30" s="268"/>
      <c r="R30" s="125"/>
      <c r="S30" s="125"/>
      <c r="T30" s="334"/>
      <c r="U30" s="125"/>
      <c r="V30" s="268"/>
      <c r="W30" s="125"/>
      <c r="X30" s="125"/>
      <c r="Y30" s="125"/>
      <c r="Z30" s="60"/>
      <c r="AA30" s="125"/>
      <c r="AB30" s="268"/>
      <c r="AC30" s="86"/>
      <c r="AD30" s="125"/>
      <c r="AE30" s="125"/>
      <c r="AF30" s="271"/>
      <c r="AG30" s="271"/>
      <c r="AH30" s="271"/>
      <c r="AI30" s="272"/>
      <c r="AJ30" s="63"/>
      <c r="BM30" s="63">
        <v>14</v>
      </c>
    </row>
    <row r="31" ht="14.65" customHeight="1">
      <c r="D31" s="325"/>
      <c r="E31" s="326"/>
      <c r="F31" s="326"/>
      <c r="G31" s="296"/>
      <c r="H31" s="332"/>
      <c r="I31" s="333"/>
      <c r="J31" s="268"/>
      <c r="K31" s="86"/>
      <c r="L31" s="125"/>
      <c r="M31" s="125"/>
      <c r="N31" s="60"/>
      <c r="O31" s="125"/>
      <c r="P31" s="268"/>
      <c r="Q31" s="268"/>
      <c r="R31" s="125"/>
      <c r="S31" s="125"/>
      <c r="T31" s="334"/>
      <c r="U31" s="125"/>
      <c r="V31" s="268"/>
      <c r="W31" s="125"/>
      <c r="X31" s="125"/>
      <c r="Y31" s="125"/>
      <c r="Z31" s="125"/>
      <c r="AA31" s="271"/>
      <c r="AB31" s="271"/>
      <c r="AC31" s="271"/>
      <c r="AD31" s="271"/>
      <c r="AE31" s="271"/>
      <c r="AF31" s="271"/>
      <c r="AG31" s="271"/>
      <c r="AH31" s="271"/>
      <c r="AI31" s="272"/>
      <c r="AJ31" s="63"/>
      <c r="BM31" s="63">
        <v>14</v>
      </c>
    </row>
    <row r="32" ht="14.65" customHeight="1">
      <c r="D32" s="325"/>
      <c r="E32" s="326"/>
      <c r="F32" s="326"/>
      <c r="G32" s="296"/>
      <c r="H32" s="332"/>
      <c r="I32" s="333"/>
      <c r="J32" s="268"/>
      <c r="K32" s="86"/>
      <c r="L32" s="125"/>
      <c r="M32" s="125"/>
      <c r="N32" s="60"/>
      <c r="O32" s="125"/>
      <c r="P32" s="268"/>
      <c r="Q32" s="268"/>
      <c r="R32" s="125"/>
      <c r="S32" s="125"/>
      <c r="T32" s="335"/>
      <c r="U32" s="336"/>
      <c r="V32" s="271"/>
      <c r="W32" s="271"/>
      <c r="X32" s="271"/>
      <c r="Y32" s="271"/>
      <c r="Z32" s="271"/>
      <c r="AA32" s="271"/>
      <c r="AB32" s="271"/>
      <c r="AC32" s="271"/>
      <c r="AD32" s="271"/>
      <c r="AE32" s="271"/>
      <c r="AF32" s="271"/>
      <c r="AG32" s="271"/>
      <c r="AH32" s="271"/>
      <c r="AI32" s="272"/>
      <c r="AJ32" s="63"/>
      <c r="BM32" s="63">
        <v>14</v>
      </c>
    </row>
    <row r="33" ht="11.5" customHeight="1">
      <c r="D33" s="325"/>
      <c r="E33" s="326"/>
      <c r="F33" s="326"/>
      <c r="G33" s="296"/>
      <c r="H33" s="337"/>
      <c r="I33" s="333"/>
      <c r="J33" s="268"/>
      <c r="K33" s="86"/>
      <c r="L33" s="125"/>
      <c r="M33" s="125"/>
      <c r="N33" s="271"/>
      <c r="O33" s="271"/>
      <c r="P33" s="271"/>
      <c r="Q33" s="271"/>
      <c r="R33" s="271"/>
      <c r="S33" s="271"/>
      <c r="T33" s="271"/>
      <c r="U33" s="271"/>
      <c r="V33" s="271"/>
      <c r="W33" s="271"/>
      <c r="X33" s="271"/>
      <c r="Y33" s="271"/>
      <c r="Z33" s="271"/>
      <c r="AA33" s="271"/>
      <c r="AB33" s="271"/>
      <c r="AC33" s="271"/>
      <c r="AD33" s="271"/>
      <c r="AE33" s="271"/>
      <c r="AF33" s="271"/>
      <c r="AG33" s="271"/>
      <c r="AH33" s="271"/>
      <c r="AI33" s="272"/>
      <c r="AJ33" s="63"/>
      <c r="BM33" s="63">
        <v>11</v>
      </c>
    </row>
    <row r="34" s="310" customFormat="1" ht="11.5" customHeight="1">
      <c r="D34" s="338"/>
      <c r="E34" s="339"/>
      <c r="F34" s="340"/>
      <c r="G34" s="220"/>
      <c r="H34" s="341"/>
      <c r="I34" s="342"/>
      <c r="J34" s="278"/>
      <c r="K34" s="278"/>
      <c r="L34" s="278"/>
      <c r="M34" s="278"/>
      <c r="N34" s="278"/>
      <c r="O34" s="278"/>
      <c r="P34" s="278"/>
      <c r="Q34" s="278"/>
      <c r="R34" s="278"/>
      <c r="S34" s="278"/>
      <c r="T34" s="278"/>
      <c r="U34" s="278"/>
      <c r="V34" s="278"/>
      <c r="W34" s="278"/>
      <c r="X34" s="278"/>
      <c r="Y34" s="278"/>
      <c r="Z34" s="278"/>
      <c r="AA34" s="278"/>
      <c r="AB34" s="278"/>
      <c r="AC34" s="278"/>
      <c r="AD34" s="278"/>
      <c r="AE34" s="278"/>
      <c r="AF34" s="278"/>
      <c r="AG34" s="278"/>
      <c r="AH34" s="278"/>
      <c r="AI34" s="280"/>
      <c r="AJ34" s="63"/>
      <c r="AK34" s="307"/>
      <c r="AL34" s="63"/>
      <c r="AM34" s="63"/>
      <c r="AN34" s="63"/>
      <c r="AO34" s="63"/>
      <c r="AP34" s="63"/>
      <c r="AQ34" s="63"/>
      <c r="AR34" s="63"/>
      <c r="AS34" s="63"/>
      <c r="AT34" s="63"/>
      <c r="AU34" s="63"/>
      <c r="AV34" s="63"/>
      <c r="AW34" s="63"/>
      <c r="AX34" s="63"/>
      <c r="AY34" s="63"/>
      <c r="AZ34" s="63"/>
      <c r="BA34" s="63"/>
      <c r="BB34" s="63"/>
      <c r="BC34" s="63"/>
      <c r="BD34" s="63"/>
      <c r="BE34" s="63"/>
      <c r="BF34" s="63"/>
      <c r="BG34" s="63"/>
      <c r="BH34" s="63"/>
      <c r="BI34" s="63"/>
      <c r="BJ34" s="63"/>
      <c r="BK34" s="63"/>
      <c r="BL34" s="63"/>
      <c r="BM34" s="310">
        <v>11</v>
      </c>
    </row>
    <row r="35" ht="15" customHeight="1">
      <c r="D35" s="325" t="s">
        <v>111</v>
      </c>
      <c r="E35" s="326" t="s">
        <v>298</v>
      </c>
      <c r="F35" s="326" t="s">
        <v>303</v>
      </c>
      <c r="G35" s="292" t="s">
        <v>19</v>
      </c>
      <c r="H35" s="327"/>
      <c r="I35" s="328"/>
      <c r="J35" s="259"/>
      <c r="K35" s="259"/>
      <c r="L35" s="260"/>
      <c r="M35" s="260"/>
      <c r="N35" s="329"/>
      <c r="O35" s="260"/>
      <c r="P35" s="259"/>
      <c r="Q35" s="259"/>
      <c r="R35" s="260"/>
      <c r="S35" s="260"/>
      <c r="T35" s="330"/>
      <c r="U35" s="260"/>
      <c r="V35" s="259"/>
      <c r="W35" s="260"/>
      <c r="X35" s="260"/>
      <c r="Y35" s="260"/>
      <c r="Z35" s="329"/>
      <c r="AA35" s="260"/>
      <c r="AB35" s="259"/>
      <c r="AC35" s="331"/>
      <c r="AD35" s="260"/>
      <c r="AE35" s="260"/>
      <c r="AF35" s="260"/>
      <c r="AG35" s="260"/>
      <c r="AH35" s="329"/>
      <c r="AI35" s="263"/>
      <c r="AJ35" s="63"/>
      <c r="BM35" s="63">
        <v>14</v>
      </c>
    </row>
    <row r="36" ht="14.65" customHeight="1">
      <c r="D36" s="325"/>
      <c r="E36" s="326"/>
      <c r="F36" s="326"/>
      <c r="G36" s="296"/>
      <c r="H36" s="332"/>
      <c r="I36" s="333"/>
      <c r="J36" s="268"/>
      <c r="K36" s="86"/>
      <c r="L36" s="125"/>
      <c r="M36" s="125"/>
      <c r="N36" s="60"/>
      <c r="O36" s="125"/>
      <c r="P36" s="268"/>
      <c r="Q36" s="268"/>
      <c r="R36" s="125"/>
      <c r="S36" s="125"/>
      <c r="T36" s="334"/>
      <c r="U36" s="125"/>
      <c r="V36" s="268"/>
      <c r="W36" s="125"/>
      <c r="X36" s="125"/>
      <c r="Y36" s="125"/>
      <c r="Z36" s="60"/>
      <c r="AA36" s="125"/>
      <c r="AB36" s="268"/>
      <c r="AC36" s="86"/>
      <c r="AD36" s="125"/>
      <c r="AE36" s="125"/>
      <c r="AF36" s="271"/>
      <c r="AG36" s="271"/>
      <c r="AH36" s="271"/>
      <c r="AI36" s="272"/>
      <c r="AJ36" s="63"/>
      <c r="BM36" s="63">
        <v>14</v>
      </c>
    </row>
    <row r="37" ht="14.65" customHeight="1">
      <c r="D37" s="325"/>
      <c r="E37" s="326"/>
      <c r="F37" s="326"/>
      <c r="G37" s="296"/>
      <c r="H37" s="332"/>
      <c r="I37" s="333"/>
      <c r="J37" s="268"/>
      <c r="K37" s="86"/>
      <c r="L37" s="125"/>
      <c r="M37" s="125"/>
      <c r="N37" s="60"/>
      <c r="O37" s="125"/>
      <c r="P37" s="268"/>
      <c r="Q37" s="268"/>
      <c r="R37" s="125"/>
      <c r="S37" s="125"/>
      <c r="T37" s="334"/>
      <c r="U37" s="125"/>
      <c r="V37" s="268"/>
      <c r="W37" s="125"/>
      <c r="X37" s="125"/>
      <c r="Y37" s="125"/>
      <c r="Z37" s="125"/>
      <c r="AA37" s="271"/>
      <c r="AB37" s="271"/>
      <c r="AC37" s="271"/>
      <c r="AD37" s="271"/>
      <c r="AE37" s="271"/>
      <c r="AF37" s="271"/>
      <c r="AG37" s="271"/>
      <c r="AH37" s="271"/>
      <c r="AI37" s="272"/>
      <c r="AJ37" s="63"/>
      <c r="BM37" s="63">
        <v>14</v>
      </c>
    </row>
    <row r="38" ht="14.65" customHeight="1">
      <c r="D38" s="325"/>
      <c r="E38" s="326"/>
      <c r="F38" s="326"/>
      <c r="G38" s="296"/>
      <c r="H38" s="332"/>
      <c r="I38" s="333"/>
      <c r="J38" s="268"/>
      <c r="K38" s="86"/>
      <c r="L38" s="125"/>
      <c r="M38" s="125"/>
      <c r="N38" s="60"/>
      <c r="O38" s="125"/>
      <c r="P38" s="268"/>
      <c r="Q38" s="268"/>
      <c r="R38" s="125"/>
      <c r="S38" s="125"/>
      <c r="T38" s="335"/>
      <c r="U38" s="336"/>
      <c r="V38" s="271"/>
      <c r="W38" s="271"/>
      <c r="X38" s="271"/>
      <c r="Y38" s="271"/>
      <c r="Z38" s="271"/>
      <c r="AA38" s="271"/>
      <c r="AB38" s="271"/>
      <c r="AC38" s="271"/>
      <c r="AD38" s="271"/>
      <c r="AE38" s="271"/>
      <c r="AF38" s="271"/>
      <c r="AG38" s="271"/>
      <c r="AH38" s="271"/>
      <c r="AI38" s="272"/>
      <c r="AJ38" s="63"/>
      <c r="BM38" s="63">
        <v>14</v>
      </c>
    </row>
    <row r="39" ht="11.5" customHeight="1">
      <c r="D39" s="325"/>
      <c r="E39" s="326"/>
      <c r="F39" s="326"/>
      <c r="G39" s="296"/>
      <c r="H39" s="337"/>
      <c r="I39" s="333"/>
      <c r="J39" s="268"/>
      <c r="K39" s="86"/>
      <c r="L39" s="125"/>
      <c r="M39" s="125"/>
      <c r="N39" s="271"/>
      <c r="O39" s="271"/>
      <c r="P39" s="271"/>
      <c r="Q39" s="271"/>
      <c r="R39" s="271"/>
      <c r="S39" s="271"/>
      <c r="T39" s="271"/>
      <c r="U39" s="271"/>
      <c r="V39" s="271"/>
      <c r="W39" s="271"/>
      <c r="X39" s="271"/>
      <c r="Y39" s="271"/>
      <c r="Z39" s="271"/>
      <c r="AA39" s="271"/>
      <c r="AB39" s="271"/>
      <c r="AC39" s="271"/>
      <c r="AD39" s="271"/>
      <c r="AE39" s="271"/>
      <c r="AF39" s="271"/>
      <c r="AG39" s="271"/>
      <c r="AH39" s="271"/>
      <c r="AI39" s="272"/>
      <c r="AJ39" s="63"/>
      <c r="BM39" s="63">
        <v>11</v>
      </c>
    </row>
    <row r="40" s="310" customFormat="1" ht="11.5" customHeight="1">
      <c r="D40" s="325"/>
      <c r="E40" s="326"/>
      <c r="F40" s="343"/>
      <c r="G40" s="220"/>
      <c r="H40" s="341"/>
      <c r="I40" s="342"/>
      <c r="J40" s="278"/>
      <c r="K40" s="278"/>
      <c r="L40" s="278"/>
      <c r="M40" s="278"/>
      <c r="N40" s="278"/>
      <c r="O40" s="278"/>
      <c r="P40" s="278"/>
      <c r="Q40" s="278"/>
      <c r="R40" s="278"/>
      <c r="S40" s="278"/>
      <c r="T40" s="278"/>
      <c r="U40" s="278"/>
      <c r="V40" s="278"/>
      <c r="W40" s="278"/>
      <c r="X40" s="278"/>
      <c r="Y40" s="278"/>
      <c r="Z40" s="278"/>
      <c r="AA40" s="278"/>
      <c r="AB40" s="278"/>
      <c r="AC40" s="278"/>
      <c r="AD40" s="278"/>
      <c r="AE40" s="278"/>
      <c r="AF40" s="278"/>
      <c r="AG40" s="278"/>
      <c r="AH40" s="278"/>
      <c r="AI40" s="280"/>
      <c r="AJ40" s="63"/>
      <c r="AK40" s="307"/>
      <c r="AL40" s="63"/>
      <c r="AM40" s="63"/>
      <c r="AN40" s="63"/>
      <c r="AO40" s="63"/>
      <c r="AP40" s="63"/>
      <c r="AQ40" s="63"/>
      <c r="AR40" s="63"/>
      <c r="AS40" s="63"/>
      <c r="AT40" s="63"/>
      <c r="AU40" s="63"/>
      <c r="AV40" s="63"/>
      <c r="AW40" s="63"/>
      <c r="AX40" s="63"/>
      <c r="AY40" s="63"/>
      <c r="AZ40" s="63"/>
      <c r="BA40" s="63"/>
      <c r="BB40" s="63"/>
      <c r="BC40" s="63"/>
      <c r="BD40" s="63"/>
      <c r="BE40" s="63"/>
      <c r="BF40" s="63"/>
      <c r="BG40" s="63"/>
      <c r="BH40" s="63"/>
      <c r="BI40" s="63"/>
      <c r="BJ40" s="63"/>
      <c r="BK40" s="63"/>
      <c r="BL40" s="63"/>
      <c r="BM40" s="310">
        <v>11</v>
      </c>
    </row>
    <row r="41" ht="11.5" customHeight="1">
      <c r="AK41" s="63"/>
      <c r="BM41" s="63">
        <v>11</v>
      </c>
    </row>
    <row r="42" ht="11.5" customHeight="1">
      <c r="AK42" s="63"/>
      <c r="BM42" s="63">
        <v>11</v>
      </c>
    </row>
    <row r="43" ht="11.5" customHeight="1">
      <c r="AK43" s="63"/>
      <c r="BM43" s="63">
        <v>11</v>
      </c>
    </row>
    <row r="44" ht="11.5" customHeight="1">
      <c r="AK44" s="63"/>
      <c r="BM44" s="63">
        <v>11</v>
      </c>
    </row>
    <row r="45" ht="11.5" customHeight="1">
      <c r="AK45" s="63"/>
      <c r="BM45" s="63">
        <v>11</v>
      </c>
    </row>
    <row r="46" ht="11.5" customHeight="1">
      <c r="AK46" s="63"/>
      <c r="BM46" s="63">
        <v>11</v>
      </c>
    </row>
    <row r="47" ht="11.5" customHeight="1">
      <c r="AK47" s="63"/>
      <c r="BM47" s="63">
        <v>11</v>
      </c>
    </row>
    <row r="48" ht="11.5" customHeight="1">
      <c r="AK48" s="63"/>
      <c r="BM48" s="63">
        <v>11</v>
      </c>
    </row>
    <row r="49" ht="11.5" customHeight="1">
      <c r="AK49" s="63"/>
      <c r="BM49" s="63">
        <v>11</v>
      </c>
    </row>
    <row r="50" ht="11.25" hidden="1" customHeight="1">
      <c r="A50" s="63" t="s">
        <v>83</v>
      </c>
      <c r="B50" s="63">
        <v>0</v>
      </c>
      <c r="C50" s="63">
        <v>3</v>
      </c>
      <c r="D50" s="63">
        <v>3</v>
      </c>
      <c r="E50" s="63">
        <v>15</v>
      </c>
      <c r="F50" s="63">
        <v>15</v>
      </c>
      <c r="G50" s="63">
        <v>11</v>
      </c>
      <c r="H50" s="63">
        <v>3</v>
      </c>
      <c r="I50" s="63">
        <v>3</v>
      </c>
      <c r="J50" s="63">
        <v>12</v>
      </c>
      <c r="K50" s="63">
        <v>0</v>
      </c>
      <c r="L50" s="63">
        <v>10</v>
      </c>
      <c r="M50" s="63">
        <v>10</v>
      </c>
      <c r="N50" s="63">
        <v>3</v>
      </c>
      <c r="O50" s="63">
        <v>3</v>
      </c>
      <c r="P50" s="63">
        <v>19</v>
      </c>
      <c r="Q50" s="63">
        <v>0</v>
      </c>
      <c r="R50" s="63">
        <v>10</v>
      </c>
      <c r="S50" s="63">
        <v>10</v>
      </c>
      <c r="T50" s="63">
        <v>3</v>
      </c>
      <c r="U50" s="63">
        <v>3</v>
      </c>
      <c r="V50" s="63">
        <v>25</v>
      </c>
      <c r="W50" s="63">
        <v>0</v>
      </c>
      <c r="X50" s="63">
        <v>10</v>
      </c>
      <c r="Y50" s="63">
        <v>10</v>
      </c>
      <c r="Z50" s="63">
        <v>3</v>
      </c>
      <c r="AA50" s="63">
        <v>3</v>
      </c>
      <c r="AB50" s="63">
        <v>16</v>
      </c>
      <c r="AC50" s="63">
        <v>0</v>
      </c>
      <c r="AD50" s="63">
        <v>10</v>
      </c>
      <c r="AE50" s="63">
        <v>10</v>
      </c>
      <c r="AF50" s="63">
        <v>3</v>
      </c>
      <c r="AG50" s="63">
        <v>3</v>
      </c>
      <c r="AH50" s="63">
        <v>8</v>
      </c>
      <c r="AI50" s="63">
        <v>21</v>
      </c>
      <c r="AJ50" s="63">
        <v>8</v>
      </c>
      <c r="AK50" s="307">
        <v>8</v>
      </c>
      <c r="AL50" s="63">
        <v>8</v>
      </c>
      <c r="AM50" s="63">
        <v>8</v>
      </c>
      <c r="AN50" s="63">
        <v>8</v>
      </c>
      <c r="AO50" s="63">
        <v>8</v>
      </c>
      <c r="AP50" s="63">
        <v>8</v>
      </c>
      <c r="AQ50" s="63">
        <v>8</v>
      </c>
      <c r="AR50" s="63">
        <v>8</v>
      </c>
      <c r="AS50" s="63">
        <v>8</v>
      </c>
      <c r="AT50" s="63">
        <v>8</v>
      </c>
      <c r="AU50" s="63">
        <v>8</v>
      </c>
      <c r="AV50" s="63">
        <v>8</v>
      </c>
      <c r="AW50" s="63">
        <v>8</v>
      </c>
      <c r="AX50" s="63">
        <v>8</v>
      </c>
      <c r="AY50" s="63">
        <v>8</v>
      </c>
      <c r="AZ50" s="63">
        <v>8</v>
      </c>
      <c r="BA50" s="63">
        <v>8</v>
      </c>
      <c r="BB50" s="63">
        <v>8</v>
      </c>
      <c r="BC50" s="63">
        <v>8</v>
      </c>
      <c r="BD50" s="63">
        <v>8</v>
      </c>
      <c r="BE50" s="63">
        <v>8</v>
      </c>
      <c r="BF50" s="63">
        <v>8</v>
      </c>
      <c r="BG50" s="63">
        <v>8</v>
      </c>
      <c r="BH50" s="63">
        <v>8</v>
      </c>
      <c r="BI50" s="63">
        <v>8</v>
      </c>
      <c r="BJ50" s="63">
        <v>8</v>
      </c>
      <c r="BK50" s="63">
        <v>8</v>
      </c>
      <c r="BL50" s="63">
        <v>8</v>
      </c>
      <c r="BM50" s="63">
        <v>11</v>
      </c>
    </row>
  </sheetData>
  <sheetProtection autoFilter="0" deleteColumns="1" deleteRows="1" formatCells="1" formatColumns="0" formatRows="0" insertColumns="1" insertHyperlinks="1" insertRows="1" objects="0" pivotTables="1" scenarios="0" selectLockedCells="0" selectUnlockedCells="0" sheet="1" sort="1"/>
  <mergeCells count="151">
    <mergeCell ref="D4:J4"/>
    <mergeCell ref="D5:J5"/>
    <mergeCell ref="D8:D10"/>
    <mergeCell ref="E8:E10"/>
    <mergeCell ref="F8:G8"/>
    <mergeCell ref="H8:I10"/>
    <mergeCell ref="J8:J10"/>
    <mergeCell ref="L8:P8"/>
    <mergeCell ref="R8:V8"/>
    <mergeCell ref="X8:AB8"/>
    <mergeCell ref="AD8:AH8"/>
    <mergeCell ref="AI8:AI10"/>
    <mergeCell ref="F9:F10"/>
    <mergeCell ref="G9:G10"/>
    <mergeCell ref="L9:M9"/>
    <mergeCell ref="N9:O10"/>
    <mergeCell ref="P9:P10"/>
    <mergeCell ref="R9:S9"/>
    <mergeCell ref="T9:U10"/>
    <mergeCell ref="V9:V10"/>
    <mergeCell ref="X9:Y9"/>
    <mergeCell ref="Z9:AA10"/>
    <mergeCell ref="AB9:AB10"/>
    <mergeCell ref="AD9:AE9"/>
    <mergeCell ref="AF9:AG10"/>
    <mergeCell ref="AH9:AH10"/>
    <mergeCell ref="D11:D16"/>
    <mergeCell ref="E11:E16"/>
    <mergeCell ref="F11:F16"/>
    <mergeCell ref="G11:G16"/>
    <mergeCell ref="I11:I15"/>
    <mergeCell ref="J11:J15"/>
    <mergeCell ref="L11:L15"/>
    <mergeCell ref="M11:M15"/>
    <mergeCell ref="O11:O14"/>
    <mergeCell ref="P11:P14"/>
    <mergeCell ref="R11:R14"/>
    <mergeCell ref="S11:S14"/>
    <mergeCell ref="U11:U13"/>
    <mergeCell ref="V11:V13"/>
    <mergeCell ref="X11:X13"/>
    <mergeCell ref="Y11:Y13"/>
    <mergeCell ref="AA11:AA12"/>
    <mergeCell ref="AB11:AB12"/>
    <mergeCell ref="AD11:AD12"/>
    <mergeCell ref="AE11:AE12"/>
    <mergeCell ref="AH12:AI12"/>
    <mergeCell ref="AB13:AI13"/>
    <mergeCell ref="V14:AI14"/>
    <mergeCell ref="P15:AI15"/>
    <mergeCell ref="J16:AI16"/>
    <mergeCell ref="D17:D22"/>
    <mergeCell ref="E17:E22"/>
    <mergeCell ref="F17:F22"/>
    <mergeCell ref="G17:G22"/>
    <mergeCell ref="I17:I21"/>
    <mergeCell ref="J17:J21"/>
    <mergeCell ref="L17:L21"/>
    <mergeCell ref="M17:M21"/>
    <mergeCell ref="O17:O20"/>
    <mergeCell ref="P17:P20"/>
    <mergeCell ref="R17:R20"/>
    <mergeCell ref="S17:S20"/>
    <mergeCell ref="U17:U19"/>
    <mergeCell ref="V17:V19"/>
    <mergeCell ref="X17:X19"/>
    <mergeCell ref="Y17:Y19"/>
    <mergeCell ref="AA17:AA18"/>
    <mergeCell ref="AB17:AB18"/>
    <mergeCell ref="AD17:AD18"/>
    <mergeCell ref="AE17:AE18"/>
    <mergeCell ref="AH18:AI18"/>
    <mergeCell ref="AB19:AI19"/>
    <mergeCell ref="V20:AI20"/>
    <mergeCell ref="P21:AI21"/>
    <mergeCell ref="J22:AI22"/>
    <mergeCell ref="D23:D28"/>
    <mergeCell ref="E23:E28"/>
    <mergeCell ref="F23:F28"/>
    <mergeCell ref="G23:G28"/>
    <mergeCell ref="I23:I27"/>
    <mergeCell ref="J23:J27"/>
    <mergeCell ref="L23:L27"/>
    <mergeCell ref="M23:M27"/>
    <mergeCell ref="O23:O26"/>
    <mergeCell ref="P23:P26"/>
    <mergeCell ref="R23:R26"/>
    <mergeCell ref="S23:S26"/>
    <mergeCell ref="U23:U25"/>
    <mergeCell ref="V23:V25"/>
    <mergeCell ref="X23:X25"/>
    <mergeCell ref="Y23:Y25"/>
    <mergeCell ref="AA23:AA24"/>
    <mergeCell ref="AB23:AB24"/>
    <mergeCell ref="AD23:AD24"/>
    <mergeCell ref="AE23:AE24"/>
    <mergeCell ref="AH24:AI24"/>
    <mergeCell ref="AB25:AI25"/>
    <mergeCell ref="V26:AI26"/>
    <mergeCell ref="P27:AI27"/>
    <mergeCell ref="J28:AI28"/>
    <mergeCell ref="D29:D34"/>
    <mergeCell ref="E29:E34"/>
    <mergeCell ref="F29:F34"/>
    <mergeCell ref="G29:G34"/>
    <mergeCell ref="I29:I33"/>
    <mergeCell ref="J29:J33"/>
    <mergeCell ref="L29:L33"/>
    <mergeCell ref="M29:M33"/>
    <mergeCell ref="O29:O32"/>
    <mergeCell ref="P29:P32"/>
    <mergeCell ref="R29:R32"/>
    <mergeCell ref="S29:S32"/>
    <mergeCell ref="U29:U31"/>
    <mergeCell ref="V29:V31"/>
    <mergeCell ref="X29:X31"/>
    <mergeCell ref="Y29:Y31"/>
    <mergeCell ref="AA29:AA30"/>
    <mergeCell ref="AB29:AB30"/>
    <mergeCell ref="AD29:AD30"/>
    <mergeCell ref="AE29:AE30"/>
    <mergeCell ref="AH30:AI30"/>
    <mergeCell ref="AB31:AI31"/>
    <mergeCell ref="V32:AI32"/>
    <mergeCell ref="P33:AI33"/>
    <mergeCell ref="J34:AI34"/>
    <mergeCell ref="D35:D40"/>
    <mergeCell ref="E35:E40"/>
    <mergeCell ref="F35:F40"/>
    <mergeCell ref="G35:G40"/>
    <mergeCell ref="I35:I39"/>
    <mergeCell ref="J35:J39"/>
    <mergeCell ref="L35:L39"/>
    <mergeCell ref="M35:M39"/>
    <mergeCell ref="O35:O38"/>
    <mergeCell ref="P35:P38"/>
    <mergeCell ref="R35:R38"/>
    <mergeCell ref="S35:S38"/>
    <mergeCell ref="U35:U37"/>
    <mergeCell ref="V35:V37"/>
    <mergeCell ref="X35:X37"/>
    <mergeCell ref="Y35:Y37"/>
    <mergeCell ref="AA35:AA36"/>
    <mergeCell ref="AB35:AB36"/>
    <mergeCell ref="AD35:AD36"/>
    <mergeCell ref="AE35:AE36"/>
    <mergeCell ref="AH36:AI36"/>
    <mergeCell ref="AB37:AI37"/>
    <mergeCell ref="V38:AI38"/>
    <mergeCell ref="P39:AI39"/>
    <mergeCell ref="J40:AI40"/>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disablePrompts="0">
        <x14:dataValidation xr:uid="{00490005-0021-4905-B34D-00F000800081}" type="list" allowBlank="1" error="Выберите значение из списка" errorStyle="warning" errorTitle="Ошибка" imeMode="noControl" operator="between" prompt="Выберите значение из списка или укажите свой вид твердых коммунальных отходов" showDropDown="0" showErrorMessage="0" showInputMessage="1">
          <x14:formula1>
            <xm:f>list_typeTKO</xm:f>
          </x14:formula1>
          <xm:sqref>AC17 AC23 AC35 AC29 AC11</xm:sqref>
        </x14:dataValidation>
        <x14:dataValidation xr:uid="{005E0048-002C-4A55-9D76-00D700BC0041}" type="textLength" allowBlank="1" error="Допускается ввод не более 900 символов!" errorStyle="stop" errorTitle="Ошибка" imeMode="noControl" operator="lessThanOrEqual" showDropDown="0" showErrorMessage="1" showInputMessage="1">
          <x14:formula1>
            <xm:f>900</xm:f>
          </x14:formula1>
          <xm:sqref>AI29 AI23 P17:P20 J23:J27 J29:J33 AI35 J35:J39 P35:P38 P29:P32 AI17 J17:J21 P23:P26 AI11 J11:J15 P11:P14</xm:sqref>
        </x14:dataValidation>
      </x14:dataValidations>
    </ext>
  </extLst>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outlinePr applyStyles="0" summaryBelow="1" summaryRight="1" showOutlineSymbols="1"/>
    <pageSetUpPr autoPageBreaks="1" fitToPage="0"/>
  </sheetPr>
  <sheetViews>
    <sheetView showGridLines="0" topLeftCell="A1" zoomScale="90" workbookViewId="0">
      <selection activeCell="A1" activeCellId="0" sqref="A1"/>
    </sheetView>
  </sheetViews>
  <sheetFormatPr defaultColWidth="9.140625" defaultRowHeight="11.25" customHeight="1"/>
  <cols>
    <col customWidth="1" min="1" max="1" style="63" width="1.7109375"/>
    <col customWidth="1" min="2" max="2" style="63" width="34.57421875"/>
    <col customWidth="1" min="3" max="3" style="63" width="85.00390625"/>
    <col customWidth="1" min="4" max="4" style="63" width="17.00390625"/>
    <col customWidth="1" min="5" max="5" style="63" width="8.00390625"/>
    <col hidden="1" min="6" max="6" style="63" width="9.140625"/>
  </cols>
  <sheetData>
    <row r="1" ht="3" customHeight="1">
      <c r="F1" s="63" t="s">
        <v>14</v>
      </c>
    </row>
    <row r="2" ht="22.5" customHeight="1">
      <c r="B2" s="1138" t="s">
        <v>1906</v>
      </c>
      <c r="C2" s="1138"/>
      <c r="D2" s="1138"/>
      <c r="E2" s="1139"/>
      <c r="F2" s="63">
        <v>22</v>
      </c>
    </row>
    <row r="3" ht="3" customHeight="1">
      <c r="F3" s="63">
        <v>3</v>
      </c>
    </row>
    <row r="4" ht="23.25" customHeight="1">
      <c r="B4" s="1140" t="s">
        <v>1907</v>
      </c>
      <c r="C4" s="1140" t="s">
        <v>1908</v>
      </c>
      <c r="D4" s="1140" t="s">
        <v>1909</v>
      </c>
      <c r="F4" s="63">
        <v>22</v>
      </c>
    </row>
    <row r="5" ht="11.25" hidden="1" customHeight="1">
      <c r="A5" s="63" t="s">
        <v>83</v>
      </c>
      <c r="B5" s="63">
        <v>34</v>
      </c>
      <c r="C5" s="63">
        <v>85</v>
      </c>
      <c r="D5" s="63">
        <v>17</v>
      </c>
      <c r="E5" s="63">
        <v>8</v>
      </c>
      <c r="F5" s="63">
        <v>11</v>
      </c>
    </row>
  </sheetData>
  <sheetProtection autoFilter="0" deleteColumns="1" deleteRows="1" formatCells="1" formatColumns="0" formatRows="0" insertColumns="1" insertHyperlinks="1" insertRows="1" objects="0" pivotTables="1" scenarios="0" selectLockedCells="0" selectUnlockedCells="0" sheet="1" sort="1"/>
  <autoFilter ref="B4:D4"/>
  <mergeCells count="1">
    <mergeCell ref="B2:D2"/>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topLeftCell="A1" zoomScale="85" workbookViewId="0">
      <selection activeCell="A1" activeCellId="0" sqref="A1"/>
    </sheetView>
  </sheetViews>
  <sheetFormatPr defaultColWidth="9.140625" defaultRowHeight="17.100000000000001" customHeight="1"/>
  <cols>
    <col customWidth="1" min="1" max="1" style="63" width="26.57421875"/>
    <col customWidth="1" min="2" max="2" style="63" width="10.00390625"/>
    <col min="3" max="3" style="63" width="9.140625"/>
    <col customWidth="1" min="4" max="4" style="63" width="11.140625"/>
    <col customWidth="1" min="5" max="5" style="63" width="16.57421875"/>
    <col customWidth="1" min="6" max="6" style="63" width="16.28125"/>
    <col customWidth="1" min="7" max="7" style="63" width="19.140625"/>
    <col customWidth="1" min="8" max="11" style="63" width="10.00390625"/>
    <col customWidth="1" min="12" max="12" style="63" width="12.7109375"/>
    <col customWidth="1" min="13" max="13" style="63" width="61.28125"/>
    <col customWidth="1" min="14" max="14" style="63" width="10.00390625"/>
    <col customWidth="1" min="15" max="17" style="63" width="23.7109375"/>
    <col customWidth="1" min="18" max="18" style="63" width="11.7109375"/>
    <col customWidth="1" min="19" max="19" style="63" width="8.57421875"/>
    <col customWidth="1" min="20" max="20" style="63" width="11.7109375"/>
    <col customWidth="1" min="21" max="21" style="63" width="8.57421875"/>
    <col customWidth="1" min="22" max="22" style="63" width="4.7109375"/>
    <col customWidth="1" min="23" max="23" style="63" width="115.7109375"/>
    <col customWidth="1" min="24" max="24" style="63" width="115.28125"/>
    <col min="25" max="27" style="63" width="9.140625"/>
    <col customWidth="1" min="28" max="28" style="63" width="115.7109375"/>
    <col min="29" max="29" style="63" width="9.140625"/>
    <col customWidth="1" min="30" max="90" style="63" width="115.7109375"/>
    <col min="91" max="184" style="63" width="9.140625"/>
  </cols>
  <sheetData>
    <row r="2" s="1141" customFormat="1" ht="17.25" customHeight="1">
      <c r="A2" s="1141" t="s">
        <v>1910</v>
      </c>
    </row>
    <row r="4" s="1130" customFormat="1" ht="15" customHeight="1">
      <c r="C4" s="391"/>
      <c r="D4" s="838"/>
      <c r="E4" s="457"/>
    </row>
    <row r="6" s="1141" customFormat="1" ht="17.25" customHeight="1">
      <c r="A6" s="1141" t="s">
        <v>1911</v>
      </c>
    </row>
    <row r="8" s="1130" customFormat="1" ht="17.25" customHeight="1">
      <c r="C8" s="1142"/>
      <c r="D8" s="838"/>
      <c r="E8" s="291"/>
    </row>
    <row r="11" s="1141" customFormat="1" ht="17.25" customHeight="1">
      <c r="A11" s="1141" t="s">
        <v>1912</v>
      </c>
    </row>
    <row r="13" s="139" customFormat="1" ht="15" customHeight="1">
      <c r="A13" s="113">
        <v>1</v>
      </c>
      <c r="B13" s="53"/>
      <c r="C13" s="169" t="s">
        <v>693</v>
      </c>
      <c r="D13" s="128"/>
      <c r="E13" s="157">
        <f>A13</f>
        <v>1</v>
      </c>
      <c r="F13" s="249"/>
      <c r="G13" s="159" t="str">
        <f>"Территория "&amp;E13</f>
        <v xml:space="preserve">Территория 1</v>
      </c>
      <c r="H13" s="160"/>
      <c r="I13" s="160"/>
      <c r="J13" s="129"/>
      <c r="K13" s="129"/>
      <c r="L13" s="129"/>
      <c r="M13" s="129"/>
      <c r="N13" s="129"/>
      <c r="O13" s="129"/>
      <c r="P13" s="130"/>
      <c r="Q13" s="130"/>
      <c r="R13" s="130"/>
      <c r="S13" s="130"/>
    </row>
    <row r="14" s="63" customFormat="1" ht="15" customHeight="1">
      <c r="A14" s="113"/>
      <c r="B14" s="53">
        <v>1</v>
      </c>
      <c r="C14" s="53"/>
      <c r="D14" s="161"/>
      <c r="E14" s="162" t="str">
        <f>A13&amp;"."&amp;B14</f>
        <v>1.1</v>
      </c>
      <c r="F14" s="569">
        <f>$F$20</f>
        <v>0</v>
      </c>
      <c r="G14" s="164"/>
      <c r="H14" s="164"/>
      <c r="I14" s="165"/>
      <c r="J14" s="129"/>
      <c r="K14" s="57"/>
      <c r="L14" s="57"/>
      <c r="M14" s="129" t="str">
        <f t="array" ref="M14">IF(ISERROR(MATCH(MID(N14,1,250),MID(note_ter,1,250),0)),"n","y")</f>
        <v>n</v>
      </c>
      <c r="N14" s="57"/>
      <c r="O14" s="129" t="str">
        <f>H14&amp;"("&amp;I14&amp;")"</f>
        <v>()</v>
      </c>
      <c r="P14" s="53"/>
      <c r="Q14" s="53"/>
      <c r="R14" s="166"/>
      <c r="S14" s="53"/>
      <c r="T14" s="53"/>
      <c r="U14" s="53"/>
      <c r="V14" s="64"/>
      <c r="W14" s="64"/>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67"/>
      <c r="AV14" s="167"/>
      <c r="AW14" s="167"/>
      <c r="AX14" s="167"/>
      <c r="AY14" s="167"/>
      <c r="AZ14" s="167"/>
      <c r="BA14" s="167"/>
      <c r="BB14" s="167"/>
      <c r="BC14" s="167"/>
      <c r="BD14" s="167"/>
      <c r="BE14" s="167"/>
      <c r="BF14" s="167"/>
      <c r="BG14" s="167"/>
      <c r="BH14" s="167"/>
      <c r="BI14" s="167"/>
      <c r="BJ14" s="167"/>
      <c r="BK14" s="167"/>
      <c r="BL14" s="167"/>
      <c r="BM14" s="167"/>
      <c r="BN14" s="167"/>
      <c r="BO14" s="167"/>
      <c r="BP14" s="167"/>
      <c r="BQ14" s="167"/>
      <c r="BR14" s="167"/>
      <c r="BS14" s="64"/>
      <c r="BT14" s="64"/>
      <c r="BU14" s="64"/>
      <c r="BV14" s="64"/>
      <c r="BW14" s="64"/>
      <c r="BX14" s="64"/>
      <c r="BY14" s="64"/>
      <c r="BZ14" s="64"/>
      <c r="CA14" s="64"/>
      <c r="CB14" s="64"/>
    </row>
    <row r="15" s="63" customFormat="1" ht="15" customHeight="1">
      <c r="A15" s="113"/>
      <c r="B15" s="53"/>
      <c r="C15" s="168"/>
      <c r="D15" s="169"/>
      <c r="E15" s="170"/>
      <c r="F15" s="171"/>
      <c r="G15" s="172" t="s">
        <v>102</v>
      </c>
      <c r="H15" s="173"/>
      <c r="I15" s="174"/>
      <c r="J15" s="57"/>
      <c r="K15" s="57"/>
      <c r="L15" s="57"/>
      <c r="M15" s="57"/>
      <c r="N15" s="129"/>
      <c r="O15" s="57"/>
      <c r="P15" s="53"/>
      <c r="Q15" s="53"/>
      <c r="R15" s="166"/>
      <c r="S15" s="53"/>
      <c r="T15" s="53"/>
      <c r="U15" s="53"/>
      <c r="V15" s="64"/>
      <c r="W15" s="64"/>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67"/>
      <c r="AV15" s="167"/>
      <c r="AW15" s="167"/>
      <c r="AX15" s="167"/>
      <c r="AY15" s="167"/>
      <c r="AZ15" s="167"/>
      <c r="BA15" s="167"/>
      <c r="BB15" s="167"/>
      <c r="BC15" s="167"/>
      <c r="BD15" s="167"/>
      <c r="BE15" s="167"/>
      <c r="BF15" s="167"/>
      <c r="BG15" s="167"/>
      <c r="BH15" s="167"/>
      <c r="BI15" s="167"/>
      <c r="BJ15" s="167"/>
      <c r="BK15" s="167"/>
      <c r="BL15" s="167"/>
      <c r="BM15" s="167"/>
      <c r="BN15" s="167"/>
      <c r="BO15" s="167"/>
      <c r="BP15" s="167"/>
      <c r="BQ15" s="167"/>
      <c r="BR15" s="167"/>
      <c r="BS15" s="64"/>
      <c r="BT15" s="64"/>
      <c r="BU15" s="64"/>
      <c r="BV15" s="64"/>
      <c r="BW15" s="64"/>
      <c r="BX15" s="64"/>
      <c r="BY15" s="64"/>
      <c r="BZ15" s="64"/>
      <c r="CA15" s="64"/>
      <c r="CB15" s="64"/>
    </row>
    <row r="17" s="1141" customFormat="1" ht="17.25" customHeight="1">
      <c r="A17" s="1141" t="s">
        <v>1913</v>
      </c>
    </row>
    <row r="19" s="63" customFormat="1" ht="15" customHeight="1">
      <c r="A19" s="113"/>
      <c r="B19" s="53">
        <v>1</v>
      </c>
      <c r="C19" s="53"/>
      <c r="D19" s="161" t="s">
        <v>693</v>
      </c>
      <c r="E19" s="157"/>
      <c r="F19" s="507">
        <f>$F$20</f>
        <v>0</v>
      </c>
      <c r="G19" s="1143"/>
      <c r="H19" s="1143"/>
      <c r="I19" s="1144"/>
      <c r="J19" s="129"/>
      <c r="K19" s="57"/>
      <c r="L19" s="57"/>
      <c r="M19" s="129" t="str">
        <f t="array" ref="M19">IF(ISERROR(MATCH(MID(N19,1,250),MID(note_ter,1,250),0)),"n","y")</f>
        <v>n</v>
      </c>
      <c r="N19" s="57"/>
      <c r="O19" s="129" t="str">
        <f>H19&amp;"("&amp;I19&amp;")"</f>
        <v>()</v>
      </c>
      <c r="P19" s="53"/>
      <c r="Q19" s="53"/>
      <c r="R19" s="166"/>
      <c r="S19" s="53"/>
      <c r="T19" s="53"/>
      <c r="U19" s="53"/>
      <c r="V19" s="64"/>
      <c r="W19" s="64"/>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67"/>
      <c r="AV19" s="167"/>
      <c r="AW19" s="167"/>
      <c r="AX19" s="167"/>
      <c r="AY19" s="167"/>
      <c r="AZ19" s="167"/>
      <c r="BA19" s="167"/>
      <c r="BB19" s="167"/>
      <c r="BC19" s="167"/>
      <c r="BD19" s="167"/>
      <c r="BE19" s="167"/>
      <c r="BF19" s="167"/>
      <c r="BG19" s="167"/>
      <c r="BH19" s="167"/>
      <c r="BI19" s="167"/>
      <c r="BJ19" s="167"/>
      <c r="BK19" s="167"/>
      <c r="BL19" s="167"/>
      <c r="BM19" s="167"/>
      <c r="BN19" s="167"/>
      <c r="BO19" s="167"/>
      <c r="BP19" s="167"/>
      <c r="BQ19" s="167"/>
      <c r="BR19" s="167"/>
      <c r="BS19" s="64"/>
      <c r="BT19" s="64"/>
      <c r="BU19" s="64"/>
      <c r="BV19" s="64"/>
      <c r="BW19" s="64"/>
      <c r="BX19" s="64"/>
      <c r="BY19" s="64"/>
      <c r="BZ19" s="64"/>
      <c r="CA19" s="64"/>
      <c r="CB19" s="64"/>
    </row>
    <row r="21" s="63" customFormat="1" ht="15" customHeight="1">
      <c r="A21" s="1141" t="s">
        <v>1914</v>
      </c>
      <c r="B21" s="1141"/>
      <c r="C21" s="1141"/>
      <c r="D21" s="1141"/>
      <c r="E21" s="1141"/>
      <c r="F21" s="1141"/>
      <c r="G21" s="1141"/>
      <c r="H21" s="1141"/>
      <c r="I21" s="1141"/>
      <c r="J21" s="1141"/>
      <c r="K21" s="1141"/>
      <c r="L21" s="1141"/>
      <c r="M21" s="1141"/>
      <c r="N21" s="1141"/>
      <c r="O21" s="1141"/>
      <c r="P21" s="1141"/>
      <c r="Q21" s="1141"/>
      <c r="R21" s="1141"/>
      <c r="S21" s="1141"/>
      <c r="T21" s="1141"/>
      <c r="U21" s="1145"/>
      <c r="V21" s="1141"/>
      <c r="W21" s="1141"/>
    </row>
    <row r="22" s="63" customFormat="1" ht="15" customHeight="1">
      <c r="U22" s="1146"/>
    </row>
    <row r="23" s="184" customFormat="1" ht="15" customHeight="1">
      <c r="A23" s="63"/>
      <c r="B23" s="63"/>
      <c r="C23" s="885" t="s">
        <v>693</v>
      </c>
      <c r="D23" s="218" t="s">
        <v>109</v>
      </c>
      <c r="E23" s="219"/>
      <c r="F23" s="224" t="s">
        <v>19</v>
      </c>
      <c r="G23" s="1147"/>
      <c r="H23" s="157">
        <v>1</v>
      </c>
      <c r="I23" s="1148" t="str">
        <f>IF(U23="","",INDEX(TERRITORY_MR_LIST,MATCH(U23,TERRITORY_LIST_ID,0)))</f>
        <v/>
      </c>
      <c r="J23" s="224" t="s">
        <v>19</v>
      </c>
      <c r="K23" s="1149"/>
      <c r="L23" s="218" t="s">
        <v>109</v>
      </c>
      <c r="M23" s="226"/>
      <c r="N23" s="151"/>
      <c r="O23" s="151"/>
      <c r="P23" s="151"/>
      <c r="Q23" s="151"/>
      <c r="R23" s="151"/>
      <c r="S23" s="151"/>
      <c r="T23" s="151"/>
      <c r="U23" s="1150"/>
      <c r="V23" s="151"/>
      <c r="W23" s="151"/>
      <c r="X23" s="151"/>
      <c r="Y23" s="151" t="s">
        <v>118</v>
      </c>
      <c r="Z23" s="151">
        <v>1705000</v>
      </c>
      <c r="AA23" s="151"/>
      <c r="AB23" s="151"/>
      <c r="AC23" s="151"/>
      <c r="AD23" s="151"/>
      <c r="AE23" s="151"/>
      <c r="AF23" s="151"/>
      <c r="AG23" s="151"/>
      <c r="AH23" s="151"/>
      <c r="AI23" s="151"/>
      <c r="AJ23" s="151"/>
      <c r="AK23" s="151"/>
      <c r="AL23" s="151"/>
    </row>
    <row r="24" s="184" customFormat="1" ht="15" customHeight="1">
      <c r="A24" s="63"/>
      <c r="B24" s="63"/>
      <c r="C24" s="149"/>
      <c r="D24" s="218"/>
      <c r="E24" s="227"/>
      <c r="F24" s="224"/>
      <c r="G24" s="1151"/>
      <c r="H24" s="157"/>
      <c r="I24" s="1152"/>
      <c r="J24" s="224"/>
      <c r="K24" s="170"/>
      <c r="L24" s="171"/>
      <c r="M24" s="229" t="s">
        <v>119</v>
      </c>
      <c r="N24" s="151"/>
      <c r="O24" s="151"/>
      <c r="P24" s="151"/>
      <c r="Q24" s="151"/>
      <c r="R24" s="151"/>
      <c r="S24" s="151"/>
      <c r="T24" s="151"/>
      <c r="U24" s="1150"/>
      <c r="V24" s="151"/>
      <c r="W24" s="151"/>
      <c r="X24" s="151"/>
      <c r="Y24" s="151"/>
      <c r="Z24" s="151"/>
      <c r="AA24" s="151"/>
      <c r="AB24" s="151"/>
      <c r="AC24" s="151"/>
      <c r="AD24" s="151"/>
      <c r="AE24" s="151"/>
      <c r="AF24" s="151"/>
      <c r="AG24" s="151"/>
      <c r="AH24" s="151"/>
      <c r="AI24" s="151"/>
      <c r="AJ24" s="151"/>
      <c r="AK24" s="151"/>
      <c r="AL24" s="151"/>
    </row>
    <row r="25" s="184" customFormat="1" ht="15" customHeight="1">
      <c r="A25" s="63"/>
      <c r="B25" s="63"/>
      <c r="C25" s="149"/>
      <c r="D25" s="218"/>
      <c r="E25" s="230"/>
      <c r="F25" s="224"/>
      <c r="G25" s="170"/>
      <c r="H25" s="171"/>
      <c r="I25" s="172" t="s">
        <v>120</v>
      </c>
      <c r="J25" s="171"/>
      <c r="K25" s="171"/>
      <c r="L25" s="171"/>
      <c r="M25" s="233"/>
      <c r="N25" s="151"/>
      <c r="O25" s="151"/>
      <c r="P25" s="151"/>
      <c r="Q25" s="151"/>
      <c r="R25" s="151"/>
      <c r="S25" s="151"/>
      <c r="T25" s="151"/>
      <c r="U25" s="1150"/>
      <c r="V25" s="151"/>
      <c r="W25" s="151"/>
      <c r="X25" s="151"/>
      <c r="Y25" s="151"/>
      <c r="Z25" s="151"/>
      <c r="AA25" s="151"/>
      <c r="AB25" s="151"/>
      <c r="AC25" s="151"/>
      <c r="AD25" s="151"/>
      <c r="AE25" s="151"/>
      <c r="AF25" s="151"/>
      <c r="AG25" s="151"/>
      <c r="AH25" s="151"/>
      <c r="AI25" s="151"/>
      <c r="AJ25" s="151"/>
      <c r="AK25" s="151"/>
      <c r="AL25" s="151"/>
    </row>
    <row r="26" s="63" customFormat="1" ht="15" customHeight="1">
      <c r="U26" s="1146"/>
    </row>
    <row r="27" s="63" customFormat="1" ht="15" customHeight="1">
      <c r="A27" s="1141" t="s">
        <v>1915</v>
      </c>
      <c r="B27" s="1141"/>
      <c r="C27" s="1141"/>
      <c r="D27" s="1141"/>
      <c r="E27" s="1141"/>
      <c r="F27" s="1141"/>
      <c r="G27" s="1141"/>
      <c r="H27" s="1141"/>
      <c r="I27" s="1141"/>
      <c r="J27" s="1141"/>
      <c r="K27" s="1141"/>
      <c r="L27" s="1141"/>
      <c r="M27" s="1141"/>
      <c r="N27" s="1141"/>
      <c r="O27" s="1141"/>
      <c r="P27" s="1141"/>
      <c r="Q27" s="1141"/>
      <c r="R27" s="1141"/>
      <c r="S27" s="1141"/>
      <c r="T27" s="1141"/>
      <c r="U27" s="1145"/>
      <c r="V27" s="1141"/>
      <c r="W27" s="1141"/>
    </row>
    <row r="28" s="63" customFormat="1" ht="15" customHeight="1">
      <c r="U28" s="1146"/>
    </row>
    <row r="29" s="184" customFormat="1" ht="15" customHeight="1">
      <c r="A29" s="63"/>
      <c r="B29" s="63"/>
      <c r="C29" s="149"/>
      <c r="D29" s="274"/>
      <c r="E29" s="274"/>
      <c r="F29" s="274"/>
      <c r="G29" s="1153" t="s">
        <v>693</v>
      </c>
      <c r="H29" s="72">
        <v>1</v>
      </c>
      <c r="I29" s="115" t="str">
        <f>IF(U29="","",INDEX(TERRITORY_MR_LIST,MATCH(U29,TERRITORY_LIST_ID,0)))</f>
        <v/>
      </c>
      <c r="J29" s="224" t="s">
        <v>19</v>
      </c>
      <c r="K29" s="1149"/>
      <c r="L29" s="218" t="s">
        <v>109</v>
      </c>
      <c r="M29" s="226"/>
      <c r="N29" s="151"/>
      <c r="O29" s="151"/>
      <c r="P29" s="151"/>
      <c r="Q29" s="151"/>
      <c r="R29" s="151"/>
      <c r="S29" s="151"/>
      <c r="T29" s="151"/>
      <c r="U29" s="1150"/>
      <c r="V29" s="151"/>
      <c r="W29" s="151"/>
      <c r="X29" s="151"/>
      <c r="Y29" s="151" t="s">
        <v>118</v>
      </c>
      <c r="Z29" s="151">
        <v>1705000</v>
      </c>
      <c r="AA29" s="151"/>
      <c r="AB29" s="151"/>
      <c r="AC29" s="151"/>
      <c r="AD29" s="151"/>
      <c r="AE29" s="151"/>
      <c r="AF29" s="151"/>
      <c r="AG29" s="151"/>
      <c r="AH29" s="151"/>
      <c r="AI29" s="151"/>
      <c r="AJ29" s="151"/>
      <c r="AK29" s="151"/>
      <c r="AL29" s="151"/>
    </row>
    <row r="30" s="184" customFormat="1" ht="15" customHeight="1">
      <c r="A30" s="63"/>
      <c r="B30" s="63"/>
      <c r="C30" s="149"/>
      <c r="D30" s="274"/>
      <c r="E30" s="274"/>
      <c r="F30" s="274"/>
      <c r="G30" s="1153"/>
      <c r="H30" s="72"/>
      <c r="I30" s="115"/>
      <c r="J30" s="224"/>
      <c r="K30" s="170"/>
      <c r="L30" s="171"/>
      <c r="M30" s="229" t="s">
        <v>119</v>
      </c>
      <c r="N30" s="151"/>
      <c r="O30" s="151"/>
      <c r="P30" s="151"/>
      <c r="Q30" s="151"/>
      <c r="R30" s="151"/>
      <c r="S30" s="151"/>
      <c r="T30" s="151"/>
      <c r="U30" s="1150"/>
      <c r="V30" s="151"/>
      <c r="W30" s="151"/>
      <c r="X30" s="151"/>
      <c r="Y30" s="151"/>
      <c r="Z30" s="151"/>
      <c r="AA30" s="151"/>
      <c r="AB30" s="151"/>
      <c r="AC30" s="151"/>
      <c r="AD30" s="151"/>
      <c r="AE30" s="151"/>
      <c r="AF30" s="151"/>
      <c r="AG30" s="151"/>
      <c r="AH30" s="151"/>
      <c r="AI30" s="151"/>
      <c r="AJ30" s="151"/>
      <c r="AK30" s="151"/>
      <c r="AL30" s="151"/>
    </row>
    <row r="31" s="63" customFormat="1" ht="15" customHeight="1">
      <c r="U31" s="1146"/>
    </row>
    <row r="32" s="63" customFormat="1" ht="15" customHeight="1">
      <c r="A32" s="1141" t="s">
        <v>1916</v>
      </c>
      <c r="B32" s="1141"/>
      <c r="C32" s="1141"/>
      <c r="D32" s="1141"/>
      <c r="E32" s="1141"/>
      <c r="F32" s="1141"/>
      <c r="G32" s="1141"/>
      <c r="H32" s="1141"/>
      <c r="I32" s="1141"/>
      <c r="J32" s="1141"/>
      <c r="K32" s="1141"/>
      <c r="L32" s="1141"/>
      <c r="M32" s="1141"/>
      <c r="N32" s="1141"/>
      <c r="O32" s="1141"/>
      <c r="P32" s="1141"/>
      <c r="Q32" s="1141"/>
      <c r="R32" s="1141"/>
      <c r="S32" s="1141"/>
      <c r="T32" s="1141"/>
      <c r="U32" s="1145"/>
      <c r="V32" s="1141"/>
      <c r="W32" s="1141"/>
    </row>
    <row r="33" s="63" customFormat="1" ht="15" customHeight="1">
      <c r="U33" s="1146"/>
    </row>
    <row r="34" s="184" customFormat="1" ht="15" customHeight="1">
      <c r="A34" s="63"/>
      <c r="B34" s="63"/>
      <c r="C34" s="149"/>
      <c r="D34" s="274"/>
      <c r="E34" s="274"/>
      <c r="F34" s="274"/>
      <c r="G34" s="274"/>
      <c r="H34" s="274"/>
      <c r="I34" s="274"/>
      <c r="J34" s="274"/>
      <c r="K34" s="1153" t="s">
        <v>693</v>
      </c>
      <c r="L34" s="946" t="s">
        <v>109</v>
      </c>
      <c r="M34" s="1154"/>
      <c r="N34" s="205"/>
      <c r="O34" s="151"/>
      <c r="P34" s="151"/>
      <c r="Q34" s="151"/>
      <c r="R34" s="151"/>
      <c r="S34" s="151"/>
      <c r="T34" s="151"/>
      <c r="U34" s="1150"/>
      <c r="V34" s="151"/>
      <c r="W34" s="151"/>
      <c r="X34" s="151"/>
      <c r="Y34" s="151" t="s">
        <v>118</v>
      </c>
      <c r="Z34" s="151">
        <v>1705000</v>
      </c>
      <c r="AA34" s="151"/>
      <c r="AB34" s="151"/>
      <c r="AC34" s="151"/>
      <c r="AD34" s="151"/>
      <c r="AE34" s="151"/>
      <c r="AF34" s="151"/>
      <c r="AG34" s="151"/>
      <c r="AH34" s="151"/>
      <c r="AI34" s="151"/>
      <c r="AJ34" s="151"/>
      <c r="AK34" s="151"/>
      <c r="AL34" s="151"/>
    </row>
    <row r="35" s="63" customFormat="1" ht="15" customHeight="1">
      <c r="U35" s="1146"/>
    </row>
    <row r="36" s="63" customFormat="1" ht="15" customHeight="1">
      <c r="U36" s="1146"/>
    </row>
    <row r="37" s="1141" customFormat="1" ht="11.25" customHeight="1">
      <c r="A37" s="1141" t="s">
        <v>1917</v>
      </c>
    </row>
    <row r="38" ht="11.25" customHeight="1"/>
    <row r="39" s="346" customFormat="1" ht="22.5" customHeight="1">
      <c r="A39" s="369"/>
      <c r="B39" s="91"/>
      <c r="C39" s="1155"/>
      <c r="D39" s="372"/>
      <c r="E39" s="392"/>
      <c r="F39" s="399"/>
      <c r="G39" s="274"/>
      <c r="H39" s="363"/>
    </row>
    <row r="40" ht="11.25" customHeight="1"/>
    <row r="41" s="1141" customFormat="1" ht="11.25" customHeight="1">
      <c r="A41" s="1141" t="s">
        <v>1918</v>
      </c>
    </row>
    <row r="42" ht="11.25" customHeight="1"/>
    <row r="43" s="346" customFormat="1" ht="22.5" customHeight="1">
      <c r="A43" s="91"/>
      <c r="B43" s="91"/>
      <c r="C43" s="91"/>
      <c r="D43" s="372"/>
      <c r="E43" s="392"/>
      <c r="F43" s="393"/>
      <c r="G43" s="274"/>
      <c r="H43" s="363"/>
    </row>
    <row r="44" ht="11.25" customHeight="1"/>
    <row r="45" s="1141" customFormat="1" ht="11.25" customHeight="1">
      <c r="A45" s="1141" t="s">
        <v>1919</v>
      </c>
    </row>
    <row r="46" ht="11.25" customHeight="1"/>
    <row r="47" s="346" customFormat="1" ht="24" customHeight="1">
      <c r="A47" s="369" t="s">
        <v>318</v>
      </c>
      <c r="B47" s="353"/>
      <c r="C47" s="370"/>
      <c r="D47" s="364" t="str">
        <f>A47</f>
        <v>5.1</v>
      </c>
      <c r="E47" s="367" t="s">
        <v>319</v>
      </c>
      <c r="F47" s="246" t="s">
        <v>311</v>
      </c>
      <c r="G47" s="365" t="s">
        <v>320</v>
      </c>
      <c r="H47" s="363"/>
      <c r="I47" s="371"/>
    </row>
    <row r="48" s="346" customFormat="1" ht="22.5" customHeight="1">
      <c r="A48" s="369"/>
      <c r="B48" s="353"/>
      <c r="C48" s="370"/>
      <c r="D48" s="372" t="str">
        <f>D47&amp;".1"</f>
        <v>5.1.1</v>
      </c>
      <c r="E48" s="373" t="s">
        <v>321</v>
      </c>
      <c r="F48" s="295" t="s">
        <v>28</v>
      </c>
      <c r="G48" s="366"/>
      <c r="H48" s="363"/>
      <c r="I48" s="371"/>
    </row>
    <row r="49" s="346" customFormat="1" ht="22.5" customHeight="1">
      <c r="A49" s="369"/>
      <c r="B49" s="353"/>
      <c r="C49" s="370"/>
      <c r="D49" s="372" t="str">
        <f>D47&amp;".2"</f>
        <v>5.1.2</v>
      </c>
      <c r="E49" s="373" t="s">
        <v>322</v>
      </c>
      <c r="F49" s="89" t="s">
        <v>28</v>
      </c>
      <c r="G49" s="365" t="s">
        <v>323</v>
      </c>
      <c r="H49" s="363"/>
      <c r="I49" s="371"/>
    </row>
    <row r="50" s="346" customFormat="1" ht="22.5" customHeight="1">
      <c r="A50" s="369"/>
      <c r="B50" s="353"/>
      <c r="C50" s="370"/>
      <c r="D50" s="372" t="str">
        <f>D47&amp;".3"</f>
        <v>5.1.3</v>
      </c>
      <c r="E50" s="373" t="s">
        <v>324</v>
      </c>
      <c r="F50" s="295" t="s">
        <v>28</v>
      </c>
      <c r="G50" s="366"/>
      <c r="H50" s="363"/>
      <c r="I50" s="371"/>
    </row>
    <row r="51" s="346" customFormat="1" ht="22.5" customHeight="1">
      <c r="A51" s="369"/>
      <c r="B51" s="353"/>
      <c r="C51" s="370"/>
      <c r="D51" s="372" t="str">
        <f>D47&amp;".4"</f>
        <v>5.1.4</v>
      </c>
      <c r="E51" s="373" t="s">
        <v>325</v>
      </c>
      <c r="F51" s="295" t="s">
        <v>28</v>
      </c>
      <c r="G51" s="365" t="s">
        <v>326</v>
      </c>
      <c r="H51" s="363"/>
      <c r="I51" s="371"/>
    </row>
    <row r="54" s="1141" customFormat="1" ht="17.25" customHeight="1">
      <c r="A54" s="1141" t="s">
        <v>1920</v>
      </c>
    </row>
    <row r="56" s="65" customFormat="1" ht="18.75" customHeight="1">
      <c r="A56" s="63"/>
      <c r="B56" s="143"/>
      <c r="C56" s="143"/>
      <c r="D56" s="475"/>
      <c r="E56" s="835"/>
      <c r="F56" s="1156">
        <v>13</v>
      </c>
      <c r="G56" s="1157"/>
      <c r="H56" s="164"/>
      <c r="I56" s="165"/>
      <c r="J56" s="478" t="s">
        <v>19</v>
      </c>
      <c r="K56" s="1158" t="s">
        <v>28</v>
      </c>
      <c r="L56" s="63"/>
      <c r="M56" s="57"/>
      <c r="N56" s="57"/>
      <c r="O56" s="57"/>
      <c r="P56" s="473" t="s">
        <v>397</v>
      </c>
      <c r="Q56" s="473" t="s">
        <v>398</v>
      </c>
      <c r="R56" s="474" t="s">
        <v>399</v>
      </c>
      <c r="S56" s="57" t="s">
        <v>400</v>
      </c>
      <c r="T56" s="57"/>
      <c r="U56" s="57"/>
      <c r="V56" s="57"/>
    </row>
    <row r="58" s="1141" customFormat="1" ht="11.25" customHeight="1">
      <c r="A58" s="1141" t="s">
        <v>1921</v>
      </c>
    </row>
    <row r="60" s="50" customFormat="1" ht="14.25" customHeight="1">
      <c r="C60" s="391"/>
      <c r="D60" s="439"/>
      <c r="E60" s="386" t="s">
        <v>28</v>
      </c>
      <c r="F60" s="440"/>
      <c r="G60" s="441"/>
      <c r="H60" s="442"/>
      <c r="I60" s="442"/>
      <c r="J60" s="443"/>
      <c r="K60" s="444"/>
      <c r="L60" s="445"/>
      <c r="M60" s="444"/>
      <c r="N60" s="443"/>
      <c r="O60" s="444"/>
      <c r="P60" s="443"/>
      <c r="Q60" s="444"/>
      <c r="R60" s="443"/>
      <c r="S60" s="446"/>
      <c r="T60" s="442"/>
      <c r="U60" s="443"/>
      <c r="V60" s="443"/>
      <c r="W60" s="430"/>
      <c r="X60" s="442"/>
      <c r="Y60" s="443"/>
      <c r="Z60" s="443"/>
      <c r="AA60" s="430"/>
      <c r="AB60" s="442"/>
      <c r="AC60" s="443"/>
      <c r="AD60" s="430"/>
      <c r="AE60" s="63"/>
      <c r="AF60" s="63"/>
      <c r="AG60" s="63"/>
      <c r="AH60" s="63"/>
      <c r="AJ60" s="57"/>
      <c r="AK60" s="57"/>
      <c r="AL60" s="57"/>
      <c r="AM60" s="57"/>
      <c r="AN60" s="57"/>
      <c r="AO60" s="57"/>
      <c r="AP60" s="129" t="s">
        <v>386</v>
      </c>
      <c r="AQ60" s="129" t="s">
        <v>386</v>
      </c>
      <c r="AR60" s="57"/>
      <c r="AS60" s="57"/>
    </row>
    <row r="62" s="1141" customFormat="1" ht="11.25" customHeight="1">
      <c r="A62" s="1141" t="s">
        <v>1922</v>
      </c>
    </row>
    <row r="64" s="143" customFormat="1" ht="15" customHeight="1">
      <c r="A64" s="64" t="s">
        <v>91</v>
      </c>
      <c r="B64" s="143" t="s">
        <v>28</v>
      </c>
      <c r="C64" s="335"/>
      <c r="D64" s="218"/>
      <c r="E64" s="457"/>
      <c r="F64" s="457"/>
      <c r="G64" s="519"/>
      <c r="H64" s="1159"/>
      <c r="I64" s="522"/>
      <c r="K64" s="1128"/>
      <c r="L64" s="167"/>
    </row>
    <row r="66" s="1141" customFormat="1" ht="11.25" customHeight="1">
      <c r="A66" s="1141" t="s">
        <v>1923</v>
      </c>
    </row>
    <row r="68" s="50" customFormat="1" ht="14.25" customHeight="1">
      <c r="A68" s="143"/>
      <c r="B68" s="53"/>
      <c r="C68" s="548"/>
      <c r="D68" s="355"/>
      <c r="E68" s="1160"/>
      <c r="F68" s="1159"/>
      <c r="G68" s="63"/>
      <c r="I68" s="129"/>
      <c r="J68" s="129"/>
    </row>
    <row r="70" s="1141" customFormat="1" ht="11.25" customHeight="1">
      <c r="A70" s="1141" t="s">
        <v>1924</v>
      </c>
    </row>
    <row r="72" s="50" customFormat="1" ht="27" customHeight="1">
      <c r="A72" s="124"/>
      <c r="B72" s="124"/>
      <c r="C72" s="124"/>
      <c r="D72" s="53"/>
      <c r="E72" s="1161"/>
      <c r="F72" s="1162"/>
      <c r="G72" s="1163"/>
      <c r="H72" s="1164" t="s">
        <v>67</v>
      </c>
      <c r="I72" s="1165"/>
      <c r="J72" s="1166"/>
      <c r="K72" s="1167"/>
      <c r="L72" s="1168"/>
      <c r="M72" s="1168"/>
      <c r="N72" s="1169"/>
      <c r="O72" s="1169"/>
      <c r="P72" s="1170" t="e">
        <f>DATEDIF(DATEVALUE(N72),DATEVALUE(O72),"y")&amp;"г. "&amp;DATEDIF(DATEVALUE(N72),DATEVALUE(O72),"ym")&amp;"мес. "&amp;DATEVALUE(O72)-DATE(YEAR(DATEVALUE(O72)),MONTH(DATEVALUE(O72)),1)&amp;"дн. "</f>
        <v>#VALUE!</v>
      </c>
      <c r="Q72" s="1171"/>
      <c r="R72" s="1171"/>
      <c r="S72" s="1171"/>
      <c r="T72" s="1166"/>
      <c r="U72" s="1171"/>
      <c r="V72" s="1171"/>
      <c r="W72" s="1171"/>
      <c r="X72" s="1166"/>
      <c r="Y72" s="1172" t="s">
        <v>67</v>
      </c>
      <c r="Z72" s="319"/>
      <c r="AA72" s="157">
        <v>1</v>
      </c>
      <c r="AB72" s="1173"/>
      <c r="AD72" s="57" t="s">
        <v>1925</v>
      </c>
    </row>
    <row r="73" s="50" customFormat="1" ht="10.5" customHeight="1">
      <c r="A73" s="124"/>
      <c r="B73" s="124"/>
      <c r="C73" s="124"/>
      <c r="D73" s="53"/>
      <c r="E73" s="1174"/>
      <c r="F73" s="1162"/>
      <c r="G73" s="1163"/>
      <c r="H73" s="1175"/>
      <c r="I73" s="1176"/>
      <c r="J73" s="1177"/>
      <c r="K73" s="1167"/>
      <c r="L73" s="1168"/>
      <c r="M73" s="1168"/>
      <c r="N73" s="1169"/>
      <c r="O73" s="1169"/>
      <c r="P73" s="1170"/>
      <c r="Q73" s="1171"/>
      <c r="R73" s="1171"/>
      <c r="S73" s="1171"/>
      <c r="T73" s="1177"/>
      <c r="U73" s="1171"/>
      <c r="V73" s="1171"/>
      <c r="W73" s="1171"/>
      <c r="X73" s="1177"/>
      <c r="Y73" s="1178"/>
      <c r="Z73" s="841"/>
      <c r="AA73" s="751"/>
      <c r="AB73" s="229" t="s">
        <v>1926</v>
      </c>
    </row>
    <row r="75" s="1141" customFormat="1" ht="11.25" customHeight="1">
      <c r="A75" s="1141" t="s">
        <v>1927</v>
      </c>
    </row>
    <row r="77" s="50" customFormat="1" ht="27" customHeight="1">
      <c r="A77" s="124"/>
      <c r="B77" s="124"/>
      <c r="C77" s="124"/>
      <c r="D77" s="53"/>
      <c r="E77" s="1161"/>
      <c r="F77" s="1179"/>
      <c r="G77" s="1180"/>
      <c r="H77" s="1181"/>
      <c r="I77" s="1182"/>
      <c r="J77" s="1183"/>
      <c r="K77" s="1184"/>
      <c r="L77" s="1185"/>
      <c r="M77" s="1185"/>
      <c r="N77" s="1186"/>
      <c r="O77" s="1186"/>
      <c r="P77" s="1187"/>
      <c r="Q77" s="1188"/>
      <c r="R77" s="1188"/>
      <c r="S77" s="1188"/>
      <c r="T77" s="1183"/>
      <c r="U77" s="1188"/>
      <c r="V77" s="1188"/>
      <c r="W77" s="1188"/>
      <c r="X77" s="1183"/>
      <c r="Y77" s="1181"/>
      <c r="Z77" s="319"/>
      <c r="AA77" s="157">
        <v>1</v>
      </c>
      <c r="AB77" s="1173"/>
      <c r="AD77" s="57" t="s">
        <v>1925</v>
      </c>
    </row>
    <row r="79" s="1141" customFormat="1" ht="11.25" customHeight="1">
      <c r="A79" s="1141" t="s">
        <v>1928</v>
      </c>
    </row>
    <row r="80" ht="17.25" customHeight="1"/>
    <row r="81" s="50" customFormat="1" ht="21" customHeight="1">
      <c r="A81" s="540"/>
      <c r="B81" s="124"/>
      <c r="C81" s="124"/>
      <c r="D81" s="53"/>
      <c r="E81" s="91"/>
      <c r="F81" s="1189" t="e">
        <f>INDEX(IP_MAIN_LIST_NAME_IP,MATCH(A81,IP_MAIN_LIST_IP_ID,0))&amp;" ("&amp;INDEX(IP_MAIN_START_DATE,MATCH(A81,IP_MAIN_LIST_IP_ID,0))&amp;"-"&amp;INDEX(IP_MAIN_END_DATE,MATCH(A81,IP_MAIN_LIST_IP_ID,0))&amp;")"</f>
        <v>#VALUE!</v>
      </c>
      <c r="G81" s="1190"/>
      <c r="H81" s="1190"/>
      <c r="I81" s="1191"/>
      <c r="J81" s="1191"/>
      <c r="K81" s="1192"/>
      <c r="L81" s="1192"/>
      <c r="M81" s="1192"/>
      <c r="N81" s="1193"/>
      <c r="O81" s="1193"/>
      <c r="P81" s="1193"/>
      <c r="Q81" s="1193"/>
      <c r="R81" s="1193"/>
      <c r="S81" s="1193"/>
      <c r="T81" s="1193"/>
      <c r="U81" s="1193"/>
      <c r="V81" s="1193"/>
      <c r="W81" s="1193"/>
      <c r="X81" s="1193"/>
      <c r="Y81" s="1193"/>
      <c r="Z81" s="1193"/>
      <c r="AA81" s="1193"/>
      <c r="AB81" s="1193"/>
      <c r="AC81" s="1193"/>
      <c r="AD81" s="1193"/>
      <c r="AE81" s="1194"/>
      <c r="AF81" s="1192"/>
      <c r="AG81" s="1192"/>
      <c r="AH81" s="1192"/>
      <c r="AI81" s="1192"/>
      <c r="AJ81" s="1192"/>
      <c r="AK81" s="1192"/>
      <c r="AL81" s="917"/>
      <c r="AM81" s="143"/>
      <c r="AN81" s="143"/>
      <c r="AO81" s="143"/>
      <c r="AP81" s="143"/>
      <c r="AQ81" s="143"/>
      <c r="AR81" s="143"/>
      <c r="AS81" s="143"/>
      <c r="AT81" s="143"/>
      <c r="AU81" s="143"/>
      <c r="AV81" s="143"/>
      <c r="AW81" s="143"/>
      <c r="AX81" s="143"/>
      <c r="AY81" s="143"/>
      <c r="AZ81" s="143"/>
      <c r="BA81" s="143"/>
      <c r="BB81" s="143"/>
      <c r="BC81" s="143"/>
      <c r="BD81" s="143"/>
      <c r="BE81" s="143"/>
      <c r="BF81" s="143"/>
    </row>
    <row r="82" s="50" customFormat="1" ht="0.75" customHeight="1">
      <c r="A82" s="124"/>
      <c r="B82" s="124"/>
      <c r="C82" s="124"/>
      <c r="D82" s="53"/>
      <c r="E82" s="91"/>
      <c r="F82" s="1144"/>
      <c r="G82" s="946"/>
      <c r="H82" s="1195" t="s">
        <v>381</v>
      </c>
      <c r="I82" s="1196"/>
      <c r="J82" s="160"/>
      <c r="K82" s="160"/>
      <c r="L82" s="1197"/>
      <c r="M82" s="545"/>
      <c r="N82" s="1198"/>
      <c r="O82" s="1199"/>
      <c r="P82" s="1198"/>
      <c r="Q82" s="1198"/>
      <c r="R82" s="1198"/>
      <c r="S82" s="1198"/>
      <c r="T82" s="1198"/>
      <c r="U82" s="1198"/>
      <c r="V82" s="1198"/>
      <c r="W82" s="1198"/>
      <c r="X82" s="1198"/>
      <c r="Y82" s="1198"/>
      <c r="Z82" s="1198"/>
      <c r="AA82" s="1198"/>
      <c r="AB82" s="1198"/>
      <c r="AC82" s="1198"/>
      <c r="AD82" s="1198"/>
      <c r="AE82" s="1198"/>
      <c r="AF82" s="1200"/>
      <c r="AG82" s="1197"/>
      <c r="AH82" s="1197"/>
      <c r="AI82" s="1200"/>
      <c r="AJ82" s="1197"/>
      <c r="AK82" s="1197"/>
      <c r="AL82" s="917"/>
      <c r="AM82" s="143"/>
      <c r="AN82" s="143"/>
      <c r="AO82" s="143"/>
      <c r="AP82" s="143"/>
      <c r="AQ82" s="143"/>
      <c r="AR82" s="143"/>
      <c r="AS82" s="143"/>
      <c r="AT82" s="143"/>
      <c r="AU82" s="143"/>
      <c r="AV82" s="143"/>
      <c r="AW82" s="143"/>
      <c r="AX82" s="143"/>
      <c r="AY82" s="143"/>
      <c r="AZ82" s="143"/>
      <c r="BA82" s="143"/>
      <c r="BB82" s="143"/>
      <c r="BC82" s="143"/>
      <c r="BD82" s="143"/>
      <c r="BE82" s="143"/>
      <c r="BF82" s="143"/>
    </row>
    <row r="83" s="50" customFormat="1" ht="0.75" customHeight="1">
      <c r="A83" s="124"/>
      <c r="B83" s="124"/>
      <c r="C83" s="124"/>
      <c r="D83" s="53"/>
      <c r="E83" s="91"/>
      <c r="F83" s="1144"/>
      <c r="G83" s="946"/>
      <c r="H83" s="1195"/>
      <c r="I83" s="1196"/>
      <c r="J83" s="160"/>
      <c r="K83" s="160"/>
      <c r="L83" s="1197"/>
      <c r="M83" s="545"/>
      <c r="N83" s="1201"/>
      <c r="O83" s="1202"/>
      <c r="P83" s="1203"/>
      <c r="Q83" s="160"/>
      <c r="R83" s="160"/>
      <c r="S83" s="160"/>
      <c r="T83" s="160"/>
      <c r="U83" s="160"/>
      <c r="V83" s="160"/>
      <c r="W83" s="160"/>
      <c r="X83" s="160"/>
      <c r="Y83" s="160"/>
      <c r="Z83" s="1204"/>
      <c r="AA83" s="1205"/>
      <c r="AB83" s="1205"/>
      <c r="AC83" s="1206"/>
      <c r="AD83" s="1206"/>
      <c r="AE83" s="1207"/>
      <c r="AF83" s="1200"/>
      <c r="AG83" s="1197"/>
      <c r="AH83" s="1197"/>
      <c r="AI83" s="1200"/>
      <c r="AJ83" s="1197"/>
      <c r="AK83" s="1197"/>
      <c r="AL83" s="917"/>
      <c r="AM83" s="143"/>
      <c r="AN83" s="143"/>
      <c r="AO83" s="143"/>
      <c r="AP83" s="143"/>
      <c r="AQ83" s="143"/>
      <c r="AR83" s="143"/>
      <c r="AS83" s="143"/>
      <c r="AT83" s="143"/>
      <c r="AU83" s="143"/>
      <c r="AV83" s="143"/>
      <c r="AW83" s="143"/>
      <c r="AX83" s="143"/>
      <c r="AY83" s="143"/>
      <c r="AZ83" s="143"/>
      <c r="BA83" s="143"/>
      <c r="BB83" s="143"/>
      <c r="BC83" s="143"/>
      <c r="BD83" s="143"/>
      <c r="BE83" s="143"/>
      <c r="BF83" s="143"/>
    </row>
    <row r="84" s="50" customFormat="1" ht="0.75" customHeight="1">
      <c r="A84" s="124"/>
      <c r="B84" s="124"/>
      <c r="C84" s="124"/>
      <c r="D84" s="53"/>
      <c r="E84" s="91"/>
      <c r="F84" s="1144"/>
      <c r="G84" s="946"/>
      <c r="H84" s="1195"/>
      <c r="I84" s="1196"/>
      <c r="J84" s="160"/>
      <c r="K84" s="160"/>
      <c r="L84" s="1197"/>
      <c r="M84" s="545"/>
      <c r="N84" s="1201"/>
      <c r="O84" s="1202"/>
      <c r="P84" s="1208"/>
      <c r="Q84" s="160"/>
      <c r="R84" s="160"/>
      <c r="S84" s="160"/>
      <c r="T84" s="160"/>
      <c r="U84" s="160"/>
      <c r="V84" s="160"/>
      <c r="W84" s="160"/>
      <c r="X84" s="160"/>
      <c r="Y84" s="160"/>
      <c r="Z84" s="1209"/>
      <c r="AA84" s="1202"/>
      <c r="AB84" s="1210"/>
      <c r="AC84" s="1211"/>
      <c r="AD84" s="1210"/>
      <c r="AE84" s="1211"/>
      <c r="AF84" s="1200"/>
      <c r="AG84" s="1197"/>
      <c r="AH84" s="1197"/>
      <c r="AI84" s="1200"/>
      <c r="AJ84" s="1197"/>
      <c r="AK84" s="1197"/>
      <c r="AL84" s="917"/>
      <c r="AM84" s="143"/>
      <c r="AN84" s="143"/>
      <c r="AO84" s="143"/>
      <c r="AP84" s="143"/>
      <c r="AQ84" s="143"/>
      <c r="AR84" s="143"/>
      <c r="AS84" s="143"/>
      <c r="AT84" s="143"/>
      <c r="AU84" s="143"/>
      <c r="AV84" s="143"/>
      <c r="AW84" s="143"/>
      <c r="AX84" s="143"/>
      <c r="AY84" s="143"/>
      <c r="AZ84" s="143"/>
      <c r="BA84" s="143"/>
      <c r="BB84" s="143"/>
      <c r="BC84" s="143"/>
      <c r="BD84" s="143"/>
      <c r="BE84" s="143"/>
      <c r="BF84" s="143"/>
    </row>
    <row r="85" s="50" customFormat="1" ht="0.75" customHeight="1">
      <c r="A85" s="124"/>
      <c r="B85" s="124"/>
      <c r="C85" s="124"/>
      <c r="D85" s="53"/>
      <c r="E85" s="91"/>
      <c r="F85" s="1144"/>
      <c r="G85" s="946"/>
      <c r="H85" s="1195"/>
      <c r="I85" s="1196"/>
      <c r="J85" s="160"/>
      <c r="K85" s="160"/>
      <c r="L85" s="1197"/>
      <c r="M85" s="545"/>
      <c r="N85" s="1201"/>
      <c r="O85" s="1202"/>
      <c r="P85" s="1212"/>
      <c r="Q85" s="160"/>
      <c r="R85" s="160"/>
      <c r="S85" s="160"/>
      <c r="T85" s="160"/>
      <c r="U85" s="160"/>
      <c r="V85" s="160"/>
      <c r="W85" s="160"/>
      <c r="X85" s="160"/>
      <c r="Y85" s="160"/>
      <c r="Z85" s="1204"/>
      <c r="AA85" s="1205"/>
      <c r="AB85" s="1213"/>
      <c r="AC85" s="1206"/>
      <c r="AD85" s="1206"/>
      <c r="AE85" s="1214"/>
      <c r="AF85" s="1200"/>
      <c r="AG85" s="1197"/>
      <c r="AH85" s="1197"/>
      <c r="AI85" s="1200"/>
      <c r="AJ85" s="1197"/>
      <c r="AK85" s="1197"/>
      <c r="AL85" s="917"/>
      <c r="AM85" s="143"/>
      <c r="AN85" s="143"/>
      <c r="AO85" s="143"/>
      <c r="AP85" s="143"/>
      <c r="AQ85" s="143"/>
      <c r="AR85" s="143"/>
      <c r="AS85" s="143"/>
      <c r="AT85" s="143"/>
      <c r="AU85" s="143"/>
      <c r="AV85" s="143"/>
      <c r="AW85" s="143"/>
      <c r="AX85" s="143"/>
      <c r="AY85" s="143"/>
      <c r="AZ85" s="143"/>
      <c r="BA85" s="143"/>
      <c r="BB85" s="143"/>
      <c r="BC85" s="143"/>
      <c r="BD85" s="143"/>
      <c r="BE85" s="143"/>
      <c r="BF85" s="143"/>
    </row>
    <row r="86" s="50" customFormat="1" ht="0.75" customHeight="1">
      <c r="A86" s="124"/>
      <c r="B86" s="124"/>
      <c r="C86" s="124"/>
      <c r="D86" s="53"/>
      <c r="E86" s="91"/>
      <c r="F86" s="1144"/>
      <c r="G86" s="946"/>
      <c r="H86" s="1195"/>
      <c r="I86" s="1196"/>
      <c r="J86" s="160"/>
      <c r="K86" s="160"/>
      <c r="L86" s="1197"/>
      <c r="M86" s="545"/>
      <c r="N86" s="1205"/>
      <c r="O86" s="1205"/>
      <c r="P86" s="1213"/>
      <c r="Q86" s="1205"/>
      <c r="R86" s="1205"/>
      <c r="S86" s="1205"/>
      <c r="T86" s="1205"/>
      <c r="U86" s="1205"/>
      <c r="V86" s="1205"/>
      <c r="W86" s="1205"/>
      <c r="X86" s="1205"/>
      <c r="Y86" s="1205"/>
      <c r="Z86" s="1205"/>
      <c r="AA86" s="1205"/>
      <c r="AB86" s="1205"/>
      <c r="AC86" s="1205"/>
      <c r="AD86" s="1205"/>
      <c r="AE86" s="1215"/>
      <c r="AF86" s="1200"/>
      <c r="AG86" s="1197"/>
      <c r="AH86" s="1197"/>
      <c r="AI86" s="1200"/>
      <c r="AJ86" s="1197"/>
      <c r="AK86" s="1197"/>
      <c r="AL86" s="917"/>
      <c r="AM86" s="143"/>
      <c r="AN86" s="143"/>
      <c r="AO86" s="143"/>
      <c r="AP86" s="143"/>
      <c r="AQ86" s="143"/>
      <c r="AR86" s="143"/>
      <c r="AS86" s="143"/>
      <c r="AT86" s="143"/>
      <c r="AU86" s="143"/>
      <c r="AV86" s="143"/>
      <c r="AW86" s="143"/>
      <c r="AX86" s="143"/>
      <c r="AY86" s="143"/>
      <c r="AZ86" s="143"/>
      <c r="BA86" s="143"/>
      <c r="BB86" s="143"/>
      <c r="BC86" s="143"/>
      <c r="BD86" s="143"/>
      <c r="BE86" s="143"/>
      <c r="BF86" s="143"/>
    </row>
    <row r="87" s="50" customFormat="1" ht="12" customHeight="1">
      <c r="A87" s="124"/>
      <c r="B87" s="124"/>
      <c r="C87" s="124"/>
      <c r="D87" s="53"/>
      <c r="E87" s="91"/>
      <c r="F87" s="1216"/>
      <c r="G87" s="1217"/>
      <c r="H87" s="1217"/>
      <c r="I87" s="1218" t="s">
        <v>1929</v>
      </c>
      <c r="J87" s="1218"/>
      <c r="K87" s="1218"/>
      <c r="L87" s="1219"/>
      <c r="M87" s="1219"/>
      <c r="N87" s="1220"/>
      <c r="O87" s="1220"/>
      <c r="P87" s="1220"/>
      <c r="Q87" s="1220"/>
      <c r="R87" s="1220"/>
      <c r="S87" s="1220"/>
      <c r="T87" s="1220"/>
      <c r="U87" s="1220"/>
      <c r="V87" s="1220"/>
      <c r="W87" s="1220"/>
      <c r="X87" s="1220"/>
      <c r="Y87" s="1220"/>
      <c r="Z87" s="1220"/>
      <c r="AA87" s="1220"/>
      <c r="AB87" s="1220"/>
      <c r="AC87" s="1220"/>
      <c r="AD87" s="1220"/>
      <c r="AE87" s="1220"/>
      <c r="AF87" s="1220"/>
      <c r="AG87" s="1219"/>
      <c r="AH87" s="1219"/>
      <c r="AI87" s="1220"/>
      <c r="AJ87" s="1219"/>
      <c r="AK87" s="1220"/>
      <c r="AL87" s="917"/>
      <c r="AM87" s="143"/>
      <c r="AN87" s="143"/>
      <c r="AO87" s="143"/>
      <c r="AP87" s="143"/>
      <c r="AQ87" s="143"/>
      <c r="AR87" s="143"/>
      <c r="AS87" s="143"/>
      <c r="AT87" s="143"/>
      <c r="AU87" s="143"/>
      <c r="AV87" s="143"/>
      <c r="AW87" s="143"/>
      <c r="AX87" s="143"/>
      <c r="AY87" s="143"/>
      <c r="AZ87" s="143"/>
      <c r="BA87" s="143"/>
      <c r="BB87" s="143"/>
      <c r="BC87" s="143"/>
      <c r="BD87" s="143"/>
      <c r="BE87" s="143"/>
      <c r="BF87" s="143"/>
    </row>
    <row r="89" s="1141" customFormat="1" ht="11.25" customHeight="1">
      <c r="A89" s="1141" t="s">
        <v>1930</v>
      </c>
    </row>
    <row r="91" s="50" customFormat="1" ht="11.25" customHeight="1">
      <c r="A91" s="124"/>
      <c r="B91" s="124"/>
      <c r="C91" s="124"/>
      <c r="D91" s="53"/>
      <c r="E91" s="91"/>
      <c r="F91" s="1221"/>
      <c r="G91" s="1222"/>
      <c r="H91" s="1222"/>
      <c r="I91" s="1223"/>
      <c r="J91" s="1223"/>
      <c r="K91" s="1224"/>
      <c r="L91" s="1223"/>
      <c r="M91" s="1222"/>
      <c r="N91" s="1225"/>
      <c r="O91" s="1226">
        <v>1</v>
      </c>
      <c r="P91" s="1227" t="s">
        <v>19</v>
      </c>
      <c r="Q91" s="467" t="s">
        <v>28</v>
      </c>
      <c r="R91" s="467" t="s">
        <v>28</v>
      </c>
      <c r="S91" s="467" t="s">
        <v>28</v>
      </c>
      <c r="T91" s="467" t="s">
        <v>28</v>
      </c>
      <c r="U91" s="467" t="s">
        <v>28</v>
      </c>
      <c r="V91" s="467" t="s">
        <v>28</v>
      </c>
      <c r="W91" s="467" t="s">
        <v>28</v>
      </c>
      <c r="X91" s="467" t="s">
        <v>28</v>
      </c>
      <c r="Y91" s="467"/>
      <c r="Z91" s="1228"/>
      <c r="AA91" s="1229"/>
      <c r="AB91" s="1229"/>
      <c r="AC91" s="1230"/>
      <c r="AD91" s="1230"/>
      <c r="AE91" s="1230"/>
      <c r="AF91" s="1231"/>
      <c r="AG91" s="1232"/>
      <c r="AH91" s="1232"/>
      <c r="AI91" s="1231"/>
      <c r="AJ91" s="1232"/>
      <c r="AK91" s="1233"/>
      <c r="AL91" s="917"/>
      <c r="AM91" s="143"/>
      <c r="AN91" s="143"/>
      <c r="AO91" s="143"/>
      <c r="AP91" s="143"/>
      <c r="AQ91" s="143"/>
      <c r="AR91" s="143"/>
      <c r="AS91" s="143"/>
      <c r="AT91" s="143"/>
      <c r="AU91" s="143"/>
      <c r="AV91" s="143"/>
      <c r="AW91" s="143"/>
      <c r="AX91" s="143"/>
      <c r="AY91" s="143"/>
      <c r="AZ91" s="143"/>
      <c r="BA91" s="143"/>
      <c r="BB91" s="143"/>
      <c r="BC91" s="143"/>
      <c r="BD91" s="143"/>
      <c r="BE91" s="143"/>
      <c r="BF91" s="143"/>
    </row>
    <row r="92" s="50" customFormat="1" ht="11.25" customHeight="1">
      <c r="A92" s="124"/>
      <c r="B92" s="124"/>
      <c r="C92" s="124"/>
      <c r="D92" s="53"/>
      <c r="E92" s="91"/>
      <c r="F92" s="1221"/>
      <c r="G92" s="1222"/>
      <c r="H92" s="1222"/>
      <c r="I92" s="1234"/>
      <c r="J92" s="1234"/>
      <c r="K92" s="1224"/>
      <c r="L92" s="1234"/>
      <c r="M92" s="1222"/>
      <c r="N92" s="1225"/>
      <c r="O92" s="1226"/>
      <c r="P92" s="1235"/>
      <c r="Q92" s="467"/>
      <c r="R92" s="467"/>
      <c r="S92" s="1236"/>
      <c r="T92" s="467"/>
      <c r="U92" s="467"/>
      <c r="V92" s="467"/>
      <c r="W92" s="467"/>
      <c r="X92" s="467"/>
      <c r="Y92" s="467"/>
      <c r="Z92" s="1237"/>
      <c r="AA92" s="1226">
        <v>1</v>
      </c>
      <c r="AB92" s="1238"/>
      <c r="AC92" s="866"/>
      <c r="AD92" s="1238">
        <f>AB92</f>
        <v>0</v>
      </c>
      <c r="AE92" s="882"/>
      <c r="AF92" s="1224"/>
      <c r="AG92" s="1232"/>
      <c r="AH92" s="1232"/>
      <c r="AI92" s="1224"/>
      <c r="AJ92" s="1232"/>
      <c r="AK92" s="1233"/>
      <c r="AL92" s="917"/>
      <c r="AM92" s="143"/>
      <c r="AN92" s="143"/>
      <c r="AO92" s="143"/>
      <c r="AP92" s="143"/>
      <c r="AQ92" s="143"/>
      <c r="AR92" s="143"/>
      <c r="AS92" s="143"/>
      <c r="AT92" s="143"/>
      <c r="AU92" s="143"/>
      <c r="AV92" s="143"/>
      <c r="AW92" s="143"/>
      <c r="AX92" s="143"/>
      <c r="AY92" s="143"/>
      <c r="AZ92" s="143"/>
      <c r="BA92" s="143"/>
      <c r="BB92" s="143"/>
      <c r="BC92" s="143"/>
      <c r="BD92" s="143"/>
      <c r="BE92" s="143"/>
      <c r="BF92" s="143"/>
    </row>
    <row r="93" s="50" customFormat="1" ht="11.25" customHeight="1">
      <c r="A93" s="124"/>
      <c r="B93" s="124"/>
      <c r="C93" s="124"/>
      <c r="D93" s="53"/>
      <c r="E93" s="91"/>
      <c r="F93" s="1221"/>
      <c r="G93" s="1222"/>
      <c r="H93" s="1222"/>
      <c r="I93" s="1239"/>
      <c r="J93" s="1239"/>
      <c r="K93" s="1224"/>
      <c r="L93" s="1239"/>
      <c r="M93" s="1222"/>
      <c r="N93" s="1225"/>
      <c r="O93" s="1226"/>
      <c r="P93" s="1240"/>
      <c r="Q93" s="467"/>
      <c r="R93" s="467"/>
      <c r="S93" s="1236"/>
      <c r="T93" s="467"/>
      <c r="U93" s="467"/>
      <c r="V93" s="467"/>
      <c r="W93" s="467"/>
      <c r="X93" s="467"/>
      <c r="Y93" s="467"/>
      <c r="Z93" s="1228"/>
      <c r="AA93" s="1229"/>
      <c r="AB93" s="172" t="s">
        <v>1931</v>
      </c>
      <c r="AC93" s="1230"/>
      <c r="AD93" s="1230"/>
      <c r="AE93" s="1230"/>
      <c r="AF93" s="1241"/>
      <c r="AG93" s="1232"/>
      <c r="AH93" s="1232"/>
      <c r="AI93" s="1241"/>
      <c r="AJ93" s="1232"/>
      <c r="AK93" s="1233"/>
      <c r="AL93" s="917"/>
      <c r="AM93" s="143"/>
      <c r="AN93" s="143"/>
      <c r="AO93" s="143"/>
      <c r="AP93" s="143"/>
      <c r="AQ93" s="143"/>
      <c r="AR93" s="143"/>
      <c r="AS93" s="143"/>
      <c r="AT93" s="143"/>
      <c r="AU93" s="143"/>
      <c r="AV93" s="143"/>
      <c r="AW93" s="143"/>
      <c r="AX93" s="143"/>
      <c r="AY93" s="143"/>
      <c r="AZ93" s="143"/>
      <c r="BA93" s="143"/>
      <c r="BB93" s="143"/>
      <c r="BC93" s="143"/>
      <c r="BD93" s="143"/>
      <c r="BE93" s="143"/>
      <c r="BF93" s="143"/>
    </row>
    <row r="95" s="1141" customFormat="1" ht="11.25" customHeight="1">
      <c r="A95" s="1141" t="s">
        <v>1932</v>
      </c>
    </row>
    <row r="97" s="50" customFormat="1" ht="11.25" customHeight="1">
      <c r="A97" s="124"/>
      <c r="B97" s="124"/>
      <c r="C97" s="124"/>
      <c r="D97" s="53"/>
      <c r="E97" s="91"/>
      <c r="F97" s="1222"/>
      <c r="G97" s="1222"/>
      <c r="H97" s="1222"/>
      <c r="I97" s="1222"/>
      <c r="J97" s="1222"/>
      <c r="K97" s="1222"/>
      <c r="L97" s="1222"/>
      <c r="M97" s="1222"/>
      <c r="N97" s="1222"/>
      <c r="O97" s="1222"/>
      <c r="P97" s="1222"/>
      <c r="Q97" s="1222"/>
      <c r="R97" s="1222"/>
      <c r="S97" s="1222"/>
      <c r="T97" s="1222"/>
      <c r="U97" s="1222"/>
      <c r="V97" s="1222"/>
      <c r="W97" s="1222"/>
      <c r="X97" s="1222"/>
      <c r="Y97" s="1222"/>
      <c r="Z97" s="1242"/>
      <c r="AA97" s="1243">
        <v>1</v>
      </c>
      <c r="AB97" s="1238"/>
      <c r="AC97" s="866"/>
      <c r="AD97" s="1238">
        <f>AB97</f>
        <v>0</v>
      </c>
      <c r="AE97" s="866"/>
      <c r="AF97" s="1224"/>
      <c r="AG97" s="1232"/>
      <c r="AH97" s="1232"/>
      <c r="AI97" s="1224"/>
      <c r="AJ97" s="1232"/>
      <c r="AK97" s="1233"/>
      <c r="AL97" s="917"/>
      <c r="AM97" s="143"/>
      <c r="AN97" s="143"/>
      <c r="AO97" s="143"/>
      <c r="AP97" s="143"/>
      <c r="AQ97" s="143"/>
      <c r="AR97" s="143"/>
      <c r="AS97" s="143"/>
      <c r="AT97" s="143"/>
      <c r="AU97" s="143"/>
      <c r="AV97" s="143"/>
      <c r="AW97" s="143"/>
      <c r="AX97" s="143"/>
      <c r="AY97" s="143"/>
      <c r="AZ97" s="143"/>
      <c r="BA97" s="143"/>
      <c r="BB97" s="143"/>
      <c r="BC97" s="143"/>
      <c r="BD97" s="143"/>
      <c r="BE97" s="143"/>
      <c r="BF97" s="143"/>
    </row>
    <row r="99" s="1141" customFormat="1" ht="11.25" customHeight="1">
      <c r="A99" s="1141" t="s">
        <v>1933</v>
      </c>
    </row>
    <row r="101" s="50" customFormat="1" ht="11.25" customHeight="1">
      <c r="A101" s="124"/>
      <c r="B101" s="124"/>
      <c r="C101" s="124"/>
      <c r="D101" s="53"/>
      <c r="E101" s="91"/>
      <c r="F101" s="1221"/>
      <c r="G101" s="1222"/>
      <c r="H101" s="946" t="s">
        <v>109</v>
      </c>
      <c r="I101" s="1244"/>
      <c r="J101" s="397"/>
      <c r="K101" s="457"/>
      <c r="L101" s="224" t="s">
        <v>19</v>
      </c>
      <c r="M101" s="218"/>
      <c r="N101" s="1245"/>
      <c r="O101" s="1246" t="s">
        <v>381</v>
      </c>
      <c r="P101" s="1247"/>
      <c r="Q101" s="1247"/>
      <c r="R101" s="1247"/>
      <c r="S101" s="1247"/>
      <c r="T101" s="1247"/>
      <c r="U101" s="1247"/>
      <c r="V101" s="1247"/>
      <c r="W101" s="1247"/>
      <c r="X101" s="1247"/>
      <c r="Y101" s="1247"/>
      <c r="Z101" s="1247"/>
      <c r="AA101" s="1247"/>
      <c r="AB101" s="1247"/>
      <c r="AC101" s="1247"/>
      <c r="AD101" s="1247"/>
      <c r="AE101" s="1247"/>
      <c r="AF101" s="1248"/>
      <c r="AG101" s="1249"/>
      <c r="AH101" s="1249"/>
      <c r="AI101" s="1248"/>
      <c r="AJ101" s="1249"/>
      <c r="AK101" s="1249"/>
      <c r="AL101" s="917"/>
      <c r="AM101" s="143"/>
      <c r="AN101" s="143"/>
      <c r="AO101" s="143"/>
      <c r="AP101" s="143"/>
      <c r="AQ101" s="143"/>
      <c r="AR101" s="143"/>
      <c r="AS101" s="143"/>
      <c r="AT101" s="143"/>
      <c r="AU101" s="143"/>
      <c r="AV101" s="143"/>
      <c r="AW101" s="143"/>
      <c r="AX101" s="143"/>
      <c r="AY101" s="143"/>
      <c r="AZ101" s="143"/>
      <c r="BA101" s="143"/>
      <c r="BB101" s="143"/>
      <c r="BC101" s="143"/>
      <c r="BD101" s="143"/>
      <c r="BE101" s="143"/>
      <c r="BF101" s="143"/>
    </row>
    <row r="102" s="50" customFormat="1" ht="11.25" customHeight="1">
      <c r="A102" s="124"/>
      <c r="B102" s="124"/>
      <c r="C102" s="124"/>
      <c r="D102" s="53"/>
      <c r="E102" s="91"/>
      <c r="F102" s="1221"/>
      <c r="G102" s="1222"/>
      <c r="H102" s="946"/>
      <c r="I102" s="1244"/>
      <c r="J102" s="397"/>
      <c r="K102" s="457"/>
      <c r="L102" s="224"/>
      <c r="M102" s="218"/>
      <c r="N102" s="1225"/>
      <c r="O102" s="1243">
        <v>1</v>
      </c>
      <c r="P102" s="1227" t="s">
        <v>19</v>
      </c>
      <c r="Q102" s="467" t="s">
        <v>28</v>
      </c>
      <c r="R102" s="467" t="s">
        <v>28</v>
      </c>
      <c r="S102" s="467" t="s">
        <v>28</v>
      </c>
      <c r="T102" s="467" t="s">
        <v>28</v>
      </c>
      <c r="U102" s="467" t="s">
        <v>28</v>
      </c>
      <c r="V102" s="467" t="s">
        <v>28</v>
      </c>
      <c r="W102" s="467" t="s">
        <v>28</v>
      </c>
      <c r="X102" s="467" t="s">
        <v>28</v>
      </c>
      <c r="Y102" s="467"/>
      <c r="Z102" s="1228"/>
      <c r="AA102" s="1229"/>
      <c r="AB102" s="1229"/>
      <c r="AC102" s="1230"/>
      <c r="AD102" s="1230"/>
      <c r="AE102" s="1250"/>
      <c r="AF102" s="1248"/>
      <c r="AG102" s="1249"/>
      <c r="AH102" s="1249"/>
      <c r="AI102" s="1248"/>
      <c r="AJ102" s="1249"/>
      <c r="AK102" s="1249"/>
      <c r="AL102" s="917"/>
      <c r="AM102" s="143"/>
      <c r="AN102" s="143"/>
      <c r="AO102" s="143"/>
      <c r="AP102" s="143"/>
      <c r="AQ102" s="143"/>
      <c r="AR102" s="143"/>
      <c r="AS102" s="143"/>
      <c r="AT102" s="143"/>
      <c r="AU102" s="143"/>
      <c r="AV102" s="143"/>
      <c r="AW102" s="143"/>
      <c r="AX102" s="143"/>
      <c r="AY102" s="143"/>
      <c r="AZ102" s="143"/>
      <c r="BA102" s="143"/>
      <c r="BB102" s="143"/>
      <c r="BC102" s="143"/>
      <c r="BD102" s="143"/>
      <c r="BE102" s="143"/>
      <c r="BF102" s="143"/>
    </row>
    <row r="103" s="50" customFormat="1" ht="11.25" customHeight="1">
      <c r="A103" s="124"/>
      <c r="B103" s="124"/>
      <c r="C103" s="124"/>
      <c r="D103" s="53"/>
      <c r="E103" s="91"/>
      <c r="F103" s="1221"/>
      <c r="G103" s="1222"/>
      <c r="H103" s="946"/>
      <c r="I103" s="1244"/>
      <c r="J103" s="397"/>
      <c r="K103" s="457"/>
      <c r="L103" s="224"/>
      <c r="M103" s="218"/>
      <c r="N103" s="1225"/>
      <c r="O103" s="1243"/>
      <c r="P103" s="1235"/>
      <c r="Q103" s="467"/>
      <c r="R103" s="467"/>
      <c r="S103" s="1236"/>
      <c r="T103" s="467"/>
      <c r="U103" s="467"/>
      <c r="V103" s="467"/>
      <c r="W103" s="467"/>
      <c r="X103" s="467"/>
      <c r="Y103" s="467"/>
      <c r="Z103" s="1237"/>
      <c r="AA103" s="1226">
        <v>1</v>
      </c>
      <c r="AB103" s="1238"/>
      <c r="AC103" s="866"/>
      <c r="AD103" s="1238">
        <f>AB103</f>
        <v>0</v>
      </c>
      <c r="AE103" s="866"/>
      <c r="AF103" s="1248"/>
      <c r="AG103" s="1249"/>
      <c r="AH103" s="1249"/>
      <c r="AI103" s="1248"/>
      <c r="AJ103" s="1249"/>
      <c r="AK103" s="1249"/>
      <c r="AL103" s="917"/>
      <c r="AM103" s="143"/>
      <c r="AN103" s="143"/>
      <c r="AO103" s="143"/>
      <c r="AP103" s="143"/>
      <c r="AQ103" s="143"/>
      <c r="AR103" s="143"/>
      <c r="AS103" s="143"/>
      <c r="AT103" s="143"/>
      <c r="AU103" s="143"/>
      <c r="AV103" s="143"/>
      <c r="AW103" s="143"/>
      <c r="AX103" s="143"/>
      <c r="AY103" s="143"/>
      <c r="AZ103" s="143"/>
      <c r="BA103" s="143"/>
      <c r="BB103" s="143"/>
      <c r="BC103" s="143"/>
      <c r="BD103" s="143"/>
      <c r="BE103" s="143"/>
      <c r="BF103" s="143"/>
    </row>
    <row r="104" s="50" customFormat="1" ht="11.25" customHeight="1">
      <c r="A104" s="124"/>
      <c r="B104" s="124"/>
      <c r="C104" s="124"/>
      <c r="D104" s="53"/>
      <c r="E104" s="91"/>
      <c r="F104" s="1221"/>
      <c r="G104" s="1222"/>
      <c r="H104" s="946"/>
      <c r="I104" s="1244"/>
      <c r="J104" s="397"/>
      <c r="K104" s="457"/>
      <c r="L104" s="224"/>
      <c r="M104" s="218"/>
      <c r="N104" s="1225"/>
      <c r="O104" s="1243"/>
      <c r="P104" s="1240"/>
      <c r="Q104" s="467"/>
      <c r="R104" s="467"/>
      <c r="S104" s="1236"/>
      <c r="T104" s="467"/>
      <c r="U104" s="467"/>
      <c r="V104" s="467"/>
      <c r="W104" s="467"/>
      <c r="X104" s="467"/>
      <c r="Y104" s="467"/>
      <c r="Z104" s="1228"/>
      <c r="AA104" s="1229"/>
      <c r="AB104" s="172" t="s">
        <v>1931</v>
      </c>
      <c r="AC104" s="1230"/>
      <c r="AD104" s="1230"/>
      <c r="AE104" s="1251"/>
      <c r="AF104" s="1248"/>
      <c r="AG104" s="1249"/>
      <c r="AH104" s="1249"/>
      <c r="AI104" s="1248"/>
      <c r="AJ104" s="1249"/>
      <c r="AK104" s="1249"/>
      <c r="AL104" s="917"/>
      <c r="AM104" s="143"/>
      <c r="AN104" s="143"/>
      <c r="AO104" s="143"/>
      <c r="AP104" s="143"/>
      <c r="AQ104" s="143"/>
      <c r="AR104" s="143"/>
      <c r="AS104" s="143"/>
      <c r="AT104" s="143"/>
      <c r="AU104" s="143"/>
      <c r="AV104" s="143"/>
      <c r="AW104" s="143"/>
      <c r="AX104" s="143"/>
      <c r="AY104" s="143"/>
      <c r="AZ104" s="143"/>
      <c r="BA104" s="143"/>
      <c r="BB104" s="143"/>
      <c r="BC104" s="143"/>
      <c r="BD104" s="143"/>
      <c r="BE104" s="143"/>
      <c r="BF104" s="143"/>
    </row>
    <row r="105" s="50" customFormat="1" ht="11.25" customHeight="1">
      <c r="A105" s="124"/>
      <c r="B105" s="124"/>
      <c r="C105" s="124"/>
      <c r="D105" s="53"/>
      <c r="E105" s="91"/>
      <c r="F105" s="1221"/>
      <c r="G105" s="1222"/>
      <c r="H105" s="946"/>
      <c r="I105" s="1244"/>
      <c r="J105" s="397"/>
      <c r="K105" s="457"/>
      <c r="L105" s="224"/>
      <c r="M105" s="218"/>
      <c r="N105" s="1228"/>
      <c r="O105" s="1229"/>
      <c r="P105" s="172" t="s">
        <v>1934</v>
      </c>
      <c r="Q105" s="1229"/>
      <c r="R105" s="1229"/>
      <c r="S105" s="1229"/>
      <c r="T105" s="1229"/>
      <c r="U105" s="1229"/>
      <c r="V105" s="1229"/>
      <c r="W105" s="1229"/>
      <c r="X105" s="1229"/>
      <c r="Y105" s="1229"/>
      <c r="Z105" s="1229"/>
      <c r="AA105" s="1229"/>
      <c r="AB105" s="1229"/>
      <c r="AC105" s="1229"/>
      <c r="AD105" s="1229"/>
      <c r="AE105" s="1252"/>
      <c r="AF105" s="1248"/>
      <c r="AG105" s="1249"/>
      <c r="AH105" s="1249"/>
      <c r="AI105" s="1248"/>
      <c r="AJ105" s="1249"/>
      <c r="AK105" s="1249"/>
      <c r="AL105" s="917"/>
      <c r="AM105" s="143"/>
      <c r="AN105" s="143"/>
      <c r="AO105" s="143"/>
      <c r="AP105" s="143"/>
      <c r="AQ105" s="143"/>
      <c r="AR105" s="143"/>
      <c r="AS105" s="143"/>
      <c r="AT105" s="143"/>
      <c r="AU105" s="143"/>
      <c r="AV105" s="143"/>
      <c r="AW105" s="143"/>
      <c r="AX105" s="143"/>
      <c r="AY105" s="143"/>
      <c r="AZ105" s="143"/>
      <c r="BA105" s="143"/>
      <c r="BB105" s="143"/>
      <c r="BC105" s="143"/>
      <c r="BD105" s="143"/>
      <c r="BE105" s="143"/>
      <c r="BF105" s="143"/>
    </row>
    <row r="107" s="1141" customFormat="1" ht="11.25" customHeight="1">
      <c r="A107" s="1141" t="s">
        <v>1935</v>
      </c>
    </row>
    <row r="108" ht="17.25" customHeight="1"/>
    <row r="109" s="923" customFormat="1" ht="21" customHeight="1">
      <c r="A109" s="540"/>
      <c r="B109" s="924"/>
      <c r="D109" s="923"/>
      <c r="E109" s="954" t="s">
        <v>28</v>
      </c>
      <c r="F109" s="1253" t="e">
        <f>INDEX(IP_MAIN_LIST_NAME_IP,MATCH(A109,IP_MAIN_LIST_IP_ID,0))&amp;" ("&amp;INDEX(IP_MAIN_START_DATE,MATCH(A109,IP_MAIN_LIST_IP_ID,0))&amp;"-"&amp;INDEX(IP_MAIN_END_DATE,MATCH(A109,IP_MAIN_LIST_IP_ID,0))&amp;")"</f>
        <v>#VALUE!</v>
      </c>
      <c r="G109" s="1254"/>
      <c r="H109" s="1255"/>
      <c r="I109" s="1255"/>
      <c r="J109" s="1255"/>
      <c r="K109" s="1255"/>
      <c r="L109" s="1255"/>
      <c r="M109" s="1255"/>
      <c r="N109" s="1255"/>
      <c r="O109" s="1254"/>
      <c r="P109" s="1254"/>
      <c r="Q109" s="1254"/>
      <c r="R109" s="1254"/>
      <c r="S109" s="1254"/>
      <c r="T109" s="1254"/>
      <c r="U109" s="1256"/>
      <c r="V109" s="1256"/>
      <c r="W109" s="1256"/>
      <c r="X109" s="1256"/>
      <c r="Y109" s="1256"/>
      <c r="Z109" s="1256"/>
      <c r="AA109" s="1256"/>
      <c r="AB109" s="1254"/>
      <c r="AC109" s="1255"/>
      <c r="AD109" s="1255"/>
      <c r="AE109" s="1255"/>
      <c r="AF109" s="1255"/>
      <c r="AG109" s="1255"/>
      <c r="AH109" s="1255"/>
      <c r="AI109" s="1255"/>
      <c r="AJ109" s="1255"/>
      <c r="AK109" s="1255"/>
      <c r="AL109" s="1255"/>
      <c r="AM109" s="1255"/>
      <c r="AN109" s="1255"/>
      <c r="AO109" s="1255"/>
      <c r="AP109" s="1255"/>
      <c r="AQ109" s="1255"/>
      <c r="AR109" s="1255"/>
      <c r="AS109" s="1255"/>
      <c r="AT109" s="1255"/>
      <c r="AU109" s="1255"/>
      <c r="AV109" s="1255"/>
      <c r="AW109" s="1255"/>
      <c r="AX109" s="1255"/>
      <c r="AY109" s="1255"/>
      <c r="AZ109" s="1255"/>
      <c r="BA109" s="1255"/>
      <c r="BB109" s="1255"/>
      <c r="BC109" s="1255"/>
      <c r="BD109" s="1255"/>
      <c r="BE109" s="1255"/>
      <c r="BF109" s="1255"/>
      <c r="BG109" s="1255"/>
      <c r="BH109" s="1255"/>
      <c r="BI109" s="1255"/>
      <c r="BJ109" s="1255"/>
      <c r="BK109" s="1255"/>
      <c r="BL109" s="1255"/>
      <c r="BM109" s="1255"/>
      <c r="BN109" s="1255"/>
      <c r="BO109" s="1255"/>
      <c r="BP109" s="1255"/>
      <c r="BQ109" s="1255"/>
      <c r="BR109" s="1255"/>
      <c r="BS109" s="1255"/>
      <c r="BT109" s="1255"/>
      <c r="BU109" s="1255"/>
      <c r="BV109" s="1255"/>
      <c r="BW109" s="1255"/>
      <c r="BX109" s="1255"/>
      <c r="BY109" s="1255"/>
      <c r="BZ109" s="1255"/>
      <c r="CA109" s="1255"/>
      <c r="CB109" s="1255"/>
      <c r="CC109" s="1255"/>
      <c r="CD109" s="1255"/>
      <c r="CE109" s="1255"/>
      <c r="CF109" s="1255"/>
      <c r="CG109" s="1255"/>
      <c r="CH109" s="1255"/>
      <c r="CI109" s="1255"/>
      <c r="CJ109" s="1255"/>
      <c r="CK109" s="1255"/>
      <c r="CL109" s="1257"/>
      <c r="CM109" s="1257"/>
      <c r="CN109" s="1257"/>
      <c r="CO109" s="1257"/>
      <c r="CP109" s="1257"/>
      <c r="CQ109" s="1257"/>
      <c r="CR109" s="1257"/>
      <c r="CS109" s="1257"/>
      <c r="CT109" s="1257"/>
      <c r="CU109" s="1257"/>
      <c r="CV109" s="1257"/>
      <c r="CW109" s="1257"/>
      <c r="CX109" s="1257"/>
      <c r="CY109" s="1257"/>
      <c r="CZ109" s="1257"/>
      <c r="DA109" s="1257"/>
      <c r="DB109" s="1257"/>
      <c r="DC109" s="1257"/>
      <c r="DD109" s="1257"/>
      <c r="DE109" s="1257"/>
      <c r="DF109" s="1257"/>
      <c r="DG109" s="1257"/>
      <c r="DH109" s="1257"/>
      <c r="DI109" s="1257"/>
      <c r="DJ109" s="1257"/>
      <c r="DK109" s="1257"/>
      <c r="DL109" s="1257"/>
      <c r="DM109" s="1257"/>
      <c r="DN109" s="1257"/>
      <c r="DO109" s="1257"/>
      <c r="DP109" s="1257"/>
      <c r="DQ109" s="1257"/>
      <c r="DR109" s="1257"/>
      <c r="DS109" s="1257"/>
      <c r="DT109" s="1257"/>
      <c r="DU109" s="1257"/>
      <c r="DV109" s="1257"/>
      <c r="DW109" s="1257"/>
      <c r="DX109" s="1257"/>
      <c r="DY109" s="1257"/>
      <c r="DZ109" s="1257"/>
      <c r="EA109" s="1257"/>
      <c r="EB109" s="1257"/>
      <c r="EC109" s="1257"/>
      <c r="ED109" s="1257"/>
      <c r="EE109" s="1257"/>
      <c r="EF109" s="1257"/>
      <c r="EG109" s="1257"/>
      <c r="EH109" s="1257"/>
      <c r="EI109" s="1257"/>
      <c r="EJ109" s="1257"/>
      <c r="EK109" s="1257"/>
      <c r="EL109" s="1257"/>
      <c r="EM109" s="1257"/>
      <c r="EN109" s="1257"/>
      <c r="EO109" s="1257"/>
      <c r="EP109" s="1257"/>
      <c r="EQ109" s="1257"/>
      <c r="ER109" s="1257"/>
      <c r="ES109" s="1257"/>
      <c r="ET109" s="1257"/>
      <c r="EU109" s="1257"/>
      <c r="EV109" s="1257"/>
      <c r="EW109" s="1257"/>
      <c r="EX109" s="1257"/>
      <c r="EY109" s="1257"/>
      <c r="EZ109" s="1257"/>
      <c r="FA109" s="1257"/>
      <c r="FB109" s="1257"/>
      <c r="FC109" s="1257"/>
      <c r="FD109" s="1257"/>
      <c r="FE109" s="1257"/>
      <c r="FF109" s="1257"/>
      <c r="FG109" s="1257"/>
      <c r="FH109" s="1257"/>
      <c r="FI109" s="1257"/>
      <c r="FJ109" s="1257"/>
      <c r="FK109" s="1257"/>
      <c r="FL109" s="1257"/>
      <c r="FM109" s="1257"/>
      <c r="FN109" s="1257"/>
      <c r="FO109" s="1257"/>
      <c r="FP109" s="1257"/>
      <c r="FQ109" s="1257"/>
      <c r="FR109" s="1257"/>
      <c r="FS109" s="1257"/>
      <c r="FT109" s="1257"/>
      <c r="FU109" s="1257"/>
      <c r="FV109" s="1258"/>
      <c r="FW109" s="963"/>
      <c r="FX109" s="959"/>
    </row>
    <row r="110" s="923" customFormat="1" ht="24.75" customHeight="1">
      <c r="B110" s="924"/>
      <c r="C110" s="923"/>
      <c r="D110" s="923"/>
      <c r="E110" s="63"/>
      <c r="F110" s="838">
        <v>1</v>
      </c>
      <c r="G110" s="115"/>
      <c r="H110" s="108"/>
      <c r="I110" s="1259"/>
      <c r="J110" s="1260"/>
      <c r="K110" s="1260"/>
      <c r="L110" s="1260"/>
      <c r="M110" s="1260"/>
      <c r="N110" s="1260"/>
      <c r="O110" s="1261"/>
      <c r="P110" s="1261"/>
      <c r="Q110" s="1261"/>
      <c r="R110" s="1261"/>
      <c r="S110" s="1261"/>
      <c r="T110" s="1261"/>
      <c r="U110" s="1261"/>
      <c r="V110" s="1261"/>
      <c r="W110" s="1261"/>
      <c r="X110" s="1261"/>
      <c r="Y110" s="1261"/>
      <c r="Z110" s="1261"/>
      <c r="AA110" s="1261"/>
      <c r="AB110" s="1261"/>
      <c r="AC110" s="1260"/>
      <c r="AD110" s="1260"/>
      <c r="AE110" s="1260"/>
      <c r="AF110" s="1260"/>
      <c r="AG110" s="1260"/>
      <c r="AH110" s="1260"/>
      <c r="AI110" s="1260"/>
      <c r="AJ110" s="1260"/>
      <c r="AK110" s="1260"/>
      <c r="AL110" s="1260"/>
      <c r="AM110" s="1260"/>
      <c r="AN110" s="1260"/>
      <c r="AO110" s="1260"/>
      <c r="AP110" s="1260"/>
      <c r="AQ110" s="1260"/>
      <c r="AR110" s="1260"/>
      <c r="AS110" s="1260"/>
      <c r="AT110" s="1260"/>
      <c r="AU110" s="1260"/>
      <c r="AV110" s="1260"/>
      <c r="AW110" s="1260"/>
      <c r="AX110" s="1260"/>
      <c r="AY110" s="1260"/>
      <c r="AZ110" s="1260"/>
      <c r="BA110" s="1260"/>
      <c r="BB110" s="1260"/>
      <c r="BC110" s="1260"/>
      <c r="BD110" s="1260"/>
      <c r="BE110" s="1260"/>
      <c r="BF110" s="1260"/>
      <c r="BG110" s="1260"/>
      <c r="BH110" s="1260"/>
      <c r="BI110" s="1260"/>
      <c r="BJ110" s="1260"/>
      <c r="BK110" s="1260"/>
      <c r="BL110" s="1260"/>
      <c r="BM110" s="1260"/>
      <c r="BN110" s="1260"/>
      <c r="BO110" s="1260"/>
      <c r="BP110" s="1260"/>
      <c r="BQ110" s="1260"/>
      <c r="BR110" s="1260"/>
      <c r="BS110" s="1260"/>
      <c r="BT110" s="1261"/>
      <c r="BU110" s="1261"/>
      <c r="BV110" s="1261"/>
      <c r="BW110" s="1261"/>
      <c r="BX110" s="1261"/>
      <c r="BY110" s="1261"/>
      <c r="BZ110" s="1261"/>
      <c r="CA110" s="1261"/>
      <c r="CB110" s="1261"/>
      <c r="CC110" s="1261"/>
      <c r="CD110" s="1261"/>
      <c r="CE110" s="1261"/>
      <c r="CF110" s="1261"/>
      <c r="CG110" s="1261"/>
      <c r="CH110" s="1261"/>
      <c r="CI110" s="1261"/>
      <c r="CJ110" s="1261"/>
      <c r="CK110" s="1261"/>
      <c r="CL110" s="1260"/>
      <c r="CM110" s="1260"/>
      <c r="CN110" s="1260"/>
      <c r="CO110" s="1260"/>
      <c r="CP110" s="1260"/>
      <c r="CQ110" s="1260"/>
      <c r="CR110" s="1260"/>
      <c r="CS110" s="1260"/>
      <c r="CT110" s="1260"/>
      <c r="CU110" s="1260"/>
      <c r="CV110" s="1260"/>
      <c r="CW110" s="1260"/>
      <c r="CX110" s="1260"/>
      <c r="CY110" s="1261"/>
      <c r="CZ110" s="1261"/>
      <c r="DA110" s="1261"/>
      <c r="DB110" s="1261"/>
      <c r="DC110" s="1261"/>
      <c r="DD110" s="1261"/>
      <c r="DE110" s="1261"/>
      <c r="DF110" s="1261"/>
      <c r="DG110" s="1261"/>
      <c r="DH110" s="1261"/>
      <c r="DI110" s="1261"/>
      <c r="DJ110" s="1261"/>
      <c r="DK110" s="1260"/>
      <c r="DL110" s="1260"/>
      <c r="DM110" s="1260"/>
      <c r="DN110" s="1260"/>
      <c r="DO110" s="1260"/>
      <c r="DP110" s="1260"/>
      <c r="DQ110" s="1260"/>
      <c r="DR110" s="1260"/>
      <c r="DS110" s="1260"/>
      <c r="DT110" s="1260"/>
      <c r="DU110" s="1260"/>
      <c r="DV110" s="1260"/>
      <c r="DW110" s="1260"/>
      <c r="DX110" s="1260"/>
      <c r="DY110" s="1260"/>
      <c r="DZ110" s="1260"/>
      <c r="EA110" s="1260"/>
      <c r="EB110" s="1260"/>
      <c r="EC110" s="1260"/>
      <c r="ED110" s="1260"/>
      <c r="EE110" s="1260"/>
      <c r="EF110" s="1260"/>
      <c r="EG110" s="1260"/>
      <c r="EH110" s="1260"/>
      <c r="EI110" s="1260"/>
      <c r="EJ110" s="1260"/>
      <c r="EK110" s="1260"/>
      <c r="EL110" s="1260"/>
      <c r="EM110" s="1260"/>
      <c r="EN110" s="1260"/>
      <c r="EO110" s="1260"/>
      <c r="EP110" s="1260"/>
      <c r="EQ110" s="1260"/>
      <c r="ER110" s="1260"/>
      <c r="ES110" s="1260"/>
      <c r="ET110" s="1260"/>
      <c r="EU110" s="1260"/>
      <c r="EV110" s="1260"/>
      <c r="EW110" s="1260"/>
      <c r="EX110" s="1260"/>
      <c r="EY110" s="1260"/>
      <c r="EZ110" s="1260"/>
      <c r="FA110" s="1260"/>
      <c r="FB110" s="1260"/>
      <c r="FC110" s="1260"/>
      <c r="FD110" s="1260"/>
      <c r="FE110" s="1260"/>
      <c r="FF110" s="1260"/>
      <c r="FG110" s="1260"/>
      <c r="FH110" s="1260"/>
      <c r="FI110" s="1260"/>
      <c r="FJ110" s="1260"/>
      <c r="FK110" s="1260"/>
      <c r="FL110" s="1260"/>
      <c r="FM110" s="1260"/>
      <c r="FN110" s="1260"/>
      <c r="FO110" s="1260"/>
      <c r="FP110" s="1260"/>
      <c r="FQ110" s="1260"/>
      <c r="FR110" s="1260"/>
      <c r="FS110" s="1260"/>
      <c r="FT110" s="1260"/>
      <c r="FU110" s="1260"/>
      <c r="FV110" s="1260"/>
      <c r="FW110" s="1260"/>
      <c r="FX110" s="959"/>
    </row>
    <row r="111" s="923" customFormat="1" ht="12" customHeight="1">
      <c r="A111" s="923"/>
      <c r="B111" s="924"/>
      <c r="C111" s="923"/>
      <c r="D111" s="923"/>
      <c r="E111" s="923"/>
      <c r="F111" s="1262"/>
      <c r="G111" s="1218" t="s">
        <v>1936</v>
      </c>
      <c r="H111" s="1218"/>
      <c r="I111" s="1218"/>
      <c r="J111" s="1218"/>
      <c r="K111" s="1218"/>
      <c r="L111" s="1218"/>
      <c r="M111" s="1218"/>
      <c r="N111" s="1218"/>
      <c r="O111" s="1218"/>
      <c r="P111" s="1218"/>
      <c r="Q111" s="1218"/>
      <c r="R111" s="1218"/>
      <c r="S111" s="1218"/>
      <c r="T111" s="1218"/>
      <c r="U111" s="1218"/>
      <c r="V111" s="1218"/>
      <c r="W111" s="1218"/>
      <c r="X111" s="1218"/>
      <c r="Y111" s="1218"/>
      <c r="Z111" s="1218"/>
      <c r="AA111" s="1218"/>
      <c r="AB111" s="1218"/>
      <c r="AC111" s="1218"/>
      <c r="AD111" s="1218"/>
      <c r="AE111" s="1218"/>
      <c r="AF111" s="1218"/>
      <c r="AG111" s="1218"/>
      <c r="AH111" s="1218"/>
      <c r="AI111" s="1218"/>
      <c r="AJ111" s="1218"/>
      <c r="AK111" s="1218"/>
      <c r="AL111" s="1218"/>
      <c r="AM111" s="1218"/>
      <c r="AN111" s="1218"/>
      <c r="AO111" s="1218"/>
      <c r="AP111" s="1218"/>
      <c r="AQ111" s="1218"/>
      <c r="AR111" s="1218"/>
      <c r="AS111" s="1218"/>
      <c r="AT111" s="1218"/>
      <c r="AU111" s="1218"/>
      <c r="AV111" s="1218"/>
      <c r="AW111" s="1218"/>
      <c r="AX111" s="1218"/>
      <c r="AY111" s="1218"/>
      <c r="AZ111" s="1218"/>
      <c r="BA111" s="1218"/>
      <c r="BB111" s="1218"/>
      <c r="BC111" s="1218"/>
      <c r="BD111" s="1218"/>
      <c r="BE111" s="1218"/>
      <c r="BF111" s="1218"/>
      <c r="BG111" s="1218"/>
      <c r="BH111" s="1218"/>
      <c r="BI111" s="1218"/>
      <c r="BJ111" s="1218"/>
      <c r="BK111" s="1218"/>
      <c r="BL111" s="1218"/>
      <c r="BM111" s="1218"/>
      <c r="BN111" s="1218"/>
      <c r="BO111" s="1218"/>
      <c r="BP111" s="1218"/>
      <c r="BQ111" s="1218"/>
      <c r="BR111" s="1218"/>
      <c r="BS111" s="1218"/>
      <c r="BT111" s="1218"/>
      <c r="BU111" s="1218"/>
      <c r="BV111" s="1218"/>
      <c r="BW111" s="1218"/>
      <c r="BX111" s="1218"/>
      <c r="BY111" s="1218"/>
      <c r="BZ111" s="1218"/>
      <c r="CA111" s="1218"/>
      <c r="CB111" s="1218"/>
      <c r="CC111" s="1218"/>
      <c r="CD111" s="1218"/>
      <c r="CE111" s="1218"/>
      <c r="CF111" s="1218"/>
      <c r="CG111" s="1218"/>
      <c r="CH111" s="1218"/>
      <c r="CI111" s="1218"/>
      <c r="CJ111" s="1218"/>
      <c r="CK111" s="1218"/>
      <c r="CL111" s="1218"/>
      <c r="CM111" s="1218"/>
      <c r="CN111" s="1218"/>
      <c r="CO111" s="1218"/>
      <c r="CP111" s="1218"/>
      <c r="CQ111" s="1218"/>
      <c r="CR111" s="1218"/>
      <c r="CS111" s="1218"/>
      <c r="CT111" s="1218"/>
      <c r="CU111" s="1218"/>
      <c r="CV111" s="1218"/>
      <c r="CW111" s="1218"/>
      <c r="CX111" s="1218"/>
      <c r="CY111" s="1218"/>
      <c r="CZ111" s="1218"/>
      <c r="DA111" s="1218"/>
      <c r="DB111" s="1218"/>
      <c r="DC111" s="1218"/>
      <c r="DD111" s="1218"/>
      <c r="DE111" s="1218"/>
      <c r="DF111" s="1218"/>
      <c r="DG111" s="1218"/>
      <c r="DH111" s="1218"/>
      <c r="DI111" s="1218"/>
      <c r="DJ111" s="1218"/>
      <c r="DK111" s="1218"/>
      <c r="DL111" s="1218"/>
      <c r="DM111" s="1218"/>
      <c r="DN111" s="1218"/>
      <c r="DO111" s="1218"/>
      <c r="DP111" s="1218"/>
      <c r="DQ111" s="1218"/>
      <c r="DR111" s="1218"/>
      <c r="DS111" s="1218"/>
      <c r="DT111" s="1218"/>
      <c r="DU111" s="1218"/>
      <c r="DV111" s="1218"/>
      <c r="DW111" s="1218"/>
      <c r="DX111" s="1218"/>
      <c r="DY111" s="1218"/>
      <c r="DZ111" s="1218"/>
      <c r="EA111" s="1218"/>
      <c r="EB111" s="1218"/>
      <c r="EC111" s="1218"/>
      <c r="ED111" s="1218"/>
      <c r="EE111" s="1218"/>
      <c r="EF111" s="1218"/>
      <c r="EG111" s="1218"/>
      <c r="EH111" s="1218"/>
      <c r="EI111" s="1218"/>
      <c r="EJ111" s="1218"/>
      <c r="EK111" s="1218"/>
      <c r="EL111" s="1218"/>
      <c r="EM111" s="1218"/>
      <c r="EN111" s="1218"/>
      <c r="EO111" s="1218"/>
      <c r="EP111" s="1218"/>
      <c r="EQ111" s="1218"/>
      <c r="ER111" s="1218"/>
      <c r="ES111" s="1218"/>
      <c r="ET111" s="1218"/>
      <c r="EU111" s="1218"/>
      <c r="EV111" s="1218"/>
      <c r="EW111" s="1218"/>
      <c r="EX111" s="1218"/>
      <c r="EY111" s="1218"/>
      <c r="EZ111" s="1218"/>
      <c r="FA111" s="1218"/>
      <c r="FB111" s="1218"/>
      <c r="FC111" s="1218"/>
      <c r="FD111" s="1218"/>
      <c r="FE111" s="1218"/>
      <c r="FF111" s="1218"/>
      <c r="FG111" s="1218"/>
      <c r="FH111" s="1218"/>
      <c r="FI111" s="1218"/>
      <c r="FJ111" s="1218"/>
      <c r="FK111" s="1218"/>
      <c r="FL111" s="1218"/>
      <c r="FM111" s="1218"/>
      <c r="FN111" s="1218"/>
      <c r="FO111" s="1218"/>
      <c r="FP111" s="1218"/>
      <c r="FQ111" s="1218"/>
      <c r="FR111" s="1218"/>
      <c r="FS111" s="1218"/>
      <c r="FT111" s="1218"/>
      <c r="FU111" s="1218"/>
      <c r="FV111" s="1218"/>
      <c r="FW111" s="1263"/>
      <c r="FX111" s="143"/>
      <c r="FY111" s="925"/>
      <c r="FZ111" s="925"/>
      <c r="GA111" s="925"/>
      <c r="GB111" s="925"/>
    </row>
    <row r="113" s="1141" customFormat="1" ht="11.25" customHeight="1">
      <c r="A113" s="1141" t="s">
        <v>1937</v>
      </c>
    </row>
    <row r="115" s="63" customFormat="1" ht="15" customHeight="1">
      <c r="A115" s="793"/>
      <c r="B115" s="63"/>
      <c r="C115" s="63"/>
      <c r="D115" s="225" t="s">
        <v>109</v>
      </c>
      <c r="E115" s="795" t="s">
        <v>105</v>
      </c>
      <c r="F115" s="796"/>
      <c r="G115" s="797"/>
      <c r="H115" s="79" t="str">
        <f>IF(A115="","",INDEX(DIFFERENTIATION_UNMERGE_VD,MATCH(A115,DIFFERENTIATION_ID_DIFF,0)))</f>
        <v/>
      </c>
      <c r="I115" s="79"/>
      <c r="J115" s="79"/>
      <c r="K115" s="79"/>
      <c r="L115" s="79"/>
      <c r="M115" s="79"/>
      <c r="N115" s="79"/>
      <c r="O115" s="79"/>
      <c r="P115" s="79"/>
      <c r="Q115" s="79"/>
      <c r="R115" s="79"/>
      <c r="S115" s="798"/>
      <c r="T115" s="799"/>
      <c r="U115" s="167"/>
      <c r="V115" s="167"/>
      <c r="W115" s="64"/>
      <c r="X115" s="64"/>
      <c r="Y115" s="64"/>
      <c r="Z115" s="64"/>
      <c r="AA115" s="167"/>
      <c r="AB115" s="64"/>
      <c r="AC115" s="800"/>
      <c r="AD115" s="64"/>
      <c r="AE115" s="801" t="s">
        <v>28</v>
      </c>
      <c r="AF115" s="801"/>
      <c r="AG115" s="802" t="s">
        <v>613</v>
      </c>
      <c r="AH115" s="803">
        <v>3</v>
      </c>
      <c r="AI115" s="167"/>
      <c r="AJ115" s="167"/>
      <c r="AK115" s="167"/>
      <c r="AL115" s="167"/>
      <c r="AM115" s="167"/>
      <c r="AN115" s="167"/>
      <c r="AO115" s="167"/>
      <c r="AP115" s="167"/>
      <c r="AQ115" s="167"/>
      <c r="AR115" s="167"/>
      <c r="AS115" s="167"/>
      <c r="AT115" s="167"/>
      <c r="AU115" s="167"/>
      <c r="AV115" s="167"/>
      <c r="AW115" s="167"/>
      <c r="AX115" s="167"/>
      <c r="AY115" s="167"/>
      <c r="AZ115" s="167"/>
      <c r="BA115" s="167"/>
      <c r="BB115" s="167"/>
      <c r="BC115" s="167"/>
      <c r="BD115" s="167"/>
      <c r="BE115" s="167"/>
      <c r="BF115" s="167"/>
      <c r="BG115" s="167"/>
      <c r="BH115" s="167"/>
      <c r="BI115" s="167"/>
      <c r="BJ115" s="167"/>
      <c r="BK115" s="167"/>
      <c r="BL115" s="167"/>
      <c r="BM115" s="167"/>
      <c r="BN115" s="167"/>
      <c r="BO115" s="167"/>
      <c r="BP115" s="167"/>
      <c r="BQ115" s="167"/>
      <c r="BR115" s="167"/>
      <c r="BS115" s="167"/>
      <c r="BT115" s="167"/>
      <c r="BU115" s="167"/>
      <c r="BV115" s="64"/>
      <c r="BW115" s="64"/>
      <c r="BX115" s="64"/>
      <c r="BY115" s="64"/>
      <c r="BZ115" s="64"/>
      <c r="CA115" s="64"/>
      <c r="CB115" s="64"/>
      <c r="CC115" s="64"/>
      <c r="CD115" s="64"/>
      <c r="CE115" s="64"/>
    </row>
    <row r="116" s="63" customFormat="1" ht="15" customHeight="1">
      <c r="A116" s="793"/>
      <c r="B116" s="63"/>
      <c r="C116" s="63"/>
      <c r="D116" s="1264"/>
      <c r="E116" s="795" t="s">
        <v>568</v>
      </c>
      <c r="F116" s="796"/>
      <c r="G116" s="797"/>
      <c r="H116" s="79" t="str">
        <f>IF(A115="","",INDEX(DIFFERENTIATION_UNMERGE_AREA,MATCH(A115,DIFFERENTIATION_ID_DIFF,0)))</f>
        <v/>
      </c>
      <c r="I116" s="79"/>
      <c r="J116" s="79"/>
      <c r="K116" s="79"/>
      <c r="L116" s="79"/>
      <c r="M116" s="79"/>
      <c r="N116" s="79"/>
      <c r="O116" s="79"/>
      <c r="P116" s="79"/>
      <c r="Q116" s="79"/>
      <c r="R116" s="79"/>
      <c r="S116" s="798"/>
      <c r="T116" s="799"/>
      <c r="U116" s="167"/>
      <c r="V116" s="167"/>
      <c r="W116" s="64"/>
      <c r="X116" s="64"/>
      <c r="Y116" s="64"/>
      <c r="Z116" s="64"/>
      <c r="AA116" s="167"/>
      <c r="AB116" s="64"/>
      <c r="AC116" s="800"/>
      <c r="AD116" s="64"/>
      <c r="AE116" s="801"/>
      <c r="AF116" s="801"/>
      <c r="AG116" s="802"/>
      <c r="AH116" s="803"/>
      <c r="AI116" s="167"/>
      <c r="AJ116" s="167"/>
      <c r="AK116" s="167"/>
      <c r="AL116" s="167"/>
      <c r="AM116" s="167"/>
      <c r="AN116" s="167"/>
      <c r="AO116" s="167"/>
      <c r="AP116" s="167"/>
      <c r="AQ116" s="167"/>
      <c r="AR116" s="167"/>
      <c r="AS116" s="167"/>
      <c r="AT116" s="167"/>
      <c r="AU116" s="167"/>
      <c r="AV116" s="167"/>
      <c r="AW116" s="167"/>
      <c r="AX116" s="167"/>
      <c r="AY116" s="167"/>
      <c r="AZ116" s="167"/>
      <c r="BA116" s="167"/>
      <c r="BB116" s="167"/>
      <c r="BC116" s="167"/>
      <c r="BD116" s="167"/>
      <c r="BE116" s="167"/>
      <c r="BF116" s="167"/>
      <c r="BG116" s="167"/>
      <c r="BH116" s="167"/>
      <c r="BI116" s="167"/>
      <c r="BJ116" s="167"/>
      <c r="BK116" s="167"/>
      <c r="BL116" s="167"/>
      <c r="BM116" s="167"/>
      <c r="BN116" s="167"/>
      <c r="BO116" s="167"/>
      <c r="BP116" s="167"/>
      <c r="BQ116" s="167"/>
      <c r="BR116" s="167"/>
      <c r="BS116" s="167"/>
      <c r="BT116" s="167"/>
      <c r="BU116" s="167"/>
      <c r="BV116" s="64"/>
      <c r="BW116" s="64"/>
      <c r="BX116" s="64"/>
      <c r="BY116" s="64"/>
      <c r="BZ116" s="64"/>
      <c r="CA116" s="64"/>
      <c r="CB116" s="64"/>
      <c r="CC116" s="64"/>
      <c r="CD116" s="64"/>
      <c r="CE116" s="64"/>
    </row>
    <row r="117" s="63" customFormat="1" ht="15" customHeight="1">
      <c r="A117" s="793"/>
      <c r="B117" s="63"/>
      <c r="C117" s="63"/>
      <c r="D117" s="1264"/>
      <c r="E117" s="795" t="s">
        <v>569</v>
      </c>
      <c r="F117" s="796"/>
      <c r="G117" s="797"/>
      <c r="H117" s="79" t="str">
        <f>IF(A115="","",INDEX(DIFFERENTIATION_UNMERGE_SYSTEM,MATCH(A115,DIFFERENTIATION_ID_DIFF,0)))</f>
        <v/>
      </c>
      <c r="I117" s="79"/>
      <c r="J117" s="79"/>
      <c r="K117" s="79"/>
      <c r="L117" s="79"/>
      <c r="M117" s="79"/>
      <c r="N117" s="79"/>
      <c r="O117" s="79"/>
      <c r="P117" s="79"/>
      <c r="Q117" s="79"/>
      <c r="R117" s="79"/>
      <c r="S117" s="798"/>
      <c r="T117" s="799"/>
      <c r="U117" s="167"/>
      <c r="V117" s="167"/>
      <c r="W117" s="64"/>
      <c r="X117" s="64"/>
      <c r="Y117" s="64"/>
      <c r="Z117" s="64"/>
      <c r="AA117" s="167"/>
      <c r="AB117" s="64"/>
      <c r="AC117" s="800"/>
      <c r="AD117" s="64"/>
      <c r="AE117" s="801"/>
      <c r="AF117" s="801"/>
      <c r="AG117" s="802"/>
      <c r="AH117" s="803"/>
      <c r="AI117" s="167"/>
      <c r="AJ117" s="167"/>
      <c r="AK117" s="167"/>
      <c r="AL117" s="167"/>
      <c r="AM117" s="167"/>
      <c r="AN117" s="167"/>
      <c r="AO117" s="167"/>
      <c r="AP117" s="167"/>
      <c r="AQ117" s="167"/>
      <c r="AR117" s="167"/>
      <c r="AS117" s="167"/>
      <c r="AT117" s="167"/>
      <c r="AU117" s="167"/>
      <c r="AV117" s="167"/>
      <c r="AW117" s="167"/>
      <c r="AX117" s="167"/>
      <c r="AY117" s="167"/>
      <c r="AZ117" s="167"/>
      <c r="BA117" s="167"/>
      <c r="BB117" s="167"/>
      <c r="BC117" s="167"/>
      <c r="BD117" s="167"/>
      <c r="BE117" s="167"/>
      <c r="BF117" s="167"/>
      <c r="BG117" s="167"/>
      <c r="BH117" s="167"/>
      <c r="BI117" s="167"/>
      <c r="BJ117" s="167"/>
      <c r="BK117" s="167"/>
      <c r="BL117" s="167"/>
      <c r="BM117" s="167"/>
      <c r="BN117" s="167"/>
      <c r="BO117" s="167"/>
      <c r="BP117" s="167"/>
      <c r="BQ117" s="167"/>
      <c r="BR117" s="167"/>
      <c r="BS117" s="167"/>
      <c r="BT117" s="167"/>
      <c r="BU117" s="167"/>
      <c r="BV117" s="64"/>
      <c r="BW117" s="64"/>
      <c r="BX117" s="64"/>
      <c r="BY117" s="64"/>
      <c r="BZ117" s="64"/>
      <c r="CA117" s="64"/>
      <c r="CB117" s="64"/>
      <c r="CC117" s="64"/>
      <c r="CD117" s="64"/>
      <c r="CE117" s="64"/>
    </row>
    <row r="118" s="63" customFormat="1" ht="24.75" customHeight="1">
      <c r="A118" s="113"/>
      <c r="B118" s="53"/>
      <c r="C118" s="168"/>
      <c r="D118" s="1264"/>
      <c r="E118" s="805" t="s">
        <v>614</v>
      </c>
      <c r="F118" s="805"/>
      <c r="G118" s="805"/>
      <c r="H118" s="805"/>
      <c r="I118" s="805"/>
      <c r="J118" s="805"/>
      <c r="K118" s="805"/>
      <c r="L118" s="805"/>
      <c r="M118" s="805"/>
      <c r="N118" s="805"/>
      <c r="O118" s="805"/>
      <c r="P118" s="805"/>
      <c r="Q118" s="738">
        <f>SUMIF(T119:T120,"i",Q119:Q120)</f>
        <v>0</v>
      </c>
      <c r="R118" s="806"/>
      <c r="S118" s="326" t="s">
        <v>615</v>
      </c>
      <c r="T118" s="799" t="s">
        <v>616</v>
      </c>
      <c r="U118" s="132">
        <v>1</v>
      </c>
      <c r="V118" s="132" t="s">
        <v>579</v>
      </c>
      <c r="W118" s="53"/>
      <c r="X118" s="53"/>
      <c r="Y118" s="53"/>
      <c r="Z118" s="53"/>
      <c r="AA118" s="57"/>
      <c r="AB118" s="53"/>
      <c r="AC118" s="800"/>
      <c r="AD118" s="64"/>
      <c r="AE118" s="53"/>
      <c r="AF118" s="53"/>
      <c r="AG118" s="57"/>
      <c r="AH118" s="57"/>
      <c r="AI118" s="57"/>
      <c r="AJ118" s="57"/>
      <c r="AK118" s="57"/>
      <c r="AL118" s="57"/>
      <c r="AM118" s="57"/>
      <c r="AN118" s="57"/>
      <c r="AO118" s="57"/>
      <c r="AP118" s="57"/>
      <c r="AQ118" s="57"/>
      <c r="AR118" s="57"/>
      <c r="AS118" s="57"/>
      <c r="AT118" s="57"/>
      <c r="AU118" s="57"/>
      <c r="AV118" s="57"/>
      <c r="AW118" s="57"/>
      <c r="AX118" s="57"/>
      <c r="AY118" s="57"/>
      <c r="AZ118" s="57"/>
      <c r="BA118" s="57"/>
      <c r="BB118" s="57"/>
      <c r="BC118" s="57"/>
      <c r="BD118" s="57"/>
      <c r="BE118" s="57"/>
      <c r="BF118" s="57"/>
      <c r="BG118" s="57"/>
      <c r="BH118" s="57"/>
      <c r="BI118" s="57"/>
      <c r="BJ118" s="57"/>
      <c r="BK118" s="57"/>
      <c r="BL118" s="57"/>
      <c r="BM118" s="57"/>
      <c r="BN118" s="57"/>
      <c r="BO118" s="57"/>
      <c r="BP118" s="57"/>
      <c r="BQ118" s="57"/>
      <c r="BR118" s="57"/>
      <c r="BS118" s="57"/>
      <c r="BT118" s="57"/>
      <c r="BU118" s="57"/>
      <c r="BV118" s="53"/>
      <c r="BW118" s="53"/>
      <c r="BX118" s="53"/>
      <c r="BY118" s="53"/>
      <c r="BZ118" s="53"/>
      <c r="CA118" s="53"/>
      <c r="CB118" s="53"/>
      <c r="CC118" s="53"/>
      <c r="CD118" s="53"/>
      <c r="CE118" s="53"/>
    </row>
    <row r="119" s="63" customFormat="1" ht="11.25" hidden="1" customHeight="1">
      <c r="A119" s="132"/>
      <c r="B119" s="57"/>
      <c r="C119" s="57"/>
      <c r="D119" s="1264"/>
      <c r="E119" s="362"/>
      <c r="F119" s="362">
        <v>0</v>
      </c>
      <c r="G119" s="362"/>
      <c r="H119" s="362"/>
      <c r="I119" s="362"/>
      <c r="J119" s="362"/>
      <c r="K119" s="362"/>
      <c r="L119" s="362"/>
      <c r="M119" s="362"/>
      <c r="N119" s="362"/>
      <c r="O119" s="362"/>
      <c r="P119" s="362"/>
      <c r="Q119" s="362"/>
      <c r="R119" s="362"/>
      <c r="S119" s="361"/>
      <c r="T119" s="807"/>
      <c r="U119" s="132"/>
      <c r="V119" s="132"/>
      <c r="W119" s="57"/>
      <c r="X119" s="57"/>
      <c r="Y119" s="57"/>
      <c r="Z119" s="57"/>
      <c r="AA119" s="57"/>
      <c r="AB119" s="53"/>
      <c r="AC119" s="800"/>
      <c r="AD119" s="64"/>
      <c r="AE119" s="53"/>
      <c r="AF119" s="53"/>
      <c r="AG119" s="57"/>
      <c r="AH119" s="57"/>
      <c r="AI119" s="57"/>
      <c r="AJ119" s="57"/>
      <c r="AK119" s="57"/>
      <c r="AL119" s="57"/>
      <c r="AM119" s="57"/>
      <c r="AN119" s="57"/>
      <c r="AO119" s="57"/>
      <c r="AP119" s="57"/>
      <c r="AQ119" s="57"/>
      <c r="AR119" s="57"/>
      <c r="AS119" s="57"/>
      <c r="AT119" s="57"/>
      <c r="AU119" s="57"/>
      <c r="AV119" s="57"/>
      <c r="AW119" s="57"/>
      <c r="AX119" s="57"/>
      <c r="AY119" s="57"/>
      <c r="AZ119" s="57"/>
      <c r="BA119" s="57"/>
      <c r="BB119" s="57"/>
      <c r="BC119" s="57"/>
      <c r="BD119" s="57"/>
      <c r="BE119" s="57"/>
      <c r="BF119" s="57"/>
      <c r="BG119" s="57"/>
      <c r="BH119" s="57"/>
      <c r="BI119" s="57"/>
      <c r="BJ119" s="57"/>
      <c r="BK119" s="57"/>
      <c r="BL119" s="57"/>
      <c r="BM119" s="57"/>
      <c r="BN119" s="57"/>
      <c r="BO119" s="57"/>
      <c r="BP119" s="57"/>
      <c r="BQ119" s="57"/>
      <c r="BR119" s="57"/>
      <c r="BS119" s="57"/>
      <c r="BT119" s="57"/>
      <c r="BU119" s="57"/>
      <c r="BV119" s="57"/>
      <c r="BW119" s="57"/>
      <c r="BX119" s="57"/>
      <c r="BY119" s="57"/>
      <c r="BZ119" s="57"/>
      <c r="CA119" s="57"/>
      <c r="CB119" s="57"/>
      <c r="CC119" s="57"/>
      <c r="CD119" s="57"/>
      <c r="CE119" s="57"/>
    </row>
    <row r="120" s="63" customFormat="1" ht="11.25" customHeight="1">
      <c r="A120" s="113"/>
      <c r="B120" s="53"/>
      <c r="C120" s="168"/>
      <c r="D120" s="1264"/>
      <c r="E120" s="647" t="s">
        <v>28</v>
      </c>
      <c r="F120" s="172" t="s">
        <v>28</v>
      </c>
      <c r="G120" s="172" t="s">
        <v>1938</v>
      </c>
      <c r="H120" s="177" t="s">
        <v>28</v>
      </c>
      <c r="I120" s="177"/>
      <c r="J120" s="177"/>
      <c r="K120" s="177"/>
      <c r="L120" s="177"/>
      <c r="M120" s="177"/>
      <c r="N120" s="177"/>
      <c r="O120" s="177"/>
      <c r="P120" s="177"/>
      <c r="Q120" s="177"/>
      <c r="R120" s="229"/>
      <c r="S120" s="1265"/>
      <c r="T120" s="807"/>
      <c r="U120" s="132"/>
      <c r="V120" s="132"/>
      <c r="W120" s="53"/>
      <c r="X120" s="53"/>
      <c r="Y120" s="53"/>
      <c r="Z120" s="53"/>
      <c r="AA120" s="57"/>
      <c r="AB120" s="53"/>
      <c r="AC120" s="800"/>
      <c r="AD120" s="64"/>
      <c r="AE120" s="53"/>
      <c r="AF120" s="53"/>
      <c r="AG120" s="57"/>
      <c r="AH120" s="57"/>
      <c r="AI120" s="57"/>
      <c r="AJ120" s="57"/>
      <c r="AK120" s="57"/>
      <c r="AL120" s="57"/>
      <c r="AM120" s="57"/>
      <c r="AN120" s="57"/>
      <c r="AO120" s="57"/>
      <c r="AP120" s="57"/>
      <c r="AQ120" s="57"/>
      <c r="AR120" s="57"/>
      <c r="AS120" s="57"/>
      <c r="AT120" s="57"/>
      <c r="AU120" s="57"/>
      <c r="AV120" s="57"/>
      <c r="AW120" s="57"/>
      <c r="AX120" s="57"/>
      <c r="AY120" s="57"/>
      <c r="AZ120" s="57"/>
      <c r="BA120" s="57"/>
      <c r="BB120" s="57"/>
      <c r="BC120" s="57"/>
      <c r="BD120" s="57"/>
      <c r="BE120" s="57"/>
      <c r="BF120" s="57"/>
      <c r="BG120" s="57"/>
      <c r="BH120" s="57"/>
      <c r="BI120" s="57"/>
      <c r="BJ120" s="57"/>
      <c r="BK120" s="57"/>
      <c r="BL120" s="57"/>
      <c r="BM120" s="57"/>
      <c r="BN120" s="57"/>
      <c r="BO120" s="57"/>
      <c r="BP120" s="57"/>
      <c r="BQ120" s="57"/>
      <c r="BR120" s="57"/>
      <c r="BS120" s="57"/>
      <c r="BT120" s="57"/>
      <c r="BU120" s="57"/>
      <c r="BV120" s="53"/>
      <c r="BW120" s="53"/>
      <c r="BX120" s="53"/>
      <c r="BY120" s="53"/>
      <c r="BZ120" s="53"/>
      <c r="CA120" s="53"/>
      <c r="CB120" s="53"/>
      <c r="CC120" s="53"/>
      <c r="CD120" s="53"/>
      <c r="CE120" s="53"/>
    </row>
    <row r="121" s="63" customFormat="1" ht="24.75" customHeight="1">
      <c r="A121" s="113"/>
      <c r="B121" s="53"/>
      <c r="C121" s="168"/>
      <c r="D121" s="1264"/>
      <c r="E121" s="805" t="s">
        <v>617</v>
      </c>
      <c r="F121" s="805"/>
      <c r="G121" s="805"/>
      <c r="H121" s="805"/>
      <c r="I121" s="805"/>
      <c r="J121" s="805"/>
      <c r="K121" s="805"/>
      <c r="L121" s="805"/>
      <c r="M121" s="805"/>
      <c r="N121" s="805"/>
      <c r="O121" s="805"/>
      <c r="P121" s="805"/>
      <c r="Q121" s="738">
        <f>SUMIF(T122:T123,"i",Q122:Q123)</f>
        <v>0</v>
      </c>
      <c r="R121" s="806"/>
      <c r="S121" s="326" t="s">
        <v>618</v>
      </c>
      <c r="T121" s="799" t="s">
        <v>616</v>
      </c>
      <c r="U121" s="132">
        <v>1</v>
      </c>
      <c r="V121" s="132" t="s">
        <v>579</v>
      </c>
      <c r="W121" s="53"/>
      <c r="X121" s="53"/>
      <c r="Y121" s="53"/>
      <c r="Z121" s="53"/>
      <c r="AA121" s="57"/>
      <c r="AB121" s="53"/>
      <c r="AC121" s="800"/>
      <c r="AD121" s="64"/>
      <c r="AE121" s="53"/>
      <c r="AF121" s="53"/>
      <c r="AG121" s="57"/>
      <c r="AH121" s="57"/>
      <c r="AI121" s="57"/>
      <c r="AJ121" s="57"/>
      <c r="AK121" s="57"/>
      <c r="AL121" s="57"/>
      <c r="AM121" s="57"/>
      <c r="AN121" s="57"/>
      <c r="AO121" s="57"/>
      <c r="AP121" s="57"/>
      <c r="AQ121" s="57"/>
      <c r="AR121" s="57"/>
      <c r="AS121" s="57"/>
      <c r="AT121" s="57"/>
      <c r="AU121" s="57"/>
      <c r="AV121" s="57"/>
      <c r="AW121" s="57"/>
      <c r="AX121" s="57"/>
      <c r="AY121" s="57"/>
      <c r="AZ121" s="57"/>
      <c r="BA121" s="57"/>
      <c r="BB121" s="57"/>
      <c r="BC121" s="57"/>
      <c r="BD121" s="57"/>
      <c r="BE121" s="57"/>
      <c r="BF121" s="57"/>
      <c r="BG121" s="57"/>
      <c r="BH121" s="57"/>
      <c r="BI121" s="57"/>
      <c r="BJ121" s="57"/>
      <c r="BK121" s="57"/>
      <c r="BL121" s="57"/>
      <c r="BM121" s="57"/>
      <c r="BN121" s="57"/>
      <c r="BO121" s="57"/>
      <c r="BP121" s="57"/>
      <c r="BQ121" s="57"/>
      <c r="BR121" s="57"/>
      <c r="BS121" s="57"/>
      <c r="BT121" s="57"/>
      <c r="BU121" s="57"/>
      <c r="BV121" s="53"/>
      <c r="BW121" s="53"/>
      <c r="BX121" s="53"/>
      <c r="BY121" s="53"/>
      <c r="BZ121" s="53"/>
      <c r="CA121" s="53"/>
      <c r="CB121" s="53"/>
      <c r="CC121" s="53"/>
      <c r="CD121" s="53"/>
      <c r="CE121" s="53"/>
    </row>
    <row r="122" s="63" customFormat="1" ht="11.25" hidden="1" customHeight="1">
      <c r="A122" s="132"/>
      <c r="B122" s="57"/>
      <c r="C122" s="57"/>
      <c r="D122" s="1264"/>
      <c r="E122" s="362"/>
      <c r="F122" s="362">
        <v>0</v>
      </c>
      <c r="G122" s="362"/>
      <c r="H122" s="362"/>
      <c r="I122" s="362"/>
      <c r="J122" s="362"/>
      <c r="K122" s="362"/>
      <c r="L122" s="362"/>
      <c r="M122" s="362"/>
      <c r="N122" s="362"/>
      <c r="O122" s="362"/>
      <c r="P122" s="362"/>
      <c r="Q122" s="362"/>
      <c r="R122" s="362"/>
      <c r="S122" s="361"/>
      <c r="T122" s="807"/>
      <c r="U122" s="132"/>
      <c r="V122" s="132"/>
      <c r="W122" s="57"/>
      <c r="X122" s="57"/>
      <c r="Y122" s="57"/>
      <c r="Z122" s="57"/>
      <c r="AA122" s="57"/>
      <c r="AB122" s="53"/>
      <c r="AC122" s="800"/>
      <c r="AD122" s="64"/>
      <c r="AE122" s="53"/>
      <c r="AF122" s="53"/>
      <c r="AG122" s="57"/>
      <c r="AH122" s="57"/>
      <c r="AI122" s="57"/>
      <c r="AJ122" s="57"/>
      <c r="AK122" s="57"/>
      <c r="AL122" s="57"/>
      <c r="AM122" s="57"/>
      <c r="AN122" s="57"/>
      <c r="AO122" s="57"/>
      <c r="AP122" s="57"/>
      <c r="AQ122" s="57"/>
      <c r="AR122" s="57"/>
      <c r="AS122" s="57"/>
      <c r="AT122" s="57"/>
      <c r="AU122" s="57"/>
      <c r="AV122" s="57"/>
      <c r="AW122" s="57"/>
      <c r="AX122" s="57"/>
      <c r="AY122" s="57"/>
      <c r="AZ122" s="57"/>
      <c r="BA122" s="57"/>
      <c r="BB122" s="57"/>
      <c r="BC122" s="57"/>
      <c r="BD122" s="57"/>
      <c r="BE122" s="57"/>
      <c r="BF122" s="57"/>
      <c r="BG122" s="57"/>
      <c r="BH122" s="57"/>
      <c r="BI122" s="57"/>
      <c r="BJ122" s="57"/>
      <c r="BK122" s="57"/>
      <c r="BL122" s="57"/>
      <c r="BM122" s="57"/>
      <c r="BN122" s="57"/>
      <c r="BO122" s="57"/>
      <c r="BP122" s="57"/>
      <c r="BQ122" s="57"/>
      <c r="BR122" s="57"/>
      <c r="BS122" s="57"/>
      <c r="BT122" s="57"/>
      <c r="BU122" s="57"/>
      <c r="BV122" s="57"/>
      <c r="BW122" s="57"/>
      <c r="BX122" s="57"/>
      <c r="BY122" s="57"/>
      <c r="BZ122" s="57"/>
      <c r="CA122" s="57"/>
      <c r="CB122" s="57"/>
      <c r="CC122" s="57"/>
      <c r="CD122" s="57"/>
      <c r="CE122" s="57"/>
    </row>
    <row r="123" s="63" customFormat="1" ht="11.25" customHeight="1">
      <c r="A123" s="113"/>
      <c r="B123" s="53"/>
      <c r="C123" s="168"/>
      <c r="D123" s="1266"/>
      <c r="E123" s="647" t="s">
        <v>28</v>
      </c>
      <c r="F123" s="172" t="s">
        <v>28</v>
      </c>
      <c r="G123" s="172" t="s">
        <v>1938</v>
      </c>
      <c r="H123" s="177" t="s">
        <v>28</v>
      </c>
      <c r="I123" s="177"/>
      <c r="J123" s="177"/>
      <c r="K123" s="177"/>
      <c r="L123" s="177"/>
      <c r="M123" s="177"/>
      <c r="N123" s="177"/>
      <c r="O123" s="177"/>
      <c r="P123" s="177"/>
      <c r="Q123" s="177"/>
      <c r="R123" s="229"/>
      <c r="S123" s="1265"/>
      <c r="T123" s="807"/>
      <c r="U123" s="132"/>
      <c r="V123" s="132"/>
      <c r="W123" s="53"/>
      <c r="X123" s="53"/>
      <c r="Y123" s="53"/>
      <c r="Z123" s="53"/>
      <c r="AA123" s="57"/>
      <c r="AB123" s="53"/>
      <c r="AC123" s="800"/>
      <c r="AD123" s="64"/>
      <c r="AE123" s="53"/>
      <c r="AF123" s="53"/>
      <c r="AG123" s="57"/>
      <c r="AH123" s="57"/>
      <c r="AI123" s="57"/>
      <c r="AJ123" s="57"/>
      <c r="AK123" s="57"/>
      <c r="AL123" s="57"/>
      <c r="AM123" s="57"/>
      <c r="AN123" s="57"/>
      <c r="AO123" s="57"/>
      <c r="AP123" s="57"/>
      <c r="AQ123" s="57"/>
      <c r="AR123" s="57"/>
      <c r="AS123" s="57"/>
      <c r="AT123" s="57"/>
      <c r="AU123" s="57"/>
      <c r="AV123" s="57"/>
      <c r="AW123" s="57"/>
      <c r="AX123" s="57"/>
      <c r="AY123" s="57"/>
      <c r="AZ123" s="57"/>
      <c r="BA123" s="57"/>
      <c r="BB123" s="57"/>
      <c r="BC123" s="57"/>
      <c r="BD123" s="57"/>
      <c r="BE123" s="57"/>
      <c r="BF123" s="57"/>
      <c r="BG123" s="57"/>
      <c r="BH123" s="57"/>
      <c r="BI123" s="57"/>
      <c r="BJ123" s="57"/>
      <c r="BK123" s="57"/>
      <c r="BL123" s="57"/>
      <c r="BM123" s="57"/>
      <c r="BN123" s="57"/>
      <c r="BO123" s="57"/>
      <c r="BP123" s="57"/>
      <c r="BQ123" s="57"/>
      <c r="BR123" s="57"/>
      <c r="BS123" s="57"/>
      <c r="BT123" s="57"/>
      <c r="BU123" s="57"/>
      <c r="BV123" s="53"/>
      <c r="BW123" s="53"/>
      <c r="BX123" s="53"/>
      <c r="BY123" s="53"/>
      <c r="BZ123" s="53"/>
      <c r="CA123" s="53"/>
      <c r="CB123" s="53"/>
      <c r="CC123" s="53"/>
      <c r="CD123" s="53"/>
      <c r="CE123" s="53"/>
    </row>
    <row r="125" s="1141" customFormat="1" ht="11.25" customHeight="1">
      <c r="A125" s="1141" t="s">
        <v>1939</v>
      </c>
    </row>
    <row r="127" s="63" customFormat="1" ht="15" customHeight="1">
      <c r="A127" s="793"/>
      <c r="B127" s="63"/>
      <c r="C127" s="63"/>
      <c r="D127" s="225" t="s">
        <v>109</v>
      </c>
      <c r="E127" s="795" t="s">
        <v>105</v>
      </c>
      <c r="F127" s="796"/>
      <c r="G127" s="797"/>
      <c r="H127" s="79" t="str">
        <f>IF(A127="","",INDEX(DIFFERENTIATION_UNMERGE_VD,MATCH(A127,DIFFERENTIATION_ID_DIFF,0)))</f>
        <v/>
      </c>
      <c r="I127" s="79"/>
      <c r="J127" s="79"/>
      <c r="K127" s="79"/>
      <c r="L127" s="79"/>
      <c r="M127" s="79"/>
      <c r="N127" s="79"/>
      <c r="O127" s="79"/>
      <c r="P127" s="79"/>
      <c r="Q127" s="79"/>
      <c r="R127" s="79"/>
      <c r="S127" s="798"/>
      <c r="T127" s="799"/>
      <c r="U127" s="167"/>
      <c r="V127" s="167"/>
      <c r="W127" s="64"/>
      <c r="X127" s="64"/>
      <c r="Y127" s="64"/>
      <c r="Z127" s="64"/>
      <c r="AA127" s="167"/>
      <c r="AB127" s="64"/>
      <c r="AC127" s="800"/>
      <c r="AD127" s="64"/>
      <c r="AE127" s="801" t="s">
        <v>28</v>
      </c>
      <c r="AF127" s="801"/>
      <c r="AG127" s="802" t="s">
        <v>613</v>
      </c>
      <c r="AH127" s="803">
        <v>3</v>
      </c>
      <c r="AI127" s="167"/>
      <c r="AJ127" s="167"/>
      <c r="AK127" s="167"/>
      <c r="AL127" s="167"/>
      <c r="AM127" s="167"/>
      <c r="AN127" s="167"/>
      <c r="AO127" s="167"/>
      <c r="AP127" s="167"/>
      <c r="AQ127" s="167"/>
      <c r="AR127" s="167"/>
      <c r="AS127" s="167"/>
      <c r="AT127" s="167"/>
      <c r="AU127" s="167"/>
      <c r="AV127" s="167"/>
      <c r="AW127" s="167"/>
      <c r="AX127" s="167"/>
      <c r="AY127" s="167"/>
      <c r="AZ127" s="167"/>
      <c r="BA127" s="167"/>
      <c r="BB127" s="167"/>
      <c r="BC127" s="167"/>
      <c r="BD127" s="167"/>
      <c r="BE127" s="167"/>
      <c r="BF127" s="167"/>
      <c r="BG127" s="167"/>
      <c r="BH127" s="167"/>
      <c r="BI127" s="167"/>
      <c r="BJ127" s="167"/>
      <c r="BK127" s="167"/>
      <c r="BL127" s="167"/>
      <c r="BM127" s="167"/>
      <c r="BN127" s="167"/>
      <c r="BO127" s="167"/>
      <c r="BP127" s="167"/>
      <c r="BQ127" s="167"/>
      <c r="BR127" s="167"/>
      <c r="BS127" s="167"/>
      <c r="BT127" s="167"/>
      <c r="BU127" s="167"/>
      <c r="BV127" s="64"/>
      <c r="BW127" s="64"/>
      <c r="BX127" s="64"/>
      <c r="BY127" s="64"/>
      <c r="BZ127" s="64"/>
      <c r="CA127" s="64"/>
      <c r="CB127" s="64"/>
      <c r="CC127" s="64"/>
      <c r="CD127" s="64"/>
      <c r="CE127" s="64"/>
    </row>
    <row r="128" s="63" customFormat="1" ht="15" customHeight="1">
      <c r="A128" s="793"/>
      <c r="B128" s="63"/>
      <c r="C128" s="63"/>
      <c r="D128" s="1264"/>
      <c r="E128" s="795" t="s">
        <v>568</v>
      </c>
      <c r="F128" s="796"/>
      <c r="G128" s="797"/>
      <c r="H128" s="79" t="str">
        <f>IF(A127="","",INDEX(DIFFERENTIATION_UNMERGE_AREA,MATCH(A127,DIFFERENTIATION_ID_DIFF,0)))</f>
        <v/>
      </c>
      <c r="I128" s="79"/>
      <c r="J128" s="79"/>
      <c r="K128" s="79"/>
      <c r="L128" s="79"/>
      <c r="M128" s="79"/>
      <c r="N128" s="79"/>
      <c r="O128" s="79"/>
      <c r="P128" s="79"/>
      <c r="Q128" s="79"/>
      <c r="R128" s="79"/>
      <c r="S128" s="798"/>
      <c r="T128" s="799"/>
      <c r="U128" s="167"/>
      <c r="V128" s="167"/>
      <c r="W128" s="64"/>
      <c r="X128" s="64"/>
      <c r="Y128" s="64"/>
      <c r="Z128" s="64"/>
      <c r="AA128" s="167"/>
      <c r="AB128" s="64"/>
      <c r="AC128" s="800"/>
      <c r="AD128" s="64"/>
      <c r="AE128" s="801"/>
      <c r="AF128" s="801"/>
      <c r="AG128" s="802"/>
      <c r="AH128" s="803"/>
      <c r="AI128" s="167"/>
      <c r="AJ128" s="167"/>
      <c r="AK128" s="167"/>
      <c r="AL128" s="167"/>
      <c r="AM128" s="167"/>
      <c r="AN128" s="167"/>
      <c r="AO128" s="167"/>
      <c r="AP128" s="167"/>
      <c r="AQ128" s="167"/>
      <c r="AR128" s="167"/>
      <c r="AS128" s="167"/>
      <c r="AT128" s="167"/>
      <c r="AU128" s="167"/>
      <c r="AV128" s="167"/>
      <c r="AW128" s="167"/>
      <c r="AX128" s="167"/>
      <c r="AY128" s="167"/>
      <c r="AZ128" s="167"/>
      <c r="BA128" s="167"/>
      <c r="BB128" s="167"/>
      <c r="BC128" s="167"/>
      <c r="BD128" s="167"/>
      <c r="BE128" s="167"/>
      <c r="BF128" s="167"/>
      <c r="BG128" s="167"/>
      <c r="BH128" s="167"/>
      <c r="BI128" s="167"/>
      <c r="BJ128" s="167"/>
      <c r="BK128" s="167"/>
      <c r="BL128" s="167"/>
      <c r="BM128" s="167"/>
      <c r="BN128" s="167"/>
      <c r="BO128" s="167"/>
      <c r="BP128" s="167"/>
      <c r="BQ128" s="167"/>
      <c r="BR128" s="167"/>
      <c r="BS128" s="167"/>
      <c r="BT128" s="167"/>
      <c r="BU128" s="167"/>
      <c r="BV128" s="64"/>
      <c r="BW128" s="64"/>
      <c r="BX128" s="64"/>
      <c r="BY128" s="64"/>
      <c r="BZ128" s="64"/>
      <c r="CA128" s="64"/>
      <c r="CB128" s="64"/>
      <c r="CC128" s="64"/>
      <c r="CD128" s="64"/>
      <c r="CE128" s="64"/>
    </row>
    <row r="129" s="63" customFormat="1" ht="15" customHeight="1">
      <c r="A129" s="793"/>
      <c r="B129" s="63"/>
      <c r="C129" s="63"/>
      <c r="D129" s="1264"/>
      <c r="E129" s="795" t="s">
        <v>569</v>
      </c>
      <c r="F129" s="796"/>
      <c r="G129" s="797"/>
      <c r="H129" s="79" t="str">
        <f>IF(A127="","",INDEX(DIFFERENTIATION_UNMERGE_SYSTEM,MATCH(A127,DIFFERENTIATION_ID_DIFF,0)))</f>
        <v/>
      </c>
      <c r="I129" s="79"/>
      <c r="J129" s="79"/>
      <c r="K129" s="79"/>
      <c r="L129" s="79"/>
      <c r="M129" s="79"/>
      <c r="N129" s="79"/>
      <c r="O129" s="79"/>
      <c r="P129" s="79"/>
      <c r="Q129" s="79"/>
      <c r="R129" s="79"/>
      <c r="S129" s="798"/>
      <c r="T129" s="799"/>
      <c r="U129" s="167"/>
      <c r="V129" s="167"/>
      <c r="W129" s="64"/>
      <c r="X129" s="64"/>
      <c r="Y129" s="64"/>
      <c r="Z129" s="64"/>
      <c r="AA129" s="167"/>
      <c r="AB129" s="64"/>
      <c r="AC129" s="800"/>
      <c r="AD129" s="64"/>
      <c r="AE129" s="801"/>
      <c r="AF129" s="801"/>
      <c r="AG129" s="802"/>
      <c r="AH129" s="803"/>
      <c r="AI129" s="167"/>
      <c r="AJ129" s="167"/>
      <c r="AK129" s="167"/>
      <c r="AL129" s="167"/>
      <c r="AM129" s="167"/>
      <c r="AN129" s="167"/>
      <c r="AO129" s="167"/>
      <c r="AP129" s="167"/>
      <c r="AQ129" s="167"/>
      <c r="AR129" s="167"/>
      <c r="AS129" s="167"/>
      <c r="AT129" s="167"/>
      <c r="AU129" s="167"/>
      <c r="AV129" s="167"/>
      <c r="AW129" s="167"/>
      <c r="AX129" s="167"/>
      <c r="AY129" s="167"/>
      <c r="AZ129" s="167"/>
      <c r="BA129" s="167"/>
      <c r="BB129" s="167"/>
      <c r="BC129" s="167"/>
      <c r="BD129" s="167"/>
      <c r="BE129" s="167"/>
      <c r="BF129" s="167"/>
      <c r="BG129" s="167"/>
      <c r="BH129" s="167"/>
      <c r="BI129" s="167"/>
      <c r="BJ129" s="167"/>
      <c r="BK129" s="167"/>
      <c r="BL129" s="167"/>
      <c r="BM129" s="167"/>
      <c r="BN129" s="167"/>
      <c r="BO129" s="167"/>
      <c r="BP129" s="167"/>
      <c r="BQ129" s="167"/>
      <c r="BR129" s="167"/>
      <c r="BS129" s="167"/>
      <c r="BT129" s="167"/>
      <c r="BU129" s="167"/>
      <c r="BV129" s="64"/>
      <c r="BW129" s="64"/>
      <c r="BX129" s="64"/>
      <c r="BY129" s="64"/>
      <c r="BZ129" s="64"/>
      <c r="CA129" s="64"/>
      <c r="CB129" s="64"/>
      <c r="CC129" s="64"/>
      <c r="CD129" s="64"/>
      <c r="CE129" s="64"/>
    </row>
    <row r="130" s="63" customFormat="1" ht="24.75" customHeight="1">
      <c r="A130" s="113"/>
      <c r="B130" s="53"/>
      <c r="C130" s="168"/>
      <c r="D130" s="1264"/>
      <c r="E130" s="805" t="s">
        <v>614</v>
      </c>
      <c r="F130" s="805"/>
      <c r="G130" s="805"/>
      <c r="H130" s="805"/>
      <c r="I130" s="805"/>
      <c r="J130" s="805"/>
      <c r="K130" s="805"/>
      <c r="L130" s="805"/>
      <c r="M130" s="805"/>
      <c r="N130" s="805"/>
      <c r="O130" s="805"/>
      <c r="P130" s="805"/>
      <c r="Q130" s="738">
        <f>SUMIF(T131:T132,"i",Q131:Q132)</f>
        <v>0</v>
      </c>
      <c r="R130" s="806"/>
      <c r="S130" s="326" t="s">
        <v>615</v>
      </c>
      <c r="T130" s="799" t="s">
        <v>616</v>
      </c>
      <c r="U130" s="132">
        <v>1</v>
      </c>
      <c r="V130" s="132" t="s">
        <v>579</v>
      </c>
      <c r="W130" s="53"/>
      <c r="X130" s="53"/>
      <c r="Y130" s="53"/>
      <c r="Z130" s="53"/>
      <c r="AA130" s="57"/>
      <c r="AB130" s="53"/>
      <c r="AC130" s="800"/>
      <c r="AD130" s="64"/>
      <c r="AE130" s="53"/>
      <c r="AF130" s="53"/>
      <c r="AG130" s="57"/>
      <c r="AH130" s="57"/>
      <c r="AI130" s="57"/>
      <c r="AJ130" s="57"/>
      <c r="AK130" s="57"/>
      <c r="AL130" s="57"/>
      <c r="AM130" s="57"/>
      <c r="AN130" s="57"/>
      <c r="AO130" s="57"/>
      <c r="AP130" s="57"/>
      <c r="AQ130" s="57"/>
      <c r="AR130" s="57"/>
      <c r="AS130" s="57"/>
      <c r="AT130" s="57"/>
      <c r="AU130" s="57"/>
      <c r="AV130" s="57"/>
      <c r="AW130" s="57"/>
      <c r="AX130" s="57"/>
      <c r="AY130" s="57"/>
      <c r="AZ130" s="57"/>
      <c r="BA130" s="57"/>
      <c r="BB130" s="57"/>
      <c r="BC130" s="57"/>
      <c r="BD130" s="57"/>
      <c r="BE130" s="57"/>
      <c r="BF130" s="57"/>
      <c r="BG130" s="57"/>
      <c r="BH130" s="57"/>
      <c r="BI130" s="57"/>
      <c r="BJ130" s="57"/>
      <c r="BK130" s="57"/>
      <c r="BL130" s="57"/>
      <c r="BM130" s="57"/>
      <c r="BN130" s="57"/>
      <c r="BO130" s="57"/>
      <c r="BP130" s="57"/>
      <c r="BQ130" s="57"/>
      <c r="BR130" s="57"/>
      <c r="BS130" s="57"/>
      <c r="BT130" s="57"/>
      <c r="BU130" s="57"/>
      <c r="BV130" s="53"/>
      <c r="BW130" s="53"/>
      <c r="BX130" s="53"/>
      <c r="BY130" s="53"/>
      <c r="BZ130" s="53"/>
      <c r="CA130" s="53"/>
      <c r="CB130" s="53"/>
      <c r="CC130" s="53"/>
      <c r="CD130" s="53"/>
      <c r="CE130" s="53"/>
    </row>
    <row r="131" s="63" customFormat="1" ht="11.25" hidden="1" customHeight="1">
      <c r="A131" s="132"/>
      <c r="B131" s="57"/>
      <c r="C131" s="57"/>
      <c r="D131" s="1264"/>
      <c r="E131" s="362"/>
      <c r="F131" s="362">
        <v>0</v>
      </c>
      <c r="G131" s="362"/>
      <c r="H131" s="362"/>
      <c r="I131" s="362"/>
      <c r="J131" s="362"/>
      <c r="K131" s="362"/>
      <c r="L131" s="362"/>
      <c r="M131" s="362"/>
      <c r="N131" s="362"/>
      <c r="O131" s="362"/>
      <c r="P131" s="362"/>
      <c r="Q131" s="362"/>
      <c r="R131" s="362"/>
      <c r="S131" s="361"/>
      <c r="T131" s="807"/>
      <c r="U131" s="132"/>
      <c r="V131" s="132"/>
      <c r="W131" s="57"/>
      <c r="X131" s="57"/>
      <c r="Y131" s="57"/>
      <c r="Z131" s="57"/>
      <c r="AA131" s="57"/>
      <c r="AB131" s="53"/>
      <c r="AC131" s="800"/>
      <c r="AD131" s="64"/>
      <c r="AE131" s="53"/>
      <c r="AF131" s="53"/>
      <c r="AG131" s="57"/>
      <c r="AH131" s="57"/>
      <c r="AI131" s="57"/>
      <c r="AJ131" s="57"/>
      <c r="AK131" s="57"/>
      <c r="AL131" s="57"/>
      <c r="AM131" s="57"/>
      <c r="AN131" s="57"/>
      <c r="AO131" s="57"/>
      <c r="AP131" s="57"/>
      <c r="AQ131" s="57"/>
      <c r="AR131" s="57"/>
      <c r="AS131" s="57"/>
      <c r="AT131" s="57"/>
      <c r="AU131" s="57"/>
      <c r="AV131" s="57"/>
      <c r="AW131" s="57"/>
      <c r="AX131" s="57"/>
      <c r="AY131" s="57"/>
      <c r="AZ131" s="57"/>
      <c r="BA131" s="57"/>
      <c r="BB131" s="57"/>
      <c r="BC131" s="57"/>
      <c r="BD131" s="57"/>
      <c r="BE131" s="57"/>
      <c r="BF131" s="57"/>
      <c r="BG131" s="57"/>
      <c r="BH131" s="57"/>
      <c r="BI131" s="57"/>
      <c r="BJ131" s="57"/>
      <c r="BK131" s="57"/>
      <c r="BL131" s="57"/>
      <c r="BM131" s="57"/>
      <c r="BN131" s="57"/>
      <c r="BO131" s="57"/>
      <c r="BP131" s="57"/>
      <c r="BQ131" s="57"/>
      <c r="BR131" s="57"/>
      <c r="BS131" s="57"/>
      <c r="BT131" s="57"/>
      <c r="BU131" s="57"/>
      <c r="BV131" s="57"/>
      <c r="BW131" s="57"/>
      <c r="BX131" s="57"/>
      <c r="BY131" s="57"/>
      <c r="BZ131" s="57"/>
      <c r="CA131" s="57"/>
      <c r="CB131" s="57"/>
      <c r="CC131" s="57"/>
      <c r="CD131" s="57"/>
      <c r="CE131" s="57"/>
    </row>
    <row r="132" s="63" customFormat="1" ht="11.25" customHeight="1">
      <c r="A132" s="113"/>
      <c r="B132" s="53"/>
      <c r="C132" s="168"/>
      <c r="D132" s="1264"/>
      <c r="E132" s="647" t="s">
        <v>28</v>
      </c>
      <c r="F132" s="172" t="s">
        <v>28</v>
      </c>
      <c r="G132" s="172" t="s">
        <v>1938</v>
      </c>
      <c r="H132" s="177" t="s">
        <v>28</v>
      </c>
      <c r="I132" s="177"/>
      <c r="J132" s="177"/>
      <c r="K132" s="177"/>
      <c r="L132" s="177"/>
      <c r="M132" s="177"/>
      <c r="N132" s="177"/>
      <c r="O132" s="177"/>
      <c r="P132" s="177"/>
      <c r="Q132" s="177"/>
      <c r="R132" s="229"/>
      <c r="S132" s="1265"/>
      <c r="T132" s="807"/>
      <c r="U132" s="132"/>
      <c r="V132" s="132"/>
      <c r="W132" s="53"/>
      <c r="X132" s="53"/>
      <c r="Y132" s="53"/>
      <c r="Z132" s="53"/>
      <c r="AA132" s="57"/>
      <c r="AB132" s="53"/>
      <c r="AC132" s="800"/>
      <c r="AD132" s="64"/>
      <c r="AE132" s="53"/>
      <c r="AF132" s="53"/>
      <c r="AG132" s="57"/>
      <c r="AH132" s="57"/>
      <c r="AI132" s="57"/>
      <c r="AJ132" s="57"/>
      <c r="AK132" s="57"/>
      <c r="AL132" s="57"/>
      <c r="AM132" s="57"/>
      <c r="AN132" s="57"/>
      <c r="AO132" s="57"/>
      <c r="AP132" s="57"/>
      <c r="AQ132" s="57"/>
      <c r="AR132" s="57"/>
      <c r="AS132" s="57"/>
      <c r="AT132" s="57"/>
      <c r="AU132" s="57"/>
      <c r="AV132" s="57"/>
      <c r="AW132" s="57"/>
      <c r="AX132" s="57"/>
      <c r="AY132" s="57"/>
      <c r="AZ132" s="57"/>
      <c r="BA132" s="57"/>
      <c r="BB132" s="57"/>
      <c r="BC132" s="57"/>
      <c r="BD132" s="57"/>
      <c r="BE132" s="57"/>
      <c r="BF132" s="57"/>
      <c r="BG132" s="57"/>
      <c r="BH132" s="57"/>
      <c r="BI132" s="57"/>
      <c r="BJ132" s="57"/>
      <c r="BK132" s="57"/>
      <c r="BL132" s="57"/>
      <c r="BM132" s="57"/>
      <c r="BN132" s="57"/>
      <c r="BO132" s="57"/>
      <c r="BP132" s="57"/>
      <c r="BQ132" s="57"/>
      <c r="BR132" s="57"/>
      <c r="BS132" s="57"/>
      <c r="BT132" s="57"/>
      <c r="BU132" s="57"/>
      <c r="BV132" s="53"/>
      <c r="BW132" s="53"/>
      <c r="BX132" s="53"/>
      <c r="BY132" s="53"/>
      <c r="BZ132" s="53"/>
      <c r="CA132" s="53"/>
      <c r="CB132" s="53"/>
      <c r="CC132" s="53"/>
      <c r="CD132" s="53"/>
      <c r="CE132" s="53"/>
    </row>
    <row r="133" s="167" customFormat="1" ht="5.25" hidden="1" customHeight="1">
      <c r="A133" s="132"/>
      <c r="B133" s="57"/>
      <c r="C133" s="57"/>
      <c r="D133" s="1264"/>
      <c r="E133" s="1267"/>
      <c r="F133" s="1267"/>
      <c r="G133" s="1267"/>
      <c r="H133" s="1267"/>
      <c r="I133" s="1267"/>
      <c r="J133" s="1267"/>
      <c r="K133" s="1267"/>
      <c r="L133" s="1267"/>
      <c r="M133" s="1267"/>
      <c r="N133" s="1267"/>
      <c r="O133" s="1267"/>
      <c r="P133" s="1267"/>
      <c r="Q133" s="660"/>
      <c r="R133" s="1268"/>
      <c r="S133" s="362"/>
      <c r="T133" s="799" t="s">
        <v>616</v>
      </c>
      <c r="U133" s="132">
        <v>1</v>
      </c>
      <c r="V133" s="132" t="s">
        <v>579</v>
      </c>
      <c r="W133" s="57"/>
      <c r="X133" s="57"/>
      <c r="Y133" s="57"/>
      <c r="Z133" s="57"/>
      <c r="AA133" s="57"/>
      <c r="AB133" s="57"/>
      <c r="AC133" s="1269"/>
      <c r="AD133" s="167"/>
      <c r="AE133" s="57"/>
      <c r="AF133" s="57"/>
      <c r="AG133" s="57"/>
      <c r="AH133" s="57"/>
      <c r="AI133" s="57"/>
      <c r="AJ133" s="57"/>
      <c r="AK133" s="57"/>
      <c r="AL133" s="57"/>
      <c r="AM133" s="57"/>
      <c r="AN133" s="57"/>
      <c r="AO133" s="57"/>
      <c r="AP133" s="57"/>
      <c r="AQ133" s="57"/>
      <c r="AR133" s="57"/>
      <c r="AS133" s="57"/>
      <c r="AT133" s="57"/>
      <c r="AU133" s="57"/>
      <c r="AV133" s="57"/>
      <c r="AW133" s="57"/>
      <c r="AX133" s="57"/>
      <c r="AY133" s="57"/>
      <c r="AZ133" s="57"/>
      <c r="BA133" s="57"/>
      <c r="BB133" s="57"/>
      <c r="BC133" s="57"/>
      <c r="BD133" s="57"/>
      <c r="BE133" s="57"/>
      <c r="BF133" s="57"/>
      <c r="BG133" s="57"/>
      <c r="BH133" s="57"/>
      <c r="BI133" s="57"/>
      <c r="BJ133" s="57"/>
      <c r="BK133" s="57"/>
      <c r="BL133" s="57"/>
      <c r="BM133" s="57"/>
      <c r="BN133" s="57"/>
      <c r="BO133" s="57"/>
      <c r="BP133" s="57"/>
      <c r="BQ133" s="57"/>
      <c r="BR133" s="57"/>
      <c r="BS133" s="57"/>
      <c r="BT133" s="57"/>
      <c r="BU133" s="57"/>
      <c r="BV133" s="57"/>
      <c r="BW133" s="57"/>
      <c r="BX133" s="57"/>
      <c r="BY133" s="57"/>
      <c r="BZ133" s="57"/>
      <c r="CA133" s="57"/>
      <c r="CB133" s="57"/>
      <c r="CC133" s="57"/>
      <c r="CD133" s="57"/>
      <c r="CE133" s="57"/>
    </row>
    <row r="134" s="167" customFormat="1" ht="5.25" hidden="1" customHeight="1">
      <c r="A134" s="132"/>
      <c r="B134" s="57"/>
      <c r="C134" s="57"/>
      <c r="D134" s="1264"/>
      <c r="E134" s="362"/>
      <c r="F134" s="362"/>
      <c r="G134" s="362"/>
      <c r="H134" s="362"/>
      <c r="I134" s="362"/>
      <c r="J134" s="362"/>
      <c r="K134" s="362"/>
      <c r="L134" s="362"/>
      <c r="M134" s="362"/>
      <c r="N134" s="362"/>
      <c r="O134" s="362"/>
      <c r="P134" s="362"/>
      <c r="Q134" s="362"/>
      <c r="R134" s="362"/>
      <c r="S134" s="361"/>
      <c r="T134" s="807"/>
      <c r="U134" s="132"/>
      <c r="V134" s="132"/>
      <c r="W134" s="57"/>
      <c r="X134" s="57"/>
      <c r="Y134" s="57"/>
      <c r="Z134" s="57"/>
      <c r="AA134" s="57"/>
      <c r="AB134" s="57"/>
      <c r="AC134" s="1269"/>
      <c r="AD134" s="167"/>
      <c r="AE134" s="57"/>
      <c r="AF134" s="57"/>
      <c r="AG134" s="57"/>
      <c r="AH134" s="57"/>
      <c r="AI134" s="57"/>
      <c r="AJ134" s="57"/>
      <c r="AK134" s="57"/>
      <c r="AL134" s="57"/>
      <c r="AM134" s="57"/>
      <c r="AN134" s="57"/>
      <c r="AO134" s="57"/>
      <c r="AP134" s="57"/>
      <c r="AQ134" s="57"/>
      <c r="AR134" s="57"/>
      <c r="AS134" s="57"/>
      <c r="AT134" s="57"/>
      <c r="AU134" s="57"/>
      <c r="AV134" s="57"/>
      <c r="AW134" s="57"/>
      <c r="AX134" s="57"/>
      <c r="AY134" s="57"/>
      <c r="AZ134" s="57"/>
      <c r="BA134" s="57"/>
      <c r="BB134" s="57"/>
      <c r="BC134" s="57"/>
      <c r="BD134" s="57"/>
      <c r="BE134" s="57"/>
      <c r="BF134" s="57"/>
      <c r="BG134" s="57"/>
      <c r="BH134" s="57"/>
      <c r="BI134" s="57"/>
      <c r="BJ134" s="57"/>
      <c r="BK134" s="57"/>
      <c r="BL134" s="57"/>
      <c r="BM134" s="57"/>
      <c r="BN134" s="57"/>
      <c r="BO134" s="57"/>
      <c r="BP134" s="57"/>
      <c r="BQ134" s="57"/>
      <c r="BR134" s="57"/>
      <c r="BS134" s="57"/>
      <c r="BT134" s="57"/>
      <c r="BU134" s="57"/>
      <c r="BV134" s="57"/>
      <c r="BW134" s="57"/>
      <c r="BX134" s="57"/>
      <c r="BY134" s="57"/>
      <c r="BZ134" s="57"/>
      <c r="CA134" s="57"/>
      <c r="CB134" s="57"/>
      <c r="CC134" s="57"/>
      <c r="CD134" s="57"/>
      <c r="CE134" s="57"/>
    </row>
    <row r="135" s="167" customFormat="1" ht="5.25" hidden="1" customHeight="1">
      <c r="A135" s="132"/>
      <c r="B135" s="57"/>
      <c r="C135" s="57"/>
      <c r="D135" s="1266"/>
      <c r="E135" s="1270"/>
      <c r="F135" s="1271"/>
      <c r="G135" s="1271"/>
      <c r="H135" s="1272"/>
      <c r="I135" s="1272"/>
      <c r="J135" s="1272"/>
      <c r="K135" s="1272"/>
      <c r="L135" s="1272"/>
      <c r="M135" s="1272"/>
      <c r="N135" s="1272"/>
      <c r="O135" s="1272"/>
      <c r="P135" s="1272"/>
      <c r="Q135" s="1272"/>
      <c r="R135" s="1273"/>
      <c r="S135" s="1274"/>
      <c r="T135" s="807"/>
      <c r="U135" s="132"/>
      <c r="V135" s="132"/>
      <c r="W135" s="57"/>
      <c r="X135" s="57"/>
      <c r="Y135" s="57"/>
      <c r="Z135" s="57"/>
      <c r="AA135" s="57"/>
      <c r="AB135" s="57"/>
      <c r="AC135" s="1269"/>
      <c r="AD135" s="167"/>
      <c r="AE135" s="57"/>
      <c r="AF135" s="57"/>
      <c r="AG135" s="57"/>
      <c r="AH135" s="57"/>
      <c r="AI135" s="57"/>
      <c r="AJ135" s="57"/>
      <c r="AK135" s="57"/>
      <c r="AL135" s="57"/>
      <c r="AM135" s="57"/>
      <c r="AN135" s="57"/>
      <c r="AO135" s="57"/>
      <c r="AP135" s="57"/>
      <c r="AQ135" s="57"/>
      <c r="AR135" s="57"/>
      <c r="AS135" s="57"/>
      <c r="AT135" s="57"/>
      <c r="AU135" s="57"/>
      <c r="AV135" s="57"/>
      <c r="AW135" s="57"/>
      <c r="AX135" s="57"/>
      <c r="AY135" s="57"/>
      <c r="AZ135" s="57"/>
      <c r="BA135" s="57"/>
      <c r="BB135" s="57"/>
      <c r="BC135" s="57"/>
      <c r="BD135" s="57"/>
      <c r="BE135" s="57"/>
      <c r="BF135" s="57"/>
      <c r="BG135" s="57"/>
      <c r="BH135" s="57"/>
      <c r="BI135" s="57"/>
      <c r="BJ135" s="57"/>
      <c r="BK135" s="57"/>
      <c r="BL135" s="57"/>
      <c r="BM135" s="57"/>
      <c r="BN135" s="57"/>
      <c r="BO135" s="57"/>
      <c r="BP135" s="57"/>
      <c r="BQ135" s="57"/>
      <c r="BR135" s="57"/>
      <c r="BS135" s="57"/>
      <c r="BT135" s="57"/>
      <c r="BU135" s="57"/>
      <c r="BV135" s="57"/>
      <c r="BW135" s="57"/>
      <c r="BX135" s="57"/>
      <c r="BY135" s="57"/>
      <c r="BZ135" s="57"/>
      <c r="CA135" s="57"/>
      <c r="CB135" s="57"/>
      <c r="CC135" s="57"/>
      <c r="CD135" s="57"/>
      <c r="CE135" s="57"/>
    </row>
    <row r="136" ht="17.25" customHeight="1">
      <c r="D136" s="1275"/>
    </row>
    <row r="137" s="1141" customFormat="1" ht="11.25" customHeight="1">
      <c r="A137" s="1141" t="s">
        <v>1940</v>
      </c>
    </row>
    <row r="139" s="63" customFormat="1" ht="45" customHeight="1">
      <c r="A139" s="113"/>
      <c r="B139" s="53"/>
      <c r="C139" s="168"/>
      <c r="D139" s="63"/>
      <c r="E139" s="1276"/>
      <c r="F139" s="218" t="s">
        <v>109</v>
      </c>
      <c r="G139" s="1277" t="s">
        <v>28</v>
      </c>
      <c r="H139" s="494"/>
      <c r="I139" s="1278" t="s">
        <v>109</v>
      </c>
      <c r="J139" s="840" t="s">
        <v>1941</v>
      </c>
      <c r="K139" s="251" t="s">
        <v>550</v>
      </c>
      <c r="L139" s="427" t="s">
        <v>550</v>
      </c>
      <c r="M139" s="246"/>
      <c r="N139" s="251" t="s">
        <v>550</v>
      </c>
      <c r="O139" s="251" t="s">
        <v>550</v>
      </c>
      <c r="P139" s="251" t="s">
        <v>550</v>
      </c>
      <c r="Q139" s="918">
        <f>SUM(Q140:Q142)</f>
        <v>0</v>
      </c>
      <c r="R139" s="918">
        <f>IF(R136=0,0,(Q136/R136)*100)</f>
        <v>0</v>
      </c>
      <c r="S139" s="326"/>
      <c r="T139" s="799" t="s">
        <v>616</v>
      </c>
      <c r="U139" s="63"/>
      <c r="V139" s="63"/>
      <c r="AC139" s="63"/>
    </row>
    <row r="140" s="63" customFormat="1" ht="11.25" customHeight="1">
      <c r="A140" s="113"/>
      <c r="B140" s="53"/>
      <c r="C140" s="168"/>
      <c r="D140" s="63"/>
      <c r="E140" s="1179"/>
      <c r="F140" s="218"/>
      <c r="G140" s="1277"/>
      <c r="H140" s="157"/>
      <c r="I140" s="946" t="s">
        <v>1026</v>
      </c>
      <c r="J140" s="977"/>
      <c r="K140" s="1279"/>
      <c r="L140" s="970"/>
      <c r="M140" s="1280" t="s">
        <v>109</v>
      </c>
      <c r="N140" s="295"/>
      <c r="O140" s="442"/>
      <c r="P140" s="522"/>
      <c r="Q140" s="442"/>
      <c r="R140" s="542">
        <v>0</v>
      </c>
      <c r="S140" s="326"/>
      <c r="T140" s="799"/>
      <c r="U140" s="63"/>
      <c r="V140" s="63"/>
      <c r="AC140" s="63"/>
    </row>
    <row r="141" s="63" customFormat="1" ht="11.25" customHeight="1">
      <c r="A141" s="113"/>
      <c r="B141" s="53"/>
      <c r="C141" s="168"/>
      <c r="D141" s="63"/>
      <c r="E141" s="1179"/>
      <c r="F141" s="218"/>
      <c r="G141" s="1277"/>
      <c r="H141" s="157"/>
      <c r="I141" s="946"/>
      <c r="J141" s="977"/>
      <c r="K141" s="295"/>
      <c r="L141" s="1281"/>
      <c r="M141" s="1282"/>
      <c r="N141" s="177" t="s">
        <v>1942</v>
      </c>
      <c r="O141" s="177"/>
      <c r="P141" s="177"/>
      <c r="Q141" s="177"/>
      <c r="R141" s="229"/>
      <c r="S141" s="326"/>
      <c r="T141" s="799"/>
      <c r="U141" s="63"/>
      <c r="V141" s="63"/>
      <c r="AC141" s="63"/>
    </row>
    <row r="142" s="63" customFormat="1" ht="11.25" customHeight="1">
      <c r="A142" s="113"/>
      <c r="B142" s="53"/>
      <c r="C142" s="168"/>
      <c r="D142" s="63"/>
      <c r="E142" s="1283"/>
      <c r="F142" s="218"/>
      <c r="G142" s="95"/>
      <c r="H142" s="1281" t="s">
        <v>28</v>
      </c>
      <c r="I142" s="1282"/>
      <c r="J142" s="177" t="s">
        <v>1943</v>
      </c>
      <c r="K142" s="177"/>
      <c r="L142" s="177"/>
      <c r="M142" s="177"/>
      <c r="N142" s="177"/>
      <c r="O142" s="177"/>
      <c r="P142" s="177"/>
      <c r="Q142" s="177"/>
      <c r="R142" s="229"/>
      <c r="S142" s="326"/>
      <c r="T142" s="799"/>
      <c r="U142" s="63"/>
      <c r="V142" s="63"/>
      <c r="AC142" s="63"/>
    </row>
    <row r="147" s="63" customFormat="1" ht="11.25" customHeight="1">
      <c r="A147" s="113"/>
      <c r="B147" s="53"/>
      <c r="C147" s="168"/>
      <c r="D147" s="63"/>
      <c r="E147" s="1222"/>
      <c r="F147" s="1222"/>
      <c r="G147" s="1222"/>
      <c r="H147" s="157"/>
      <c r="I147" s="946" t="s">
        <v>1026</v>
      </c>
      <c r="J147" s="977"/>
      <c r="K147" s="1279"/>
      <c r="L147" s="970"/>
      <c r="M147" s="1280" t="s">
        <v>109</v>
      </c>
      <c r="N147" s="295"/>
      <c r="O147" s="442"/>
      <c r="P147" s="522"/>
      <c r="Q147" s="442"/>
      <c r="R147" s="542">
        <v>0</v>
      </c>
      <c r="S147" s="63"/>
      <c r="T147" s="799"/>
      <c r="U147" s="63"/>
      <c r="V147" s="63"/>
      <c r="AC147" s="63"/>
    </row>
    <row r="148" s="63" customFormat="1" ht="11.25" customHeight="1">
      <c r="A148" s="113"/>
      <c r="B148" s="53"/>
      <c r="C148" s="168"/>
      <c r="D148" s="63"/>
      <c r="E148" s="1222"/>
      <c r="F148" s="1222"/>
      <c r="G148" s="1222"/>
      <c r="H148" s="157"/>
      <c r="I148" s="946"/>
      <c r="J148" s="977"/>
      <c r="K148" s="295"/>
      <c r="L148" s="1281"/>
      <c r="M148" s="1282"/>
      <c r="N148" s="177" t="s">
        <v>1942</v>
      </c>
      <c r="O148" s="177"/>
      <c r="P148" s="177"/>
      <c r="Q148" s="177"/>
      <c r="R148" s="229"/>
      <c r="S148" s="63"/>
      <c r="T148" s="799"/>
      <c r="U148" s="63"/>
      <c r="V148" s="63"/>
      <c r="AC148" s="63"/>
    </row>
    <row r="150" s="63" customFormat="1" ht="11.25" customHeight="1">
      <c r="A150" s="113"/>
      <c r="B150" s="53"/>
      <c r="C150" s="168"/>
      <c r="D150" s="63"/>
      <c r="E150" s="1284"/>
      <c r="F150" s="63"/>
      <c r="G150" s="63"/>
      <c r="H150" s="1285"/>
      <c r="I150" s="1222"/>
      <c r="J150" s="1224"/>
      <c r="K150" s="1224"/>
      <c r="L150" s="970"/>
      <c r="M150" s="1280" t="s">
        <v>109</v>
      </c>
      <c r="N150" s="295"/>
      <c r="O150" s="442"/>
      <c r="P150" s="522"/>
      <c r="Q150" s="442"/>
      <c r="R150" s="542">
        <v>0</v>
      </c>
      <c r="S150" s="63"/>
      <c r="T150" s="799"/>
      <c r="U150" s="63"/>
      <c r="V150" s="63"/>
      <c r="AC150" s="63"/>
    </row>
    <row r="152" s="1141" customFormat="1" ht="17.25" customHeight="1">
      <c r="A152" s="1141" t="s">
        <v>1944</v>
      </c>
    </row>
    <row r="153" ht="17.25" customHeight="1">
      <c r="G153" s="273"/>
      <c r="H153" s="273"/>
      <c r="I153" s="273"/>
      <c r="M153" s="63"/>
    </row>
    <row r="154" s="184" customFormat="1" ht="17.25" customHeight="1">
      <c r="A154" s="253"/>
      <c r="C154" s="128"/>
      <c r="D154" s="250"/>
      <c r="E154" s="255"/>
      <c r="F154" s="256"/>
      <c r="G154" s="290"/>
      <c r="H154" s="250"/>
      <c r="I154" s="250">
        <v>1</v>
      </c>
      <c r="J154" s="291"/>
      <c r="K154" s="292" t="s">
        <v>67</v>
      </c>
      <c r="L154" s="218"/>
      <c r="M154" s="218" t="s">
        <v>109</v>
      </c>
      <c r="N154" s="1286" t="str">
        <f>IF(Z154="","",INDEX(TERRITORY_MR_LIST,MATCH(Z154,TERRITORY_LIST_ID,0)))</f>
        <v/>
      </c>
      <c r="O154" s="292" t="s">
        <v>67</v>
      </c>
      <c r="P154" s="218"/>
      <c r="Q154" s="218" t="s">
        <v>109</v>
      </c>
      <c r="R154" s="295" t="s">
        <v>28</v>
      </c>
      <c r="S154" s="224" t="s">
        <v>67</v>
      </c>
      <c r="T154" s="218"/>
      <c r="U154" s="218" t="s">
        <v>109</v>
      </c>
      <c r="V154" s="295" t="s">
        <v>28</v>
      </c>
      <c r="W154" s="291"/>
      <c r="Y154" s="264"/>
      <c r="Z154" s="264"/>
      <c r="AA154" s="264"/>
      <c r="AB154" s="264"/>
      <c r="AC154" s="264"/>
      <c r="AD154" s="264"/>
      <c r="AE154" s="264"/>
      <c r="AF154" s="264"/>
      <c r="AG154" s="264"/>
      <c r="AH154" s="264"/>
      <c r="AI154" s="264"/>
      <c r="AJ154" s="264"/>
      <c r="AK154" s="264"/>
      <c r="AL154" s="62"/>
      <c r="AM154" s="62"/>
      <c r="AN154" s="264"/>
      <c r="AO154" s="264"/>
      <c r="AP154" s="264"/>
      <c r="AQ154" s="264"/>
    </row>
    <row r="155" s="184" customFormat="1" ht="17.25" customHeight="1">
      <c r="A155" s="253"/>
      <c r="C155" s="184"/>
      <c r="D155" s="250"/>
      <c r="E155" s="255"/>
      <c r="F155" s="265"/>
      <c r="G155" s="290"/>
      <c r="H155" s="250"/>
      <c r="I155" s="250"/>
      <c r="J155" s="291"/>
      <c r="K155" s="296"/>
      <c r="L155" s="218"/>
      <c r="M155" s="218"/>
      <c r="N155" s="1286"/>
      <c r="O155" s="296"/>
      <c r="P155" s="218"/>
      <c r="Q155" s="218"/>
      <c r="R155" s="295"/>
      <c r="S155" s="224"/>
      <c r="T155" s="297"/>
      <c r="U155" s="298"/>
      <c r="V155" s="298" t="s">
        <v>211</v>
      </c>
      <c r="W155" s="299"/>
      <c r="Y155" s="106"/>
      <c r="Z155" s="106"/>
      <c r="AA155" s="106"/>
      <c r="AB155" s="106"/>
      <c r="AC155" s="106"/>
      <c r="AD155" s="106"/>
      <c r="AE155" s="106"/>
      <c r="AF155" s="106"/>
      <c r="AG155" s="106"/>
      <c r="AH155" s="106"/>
      <c r="AI155" s="106"/>
      <c r="AJ155" s="106"/>
      <c r="AK155" s="106"/>
    </row>
    <row r="156" s="184" customFormat="1" ht="17.25" customHeight="1">
      <c r="A156" s="253"/>
      <c r="C156" s="184"/>
      <c r="D156" s="274"/>
      <c r="E156" s="275"/>
      <c r="F156" s="265"/>
      <c r="G156" s="300"/>
      <c r="H156" s="274"/>
      <c r="I156" s="274"/>
      <c r="J156" s="301"/>
      <c r="K156" s="296"/>
      <c r="L156" s="274"/>
      <c r="M156" s="274"/>
      <c r="N156" s="1287"/>
      <c r="O156" s="220"/>
      <c r="P156" s="297"/>
      <c r="Q156" s="298"/>
      <c r="R156" s="298" t="s">
        <v>212</v>
      </c>
      <c r="S156" s="302"/>
      <c r="T156" s="302"/>
      <c r="U156" s="302"/>
      <c r="V156" s="302"/>
      <c r="W156" s="299"/>
      <c r="Y156" s="106"/>
      <c r="Z156" s="106"/>
      <c r="AA156" s="106"/>
      <c r="AB156" s="106"/>
      <c r="AC156" s="106"/>
      <c r="AD156" s="106"/>
      <c r="AE156" s="106"/>
      <c r="AF156" s="106"/>
      <c r="AG156" s="106"/>
      <c r="AH156" s="106"/>
      <c r="AI156" s="106"/>
      <c r="AJ156" s="106"/>
      <c r="AK156" s="106"/>
    </row>
    <row r="157" s="184" customFormat="1" ht="17.25" customHeight="1">
      <c r="A157" s="253"/>
      <c r="C157" s="184"/>
      <c r="D157" s="274"/>
      <c r="E157" s="275"/>
      <c r="F157" s="265"/>
      <c r="G157" s="300"/>
      <c r="H157" s="274"/>
      <c r="I157" s="274"/>
      <c r="J157" s="301"/>
      <c r="K157" s="220"/>
      <c r="L157" s="297"/>
      <c r="M157" s="298"/>
      <c r="N157" s="298" t="s">
        <v>213</v>
      </c>
      <c r="O157" s="298"/>
      <c r="P157" s="298"/>
      <c r="Q157" s="298"/>
      <c r="R157" s="298"/>
      <c r="S157" s="302"/>
      <c r="T157" s="302"/>
      <c r="U157" s="302"/>
      <c r="V157" s="302"/>
      <c r="W157" s="299"/>
      <c r="Y157" s="106"/>
      <c r="Z157" s="106"/>
      <c r="AA157" s="106"/>
      <c r="AB157" s="106"/>
      <c r="AC157" s="106"/>
      <c r="AD157" s="106"/>
      <c r="AE157" s="106"/>
      <c r="AF157" s="106"/>
      <c r="AG157" s="106"/>
      <c r="AH157" s="106"/>
      <c r="AI157" s="106"/>
      <c r="AJ157" s="106"/>
      <c r="AK157" s="106"/>
    </row>
    <row r="158" s="184" customFormat="1" ht="17.25" customHeight="1">
      <c r="A158" s="253"/>
      <c r="C158" s="184"/>
      <c r="D158" s="274"/>
      <c r="E158" s="275"/>
      <c r="F158" s="276"/>
      <c r="G158" s="300"/>
      <c r="H158" s="297"/>
      <c r="I158" s="298"/>
      <c r="J158" s="298" t="s">
        <v>214</v>
      </c>
      <c r="K158" s="298"/>
      <c r="L158" s="298"/>
      <c r="M158" s="298"/>
      <c r="N158" s="298"/>
      <c r="O158" s="298"/>
      <c r="P158" s="298"/>
      <c r="Q158" s="298"/>
      <c r="R158" s="298"/>
      <c r="S158" s="302"/>
      <c r="T158" s="302"/>
      <c r="U158" s="302"/>
      <c r="V158" s="302"/>
      <c r="W158" s="299"/>
      <c r="Y158" s="106"/>
      <c r="Z158" s="106"/>
      <c r="AA158" s="106"/>
      <c r="AB158" s="106"/>
      <c r="AC158" s="106"/>
      <c r="AD158" s="106"/>
      <c r="AE158" s="106"/>
      <c r="AF158" s="106"/>
      <c r="AG158" s="106"/>
      <c r="AH158" s="106"/>
      <c r="AI158" s="106"/>
      <c r="AJ158" s="106"/>
      <c r="AK158" s="106"/>
    </row>
    <row r="159" ht="17.25" customHeight="1">
      <c r="G159" s="273"/>
      <c r="H159" s="273"/>
      <c r="I159" s="273"/>
      <c r="M159" s="63"/>
    </row>
    <row r="160" s="184" customFormat="1" ht="17.25" customHeight="1">
      <c r="A160" s="253"/>
      <c r="C160" s="128"/>
      <c r="D160" s="1222"/>
      <c r="E160" s="1288"/>
      <c r="F160" s="265"/>
      <c r="G160" s="1289"/>
      <c r="H160" s="250"/>
      <c r="I160" s="250">
        <v>1</v>
      </c>
      <c r="J160" s="291"/>
      <c r="K160" s="292" t="s">
        <v>67</v>
      </c>
      <c r="L160" s="218"/>
      <c r="M160" s="218" t="s">
        <v>109</v>
      </c>
      <c r="N160" s="1286" t="str">
        <f>IF(Z160="","",INDEX(TERRITORY_MR_LIST,MATCH(Z160,TERRITORY_LIST_ID,0)))</f>
        <v/>
      </c>
      <c r="O160" s="292" t="s">
        <v>67</v>
      </c>
      <c r="P160" s="218"/>
      <c r="Q160" s="218" t="s">
        <v>109</v>
      </c>
      <c r="R160" s="295" t="s">
        <v>28</v>
      </c>
      <c r="S160" s="224" t="s">
        <v>67</v>
      </c>
      <c r="T160" s="218"/>
      <c r="U160" s="218" t="s">
        <v>109</v>
      </c>
      <c r="V160" s="295" t="s">
        <v>28</v>
      </c>
      <c r="W160" s="291"/>
      <c r="Y160" s="264"/>
      <c r="Z160" s="264"/>
      <c r="AA160" s="264"/>
      <c r="AB160" s="264"/>
      <c r="AC160" s="264"/>
      <c r="AD160" s="264"/>
      <c r="AE160" s="264"/>
      <c r="AF160" s="264"/>
      <c r="AG160" s="264"/>
      <c r="AH160" s="264"/>
      <c r="AI160" s="264"/>
      <c r="AJ160" s="264"/>
      <c r="AK160" s="264"/>
      <c r="AL160" s="62"/>
      <c r="AM160" s="62"/>
      <c r="AN160" s="264"/>
      <c r="AO160" s="264"/>
      <c r="AP160" s="264"/>
      <c r="AQ160" s="264"/>
    </row>
    <row r="161" s="184" customFormat="1" ht="17.25" customHeight="1">
      <c r="A161" s="253"/>
      <c r="C161" s="184"/>
      <c r="D161" s="1222"/>
      <c r="E161" s="1288"/>
      <c r="F161" s="265"/>
      <c r="G161" s="1289"/>
      <c r="H161" s="250"/>
      <c r="I161" s="250"/>
      <c r="J161" s="291"/>
      <c r="K161" s="296"/>
      <c r="L161" s="218"/>
      <c r="M161" s="218"/>
      <c r="N161" s="1286"/>
      <c r="O161" s="296"/>
      <c r="P161" s="218"/>
      <c r="Q161" s="218"/>
      <c r="R161" s="295"/>
      <c r="S161" s="224"/>
      <c r="T161" s="297"/>
      <c r="U161" s="298"/>
      <c r="V161" s="298" t="s">
        <v>211</v>
      </c>
      <c r="W161" s="299"/>
      <c r="Y161" s="106"/>
      <c r="Z161" s="106"/>
      <c r="AA161" s="106"/>
      <c r="AB161" s="106"/>
      <c r="AC161" s="106"/>
      <c r="AD161" s="106"/>
      <c r="AE161" s="106"/>
      <c r="AF161" s="106"/>
      <c r="AG161" s="106"/>
      <c r="AH161" s="106"/>
      <c r="AI161" s="106"/>
      <c r="AJ161" s="106"/>
      <c r="AK161" s="106"/>
    </row>
    <row r="162" s="184" customFormat="1" ht="17.25" customHeight="1">
      <c r="A162" s="253"/>
      <c r="C162" s="184"/>
      <c r="D162" s="1222"/>
      <c r="E162" s="1288"/>
      <c r="F162" s="265"/>
      <c r="G162" s="1289"/>
      <c r="H162" s="274"/>
      <c r="I162" s="274"/>
      <c r="J162" s="301"/>
      <c r="K162" s="296"/>
      <c r="L162" s="274"/>
      <c r="M162" s="274"/>
      <c r="N162" s="1287"/>
      <c r="O162" s="220"/>
      <c r="P162" s="297"/>
      <c r="Q162" s="298"/>
      <c r="R162" s="298" t="s">
        <v>212</v>
      </c>
      <c r="S162" s="302"/>
      <c r="T162" s="302"/>
      <c r="U162" s="302"/>
      <c r="V162" s="302"/>
      <c r="W162" s="299"/>
      <c r="Y162" s="106"/>
      <c r="Z162" s="106"/>
      <c r="AA162" s="106"/>
      <c r="AB162" s="106"/>
      <c r="AC162" s="106"/>
      <c r="AD162" s="106"/>
      <c r="AE162" s="106"/>
      <c r="AF162" s="106"/>
      <c r="AG162" s="106"/>
      <c r="AH162" s="106"/>
      <c r="AI162" s="106"/>
      <c r="AJ162" s="106"/>
      <c r="AK162" s="106"/>
    </row>
    <row r="163" s="184" customFormat="1" ht="17.25" customHeight="1">
      <c r="A163" s="253"/>
      <c r="C163" s="184"/>
      <c r="D163" s="1222"/>
      <c r="E163" s="1288"/>
      <c r="F163" s="265"/>
      <c r="G163" s="1289"/>
      <c r="H163" s="274"/>
      <c r="I163" s="274"/>
      <c r="J163" s="301"/>
      <c r="K163" s="220"/>
      <c r="L163" s="297"/>
      <c r="M163" s="298"/>
      <c r="N163" s="298" t="s">
        <v>213</v>
      </c>
      <c r="O163" s="298"/>
      <c r="P163" s="298"/>
      <c r="Q163" s="298"/>
      <c r="R163" s="298"/>
      <c r="S163" s="302"/>
      <c r="T163" s="302"/>
      <c r="U163" s="302"/>
      <c r="V163" s="302"/>
      <c r="W163" s="299"/>
      <c r="Y163" s="106"/>
      <c r="Z163" s="106"/>
      <c r="AA163" s="106"/>
      <c r="AB163" s="106"/>
      <c r="AC163" s="106"/>
      <c r="AD163" s="106"/>
      <c r="AE163" s="106"/>
      <c r="AF163" s="106"/>
      <c r="AG163" s="106"/>
      <c r="AH163" s="106"/>
      <c r="AI163" s="106"/>
      <c r="AJ163" s="106"/>
      <c r="AK163" s="106"/>
    </row>
    <row r="164" ht="17.25" customHeight="1">
      <c r="G164" s="273"/>
      <c r="H164" s="273"/>
      <c r="I164" s="273"/>
      <c r="M164" s="63"/>
    </row>
    <row r="165" s="184" customFormat="1" ht="17.25" customHeight="1">
      <c r="A165" s="253"/>
      <c r="C165" s="128"/>
      <c r="D165" s="1222"/>
      <c r="E165" s="1288"/>
      <c r="F165" s="265"/>
      <c r="G165" s="1289"/>
      <c r="H165" s="1222"/>
      <c r="I165" s="1222"/>
      <c r="J165" s="1290"/>
      <c r="K165" s="1291"/>
      <c r="L165" s="218"/>
      <c r="M165" s="218" t="s">
        <v>109</v>
      </c>
      <c r="N165" s="1286" t="str">
        <f>IF(Z165="","",INDEX(TERRITORY_MR_LIST,MATCH(Z165,TERRITORY_LIST_ID,0)))</f>
        <v/>
      </c>
      <c r="O165" s="292" t="s">
        <v>67</v>
      </c>
      <c r="P165" s="218"/>
      <c r="Q165" s="218" t="s">
        <v>109</v>
      </c>
      <c r="R165" s="295" t="s">
        <v>28</v>
      </c>
      <c r="S165" s="224" t="s">
        <v>67</v>
      </c>
      <c r="T165" s="218"/>
      <c r="U165" s="218" t="s">
        <v>109</v>
      </c>
      <c r="V165" s="295" t="s">
        <v>28</v>
      </c>
      <c r="W165" s="291"/>
      <c r="Y165" s="264"/>
      <c r="Z165" s="264"/>
      <c r="AA165" s="264"/>
      <c r="AB165" s="264"/>
      <c r="AC165" s="264"/>
      <c r="AD165" s="264"/>
      <c r="AE165" s="264"/>
      <c r="AF165" s="264"/>
      <c r="AG165" s="264"/>
      <c r="AH165" s="264"/>
      <c r="AI165" s="264"/>
      <c r="AJ165" s="264"/>
      <c r="AK165" s="264"/>
      <c r="AL165" s="62"/>
      <c r="AM165" s="62"/>
      <c r="AN165" s="264"/>
      <c r="AO165" s="264"/>
      <c r="AP165" s="264"/>
      <c r="AQ165" s="264"/>
    </row>
    <row r="166" s="184" customFormat="1" ht="17.25" customHeight="1">
      <c r="A166" s="253"/>
      <c r="C166" s="184"/>
      <c r="D166" s="1222"/>
      <c r="E166" s="1288"/>
      <c r="F166" s="265"/>
      <c r="G166" s="1289"/>
      <c r="H166" s="1222"/>
      <c r="I166" s="1222"/>
      <c r="J166" s="1290"/>
      <c r="K166" s="1291"/>
      <c r="L166" s="218"/>
      <c r="M166" s="218"/>
      <c r="N166" s="1286"/>
      <c r="O166" s="296"/>
      <c r="P166" s="218"/>
      <c r="Q166" s="218"/>
      <c r="R166" s="295"/>
      <c r="S166" s="224"/>
      <c r="T166" s="297"/>
      <c r="U166" s="298"/>
      <c r="V166" s="298" t="s">
        <v>211</v>
      </c>
      <c r="W166" s="299"/>
      <c r="Y166" s="106"/>
      <c r="Z166" s="106"/>
      <c r="AA166" s="106"/>
      <c r="AB166" s="106"/>
      <c r="AC166" s="106"/>
      <c r="AD166" s="106"/>
      <c r="AE166" s="106"/>
      <c r="AF166" s="106"/>
      <c r="AG166" s="106"/>
      <c r="AH166" s="106"/>
      <c r="AI166" s="106"/>
      <c r="AJ166" s="106"/>
      <c r="AK166" s="106"/>
    </row>
    <row r="167" s="184" customFormat="1" ht="17.25" customHeight="1">
      <c r="A167" s="253"/>
      <c r="C167" s="184"/>
      <c r="D167" s="1222"/>
      <c r="E167" s="1288"/>
      <c r="F167" s="265"/>
      <c r="G167" s="1289"/>
      <c r="H167" s="1222"/>
      <c r="I167" s="1222"/>
      <c r="J167" s="1290"/>
      <c r="K167" s="1291"/>
      <c r="L167" s="274"/>
      <c r="M167" s="274"/>
      <c r="N167" s="1287"/>
      <c r="O167" s="220"/>
      <c r="P167" s="297"/>
      <c r="Q167" s="298"/>
      <c r="R167" s="298" t="s">
        <v>212</v>
      </c>
      <c r="S167" s="302"/>
      <c r="T167" s="302"/>
      <c r="U167" s="302"/>
      <c r="V167" s="302"/>
      <c r="W167" s="299"/>
      <c r="Y167" s="106"/>
      <c r="Z167" s="106"/>
      <c r="AA167" s="106"/>
      <c r="AB167" s="106"/>
      <c r="AC167" s="106"/>
      <c r="AD167" s="106"/>
      <c r="AE167" s="106"/>
      <c r="AF167" s="106"/>
      <c r="AG167" s="106"/>
      <c r="AH167" s="106"/>
      <c r="AI167" s="106"/>
      <c r="AJ167" s="106"/>
      <c r="AK167" s="106"/>
    </row>
    <row r="168" ht="17.25" customHeight="1">
      <c r="G168" s="273"/>
      <c r="H168" s="273"/>
      <c r="I168" s="273"/>
      <c r="M168" s="63"/>
    </row>
    <row r="169" s="184" customFormat="1" ht="17.25" customHeight="1">
      <c r="A169" s="253"/>
      <c r="C169" s="128"/>
      <c r="D169" s="1222"/>
      <c r="E169" s="1288"/>
      <c r="F169" s="265"/>
      <c r="G169" s="1289"/>
      <c r="H169" s="1222"/>
      <c r="I169" s="1222"/>
      <c r="J169" s="1290"/>
      <c r="K169" s="1291"/>
      <c r="L169" s="1292"/>
      <c r="M169" s="1292"/>
      <c r="N169" s="1293"/>
      <c r="O169" s="296"/>
      <c r="P169" s="218"/>
      <c r="Q169" s="218" t="s">
        <v>109</v>
      </c>
      <c r="R169" s="295" t="s">
        <v>28</v>
      </c>
      <c r="S169" s="224" t="s">
        <v>67</v>
      </c>
      <c r="T169" s="218"/>
      <c r="U169" s="218" t="s">
        <v>109</v>
      </c>
      <c r="V169" s="295" t="s">
        <v>28</v>
      </c>
      <c r="W169" s="291"/>
      <c r="Y169" s="264"/>
      <c r="Z169" s="264"/>
      <c r="AA169" s="264"/>
      <c r="AB169" s="264"/>
      <c r="AC169" s="264"/>
      <c r="AD169" s="264"/>
      <c r="AE169" s="264"/>
      <c r="AF169" s="264"/>
      <c r="AG169" s="264"/>
      <c r="AH169" s="264"/>
      <c r="AI169" s="264"/>
      <c r="AJ169" s="264"/>
      <c r="AK169" s="264"/>
      <c r="AL169" s="62"/>
      <c r="AM169" s="62"/>
      <c r="AN169" s="264"/>
      <c r="AO169" s="264"/>
      <c r="AP169" s="264"/>
      <c r="AQ169" s="264"/>
    </row>
    <row r="170" s="184" customFormat="1" ht="17.25" customHeight="1">
      <c r="A170" s="253"/>
      <c r="C170" s="184"/>
      <c r="D170" s="1222"/>
      <c r="E170" s="1288"/>
      <c r="F170" s="265"/>
      <c r="G170" s="1289"/>
      <c r="H170" s="1222"/>
      <c r="I170" s="1222"/>
      <c r="J170" s="1290"/>
      <c r="K170" s="1291"/>
      <c r="L170" s="1292"/>
      <c r="M170" s="1292"/>
      <c r="N170" s="1293"/>
      <c r="O170" s="296"/>
      <c r="P170" s="218"/>
      <c r="Q170" s="218"/>
      <c r="R170" s="295"/>
      <c r="S170" s="224"/>
      <c r="T170" s="297"/>
      <c r="U170" s="298"/>
      <c r="V170" s="298" t="s">
        <v>211</v>
      </c>
      <c r="W170" s="299"/>
      <c r="Y170" s="106"/>
      <c r="Z170" s="106"/>
      <c r="AA170" s="106"/>
      <c r="AB170" s="106"/>
      <c r="AC170" s="106"/>
      <c r="AD170" s="106"/>
      <c r="AE170" s="106"/>
      <c r="AF170" s="106"/>
      <c r="AG170" s="106"/>
      <c r="AH170" s="106"/>
      <c r="AI170" s="106"/>
      <c r="AJ170" s="106"/>
      <c r="AK170" s="106"/>
    </row>
    <row r="171" ht="17.25" customHeight="1">
      <c r="G171" s="273"/>
      <c r="H171" s="273"/>
      <c r="I171" s="273"/>
      <c r="M171" s="63"/>
    </row>
    <row r="172" s="184" customFormat="1" ht="17.25" customHeight="1">
      <c r="A172" s="253"/>
      <c r="C172" s="128"/>
      <c r="D172" s="1222"/>
      <c r="E172" s="1288"/>
      <c r="F172" s="265"/>
      <c r="G172" s="1289"/>
      <c r="H172" s="1292"/>
      <c r="I172" s="1292"/>
      <c r="J172" s="1294"/>
      <c r="K172" s="1289"/>
      <c r="L172" s="1292"/>
      <c r="M172" s="1292"/>
      <c r="N172" s="1289"/>
      <c r="O172" s="1289"/>
      <c r="P172" s="1292"/>
      <c r="Q172" s="1292"/>
      <c r="R172" s="1295"/>
      <c r="S172" s="1289"/>
      <c r="T172" s="218"/>
      <c r="U172" s="218" t="s">
        <v>109</v>
      </c>
      <c r="V172" s="295" t="s">
        <v>28</v>
      </c>
      <c r="W172" s="291"/>
      <c r="Y172" s="264"/>
      <c r="Z172" s="264"/>
      <c r="AA172" s="264"/>
      <c r="AB172" s="264"/>
      <c r="AC172" s="264"/>
      <c r="AD172" s="264"/>
      <c r="AE172" s="264"/>
      <c r="AF172" s="264"/>
      <c r="AG172" s="264"/>
      <c r="AH172" s="264"/>
      <c r="AI172" s="264"/>
      <c r="AJ172" s="264"/>
      <c r="AK172" s="264"/>
      <c r="AL172" s="62"/>
      <c r="AM172" s="62"/>
      <c r="AN172" s="264"/>
      <c r="AO172" s="264"/>
      <c r="AP172" s="264"/>
      <c r="AQ172" s="264"/>
    </row>
    <row r="174" s="1141" customFormat="1" ht="17.25" customHeight="1">
      <c r="A174" s="1141" t="s">
        <v>1945</v>
      </c>
    </row>
    <row r="175" ht="17.25" customHeight="1">
      <c r="G175" s="273"/>
      <c r="H175" s="273"/>
      <c r="I175" s="273"/>
      <c r="M175" s="63"/>
    </row>
    <row r="176" s="184" customFormat="1" ht="17.25" customHeight="1">
      <c r="A176" s="253"/>
      <c r="C176" s="128"/>
      <c r="D176" s="250"/>
      <c r="E176" s="255"/>
      <c r="F176" s="256"/>
      <c r="G176" s="290"/>
      <c r="H176" s="250"/>
      <c r="I176" s="250">
        <v>1</v>
      </c>
      <c r="J176" s="291"/>
      <c r="K176" s="292" t="s">
        <v>67</v>
      </c>
      <c r="L176" s="218"/>
      <c r="M176" s="218" t="s">
        <v>109</v>
      </c>
      <c r="N176" s="1286" t="str">
        <f>IF(Z176="","",INDEX(TERRITORY_MR_LIST,MATCH(Z176,TERRITORY_LIST_ID,0)))</f>
        <v/>
      </c>
      <c r="O176" s="292" t="s">
        <v>67</v>
      </c>
      <c r="P176" s="218"/>
      <c r="Q176" s="218" t="s">
        <v>109</v>
      </c>
      <c r="R176" s="295" t="s">
        <v>28</v>
      </c>
      <c r="S176" s="663" t="s">
        <v>19</v>
      </c>
      <c r="T176" s="663"/>
      <c r="U176" s="663" t="s">
        <v>109</v>
      </c>
      <c r="V176" s="1296"/>
      <c r="W176" s="291"/>
      <c r="Y176" s="264"/>
      <c r="Z176" s="264"/>
      <c r="AA176" s="264"/>
      <c r="AB176" s="264"/>
      <c r="AC176" s="264"/>
      <c r="AD176" s="264"/>
      <c r="AE176" s="264"/>
      <c r="AF176" s="264"/>
      <c r="AG176" s="264"/>
      <c r="AH176" s="264"/>
      <c r="AI176" s="264"/>
      <c r="AJ176" s="264"/>
      <c r="AK176" s="264"/>
      <c r="AL176" s="62"/>
      <c r="AM176" s="62"/>
      <c r="AN176" s="264"/>
      <c r="AO176" s="264"/>
      <c r="AP176" s="264"/>
      <c r="AQ176" s="264"/>
    </row>
    <row r="177" s="184" customFormat="1" ht="17.25" customHeight="1">
      <c r="A177" s="253"/>
      <c r="C177" s="184"/>
      <c r="D177" s="250"/>
      <c r="E177" s="255"/>
      <c r="F177" s="265"/>
      <c r="G177" s="290"/>
      <c r="H177" s="250"/>
      <c r="I177" s="250"/>
      <c r="J177" s="291"/>
      <c r="K177" s="296"/>
      <c r="L177" s="218"/>
      <c r="M177" s="218"/>
      <c r="N177" s="1286"/>
      <c r="O177" s="296"/>
      <c r="P177" s="218"/>
      <c r="Q177" s="218"/>
      <c r="R177" s="295"/>
      <c r="S177" s="663"/>
      <c r="T177" s="1297"/>
      <c r="U177" s="1298"/>
      <c r="V177" s="1298"/>
      <c r="W177" s="291"/>
      <c r="Y177" s="106"/>
      <c r="Z177" s="106"/>
      <c r="AA177" s="106"/>
      <c r="AB177" s="106"/>
      <c r="AC177" s="106"/>
      <c r="AD177" s="106"/>
      <c r="AE177" s="106"/>
      <c r="AF177" s="106"/>
      <c r="AG177" s="106"/>
      <c r="AH177" s="106"/>
      <c r="AI177" s="106"/>
      <c r="AJ177" s="106"/>
      <c r="AK177" s="106"/>
    </row>
    <row r="178" s="184" customFormat="1" ht="17.25" customHeight="1">
      <c r="A178" s="253"/>
      <c r="C178" s="184"/>
      <c r="D178" s="274"/>
      <c r="E178" s="275"/>
      <c r="F178" s="265"/>
      <c r="G178" s="300"/>
      <c r="H178" s="274"/>
      <c r="I178" s="274"/>
      <c r="J178" s="301"/>
      <c r="K178" s="296"/>
      <c r="L178" s="274"/>
      <c r="M178" s="274"/>
      <c r="N178" s="1287"/>
      <c r="O178" s="220"/>
      <c r="P178" s="297"/>
      <c r="Q178" s="298"/>
      <c r="R178" s="298" t="s">
        <v>212</v>
      </c>
      <c r="S178" s="302"/>
      <c r="T178" s="302"/>
      <c r="U178" s="302"/>
      <c r="V178" s="302"/>
      <c r="W178" s="1299"/>
      <c r="Y178" s="106"/>
      <c r="Z178" s="106"/>
      <c r="AA178" s="106"/>
      <c r="AB178" s="106"/>
      <c r="AC178" s="106"/>
      <c r="AD178" s="106"/>
      <c r="AE178" s="106"/>
      <c r="AF178" s="106"/>
      <c r="AG178" s="106"/>
      <c r="AH178" s="106"/>
      <c r="AI178" s="106"/>
      <c r="AJ178" s="106"/>
      <c r="AK178" s="106"/>
    </row>
    <row r="179" s="184" customFormat="1" ht="17.25" customHeight="1">
      <c r="A179" s="253"/>
      <c r="C179" s="184"/>
      <c r="D179" s="274"/>
      <c r="E179" s="275"/>
      <c r="F179" s="265"/>
      <c r="G179" s="300"/>
      <c r="H179" s="274"/>
      <c r="I179" s="274"/>
      <c r="J179" s="301"/>
      <c r="K179" s="220"/>
      <c r="L179" s="297"/>
      <c r="M179" s="298"/>
      <c r="N179" s="298" t="s">
        <v>213</v>
      </c>
      <c r="O179" s="298"/>
      <c r="P179" s="298"/>
      <c r="Q179" s="298"/>
      <c r="R179" s="298"/>
      <c r="S179" s="302"/>
      <c r="T179" s="302"/>
      <c r="U179" s="302"/>
      <c r="V179" s="302"/>
      <c r="W179" s="299"/>
      <c r="Y179" s="106"/>
      <c r="Z179" s="106"/>
      <c r="AA179" s="106"/>
      <c r="AB179" s="106"/>
      <c r="AC179" s="106"/>
      <c r="AD179" s="106"/>
      <c r="AE179" s="106"/>
      <c r="AF179" s="106"/>
      <c r="AG179" s="106"/>
      <c r="AH179" s="106"/>
      <c r="AI179" s="106"/>
      <c r="AJ179" s="106"/>
      <c r="AK179" s="106"/>
    </row>
    <row r="180" s="184" customFormat="1" ht="17.25" customHeight="1">
      <c r="A180" s="253"/>
      <c r="C180" s="184"/>
      <c r="D180" s="274"/>
      <c r="E180" s="275"/>
      <c r="F180" s="276"/>
      <c r="G180" s="300"/>
      <c r="H180" s="297"/>
      <c r="I180" s="298"/>
      <c r="J180" s="298" t="s">
        <v>214</v>
      </c>
      <c r="K180" s="298"/>
      <c r="L180" s="298"/>
      <c r="M180" s="298"/>
      <c r="N180" s="298"/>
      <c r="O180" s="298"/>
      <c r="P180" s="298"/>
      <c r="Q180" s="298"/>
      <c r="R180" s="298"/>
      <c r="S180" s="302"/>
      <c r="T180" s="302"/>
      <c r="U180" s="302"/>
      <c r="V180" s="302"/>
      <c r="W180" s="299"/>
      <c r="Y180" s="106"/>
      <c r="Z180" s="106"/>
      <c r="AA180" s="106"/>
      <c r="AB180" s="106"/>
      <c r="AC180" s="106"/>
      <c r="AD180" s="106"/>
      <c r="AE180" s="106"/>
      <c r="AF180" s="106"/>
      <c r="AG180" s="106"/>
      <c r="AH180" s="106"/>
      <c r="AI180" s="106"/>
      <c r="AJ180" s="106"/>
      <c r="AK180" s="106"/>
    </row>
    <row r="181" ht="17.25" customHeight="1">
      <c r="A181" s="63"/>
    </row>
    <row r="182" s="184" customFormat="1" ht="17.25" customHeight="1">
      <c r="A182" s="253"/>
      <c r="C182" s="128"/>
      <c r="D182" s="1222"/>
      <c r="E182" s="1288"/>
      <c r="F182" s="265"/>
      <c r="G182" s="1289"/>
      <c r="H182" s="250"/>
      <c r="I182" s="250">
        <v>1</v>
      </c>
      <c r="J182" s="291"/>
      <c r="K182" s="292" t="s">
        <v>67</v>
      </c>
      <c r="L182" s="218"/>
      <c r="M182" s="218" t="s">
        <v>109</v>
      </c>
      <c r="N182" s="1286" t="str">
        <f>IF(Z182="","",INDEX(TERRITORY_MR_LIST,MATCH(Z182,TERRITORY_LIST_ID,0)))</f>
        <v/>
      </c>
      <c r="O182" s="292" t="s">
        <v>67</v>
      </c>
      <c r="P182" s="218"/>
      <c r="Q182" s="218" t="s">
        <v>109</v>
      </c>
      <c r="R182" s="295" t="s">
        <v>28</v>
      </c>
      <c r="S182" s="663" t="s">
        <v>19</v>
      </c>
      <c r="T182" s="663"/>
      <c r="U182" s="663" t="s">
        <v>109</v>
      </c>
      <c r="V182" s="1296"/>
      <c r="W182" s="291"/>
      <c r="Y182" s="264"/>
      <c r="Z182" s="264"/>
      <c r="AA182" s="264"/>
      <c r="AB182" s="264"/>
      <c r="AC182" s="264"/>
      <c r="AD182" s="264"/>
      <c r="AE182" s="264"/>
      <c r="AF182" s="264"/>
      <c r="AG182" s="264"/>
      <c r="AH182" s="264"/>
      <c r="AI182" s="264"/>
      <c r="AJ182" s="264"/>
      <c r="AK182" s="264"/>
      <c r="AL182" s="62"/>
      <c r="AM182" s="62"/>
      <c r="AN182" s="264"/>
      <c r="AO182" s="264"/>
      <c r="AP182" s="264"/>
      <c r="AQ182" s="264"/>
    </row>
    <row r="183" s="184" customFormat="1" ht="17.25" customHeight="1">
      <c r="A183" s="253"/>
      <c r="C183" s="184"/>
      <c r="D183" s="1222"/>
      <c r="E183" s="1288"/>
      <c r="F183" s="265"/>
      <c r="G183" s="1289"/>
      <c r="H183" s="250"/>
      <c r="I183" s="250"/>
      <c r="J183" s="291"/>
      <c r="K183" s="296"/>
      <c r="L183" s="218"/>
      <c r="M183" s="218"/>
      <c r="N183" s="1286"/>
      <c r="O183" s="296"/>
      <c r="P183" s="218"/>
      <c r="Q183" s="218"/>
      <c r="R183" s="295"/>
      <c r="S183" s="663"/>
      <c r="T183" s="1297"/>
      <c r="U183" s="1298"/>
      <c r="V183" s="1298"/>
      <c r="W183" s="291"/>
      <c r="Y183" s="106"/>
      <c r="Z183" s="106"/>
      <c r="AA183" s="106"/>
      <c r="AB183" s="106"/>
      <c r="AC183" s="106"/>
      <c r="AD183" s="106"/>
      <c r="AE183" s="106"/>
      <c r="AF183" s="106"/>
      <c r="AG183" s="106"/>
      <c r="AH183" s="106"/>
      <c r="AI183" s="106"/>
      <c r="AJ183" s="106"/>
      <c r="AK183" s="106"/>
    </row>
    <row r="184" s="184" customFormat="1" ht="17.25" customHeight="1">
      <c r="A184" s="253"/>
      <c r="C184" s="184"/>
      <c r="D184" s="1222"/>
      <c r="E184" s="1288"/>
      <c r="F184" s="265"/>
      <c r="G184" s="1289"/>
      <c r="H184" s="274"/>
      <c r="I184" s="274"/>
      <c r="J184" s="301"/>
      <c r="K184" s="296"/>
      <c r="L184" s="274"/>
      <c r="M184" s="274"/>
      <c r="N184" s="1287"/>
      <c r="O184" s="220"/>
      <c r="P184" s="297"/>
      <c r="Q184" s="298"/>
      <c r="R184" s="298" t="s">
        <v>212</v>
      </c>
      <c r="S184" s="302"/>
      <c r="T184" s="302"/>
      <c r="U184" s="302"/>
      <c r="V184" s="302"/>
      <c r="W184" s="1299"/>
      <c r="Y184" s="106"/>
      <c r="Z184" s="106"/>
      <c r="AA184" s="106"/>
      <c r="AB184" s="106"/>
      <c r="AC184" s="106"/>
      <c r="AD184" s="106"/>
      <c r="AE184" s="106"/>
      <c r="AF184" s="106"/>
      <c r="AG184" s="106"/>
      <c r="AH184" s="106"/>
      <c r="AI184" s="106"/>
      <c r="AJ184" s="106"/>
      <c r="AK184" s="106"/>
    </row>
    <row r="185" s="184" customFormat="1" ht="17.25" customHeight="1">
      <c r="A185" s="253"/>
      <c r="C185" s="184"/>
      <c r="D185" s="1222"/>
      <c r="E185" s="1288"/>
      <c r="F185" s="265"/>
      <c r="G185" s="1289"/>
      <c r="H185" s="274"/>
      <c r="I185" s="274"/>
      <c r="J185" s="301"/>
      <c r="K185" s="220"/>
      <c r="L185" s="297"/>
      <c r="M185" s="298"/>
      <c r="N185" s="298" t="s">
        <v>213</v>
      </c>
      <c r="O185" s="298"/>
      <c r="P185" s="298"/>
      <c r="Q185" s="298"/>
      <c r="R185" s="298"/>
      <c r="S185" s="302"/>
      <c r="T185" s="302"/>
      <c r="U185" s="302"/>
      <c r="V185" s="302"/>
      <c r="W185" s="299"/>
      <c r="Y185" s="106"/>
      <c r="Z185" s="106"/>
      <c r="AA185" s="106"/>
      <c r="AB185" s="106"/>
      <c r="AC185" s="106"/>
      <c r="AD185" s="106"/>
      <c r="AE185" s="106"/>
      <c r="AF185" s="106"/>
      <c r="AG185" s="106"/>
      <c r="AH185" s="106"/>
      <c r="AI185" s="106"/>
      <c r="AJ185" s="106"/>
      <c r="AK185" s="106"/>
    </row>
    <row r="186" ht="17.25" customHeight="1">
      <c r="A186" s="63"/>
    </row>
    <row r="187" s="184" customFormat="1" ht="17.25" customHeight="1">
      <c r="A187" s="253"/>
      <c r="C187" s="128"/>
      <c r="D187" s="1222"/>
      <c r="E187" s="1288"/>
      <c r="F187" s="265"/>
      <c r="G187" s="1289"/>
      <c r="H187" s="1222"/>
      <c r="I187" s="1222"/>
      <c r="J187" s="1300"/>
      <c r="K187" s="1289"/>
      <c r="L187" s="218"/>
      <c r="M187" s="218" t="s">
        <v>109</v>
      </c>
      <c r="N187" s="1286" t="str">
        <f>IF(Z187="","",INDEX(TERRITORY_MR_LIST,MATCH(Z187,TERRITORY_LIST_ID,0)))</f>
        <v/>
      </c>
      <c r="O187" s="292" t="s">
        <v>67</v>
      </c>
      <c r="P187" s="218"/>
      <c r="Q187" s="218" t="s">
        <v>109</v>
      </c>
      <c r="R187" s="295" t="s">
        <v>28</v>
      </c>
      <c r="S187" s="663" t="s">
        <v>19</v>
      </c>
      <c r="T187" s="663"/>
      <c r="U187" s="663" t="s">
        <v>109</v>
      </c>
      <c r="V187" s="1296"/>
      <c r="W187" s="291"/>
      <c r="Y187" s="264"/>
      <c r="Z187" s="264"/>
      <c r="AA187" s="264"/>
      <c r="AB187" s="264"/>
      <c r="AC187" s="264"/>
      <c r="AD187" s="264"/>
      <c r="AE187" s="264"/>
      <c r="AF187" s="264"/>
      <c r="AG187" s="264"/>
      <c r="AH187" s="264"/>
      <c r="AI187" s="264"/>
      <c r="AJ187" s="264"/>
      <c r="AK187" s="264"/>
      <c r="AL187" s="62"/>
      <c r="AM187" s="62"/>
      <c r="AN187" s="264"/>
      <c r="AO187" s="264"/>
      <c r="AP187" s="264"/>
      <c r="AQ187" s="264"/>
    </row>
    <row r="188" s="184" customFormat="1" ht="17.25" customHeight="1">
      <c r="A188" s="253"/>
      <c r="C188" s="184"/>
      <c r="D188" s="1222"/>
      <c r="E188" s="1288"/>
      <c r="F188" s="265"/>
      <c r="G188" s="1289"/>
      <c r="H188" s="1222"/>
      <c r="I188" s="1222"/>
      <c r="J188" s="1300"/>
      <c r="K188" s="1289"/>
      <c r="L188" s="218"/>
      <c r="M188" s="218"/>
      <c r="N188" s="1286"/>
      <c r="O188" s="296"/>
      <c r="P188" s="218"/>
      <c r="Q188" s="218"/>
      <c r="R188" s="295"/>
      <c r="S188" s="663"/>
      <c r="T188" s="1297"/>
      <c r="U188" s="1298"/>
      <c r="V188" s="1298"/>
      <c r="W188" s="291"/>
      <c r="Y188" s="106"/>
      <c r="Z188" s="106"/>
      <c r="AA188" s="106"/>
      <c r="AB188" s="106"/>
      <c r="AC188" s="106"/>
      <c r="AD188" s="106"/>
      <c r="AE188" s="106"/>
      <c r="AF188" s="106"/>
      <c r="AG188" s="106"/>
      <c r="AH188" s="106"/>
      <c r="AI188" s="106"/>
      <c r="AJ188" s="106"/>
      <c r="AK188" s="106"/>
    </row>
    <row r="189" s="184" customFormat="1" ht="17.25" customHeight="1">
      <c r="A189" s="253"/>
      <c r="C189" s="184"/>
      <c r="D189" s="1222"/>
      <c r="E189" s="1288"/>
      <c r="F189" s="265"/>
      <c r="G189" s="1289"/>
      <c r="H189" s="1222"/>
      <c r="I189" s="1222"/>
      <c r="J189" s="1300"/>
      <c r="K189" s="1289"/>
      <c r="L189" s="274"/>
      <c r="M189" s="274"/>
      <c r="N189" s="1287"/>
      <c r="O189" s="220"/>
      <c r="P189" s="297"/>
      <c r="Q189" s="298"/>
      <c r="R189" s="298" t="s">
        <v>212</v>
      </c>
      <c r="S189" s="302"/>
      <c r="T189" s="302"/>
      <c r="U189" s="302"/>
      <c r="V189" s="302"/>
      <c r="W189" s="1299"/>
      <c r="Y189" s="106"/>
      <c r="Z189" s="106"/>
      <c r="AA189" s="106"/>
      <c r="AB189" s="106"/>
      <c r="AC189" s="106"/>
      <c r="AD189" s="106"/>
      <c r="AE189" s="106"/>
      <c r="AF189" s="106"/>
      <c r="AG189" s="106"/>
      <c r="AH189" s="106"/>
      <c r="AI189" s="106"/>
      <c r="AJ189" s="106"/>
      <c r="AK189" s="106"/>
    </row>
    <row r="190" ht="17.25" customHeight="1">
      <c r="A190" s="63"/>
    </row>
    <row r="191" s="184" customFormat="1" ht="17.25" customHeight="1">
      <c r="A191" s="253"/>
      <c r="C191" s="128"/>
      <c r="D191" s="1222"/>
      <c r="E191" s="1288"/>
      <c r="F191" s="265"/>
      <c r="G191" s="1289"/>
      <c r="H191" s="1222"/>
      <c r="I191" s="1222"/>
      <c r="J191" s="1300"/>
      <c r="K191" s="1289"/>
      <c r="L191" s="1222"/>
      <c r="M191" s="1222"/>
      <c r="N191" s="1293"/>
      <c r="O191" s="296"/>
      <c r="P191" s="218"/>
      <c r="Q191" s="218" t="s">
        <v>109</v>
      </c>
      <c r="R191" s="295" t="s">
        <v>28</v>
      </c>
      <c r="S191" s="663" t="s">
        <v>19</v>
      </c>
      <c r="T191" s="663"/>
      <c r="U191" s="663" t="s">
        <v>109</v>
      </c>
      <c r="V191" s="1296"/>
      <c r="W191" s="291"/>
      <c r="Y191" s="264"/>
      <c r="Z191" s="264"/>
      <c r="AA191" s="264"/>
      <c r="AB191" s="264"/>
      <c r="AC191" s="264"/>
      <c r="AD191" s="264"/>
      <c r="AE191" s="264"/>
      <c r="AF191" s="264"/>
      <c r="AG191" s="264"/>
      <c r="AH191" s="264"/>
      <c r="AI191" s="264"/>
      <c r="AJ191" s="264"/>
      <c r="AK191" s="264"/>
      <c r="AL191" s="62"/>
      <c r="AM191" s="62"/>
      <c r="AN191" s="264"/>
      <c r="AO191" s="264"/>
      <c r="AP191" s="264"/>
      <c r="AQ191" s="264"/>
    </row>
    <row r="192" s="184" customFormat="1" ht="17.25" customHeight="1">
      <c r="A192" s="253"/>
      <c r="C192" s="184"/>
      <c r="D192" s="1222"/>
      <c r="E192" s="1288"/>
      <c r="F192" s="265"/>
      <c r="G192" s="1289"/>
      <c r="H192" s="1222"/>
      <c r="I192" s="1222"/>
      <c r="J192" s="1300"/>
      <c r="K192" s="1289"/>
      <c r="L192" s="1222"/>
      <c r="M192" s="1222"/>
      <c r="N192" s="1293"/>
      <c r="O192" s="296"/>
      <c r="P192" s="218"/>
      <c r="Q192" s="218"/>
      <c r="R192" s="295"/>
      <c r="S192" s="663"/>
      <c r="T192" s="1297"/>
      <c r="U192" s="1298"/>
      <c r="V192" s="1298"/>
      <c r="W192" s="291"/>
      <c r="Y192" s="106"/>
      <c r="Z192" s="106"/>
      <c r="AA192" s="106"/>
      <c r="AB192" s="106"/>
      <c r="AC192" s="106"/>
      <c r="AD192" s="106"/>
      <c r="AE192" s="106"/>
      <c r="AF192" s="106"/>
      <c r="AG192" s="106"/>
      <c r="AH192" s="106"/>
      <c r="AI192" s="106"/>
      <c r="AJ192" s="106"/>
      <c r="AK192" s="106"/>
    </row>
    <row r="193" ht="17.25" customHeight="1">
      <c r="A193" s="63"/>
    </row>
    <row r="194" ht="16.5" customHeight="1">
      <c r="A194" s="253"/>
      <c r="B194" s="184"/>
      <c r="C194" s="184"/>
      <c r="D194" s="250"/>
      <c r="E194" s="326"/>
      <c r="F194" s="326"/>
      <c r="G194" s="157"/>
      <c r="H194" s="257"/>
      <c r="I194" s="258"/>
      <c r="J194" s="259"/>
      <c r="K194" s="260"/>
      <c r="L194" s="260"/>
      <c r="M194" s="260"/>
      <c r="N194" s="261"/>
      <c r="O194" s="260"/>
      <c r="P194" s="260"/>
      <c r="Q194" s="260"/>
      <c r="R194" s="262"/>
      <c r="S194" s="260"/>
      <c r="T194" s="260"/>
      <c r="U194" s="260"/>
      <c r="V194" s="262"/>
      <c r="W194" s="263"/>
    </row>
    <row r="195" ht="16.5" customHeight="1">
      <c r="A195" s="253"/>
      <c r="B195" s="184"/>
      <c r="C195" s="184"/>
      <c r="D195" s="250"/>
      <c r="E195" s="326"/>
      <c r="F195" s="326"/>
      <c r="G195" s="157"/>
      <c r="H195" s="266"/>
      <c r="I195" s="267"/>
      <c r="J195" s="268"/>
      <c r="K195" s="125"/>
      <c r="L195" s="125"/>
      <c r="M195" s="125"/>
      <c r="N195" s="269"/>
      <c r="O195" s="125"/>
      <c r="P195" s="125"/>
      <c r="Q195" s="125"/>
      <c r="R195" s="270"/>
      <c r="S195" s="125"/>
      <c r="T195" s="271"/>
      <c r="U195" s="271"/>
      <c r="V195" s="271"/>
      <c r="W195" s="272"/>
    </row>
    <row r="196" ht="17.25" customHeight="1">
      <c r="A196" s="253"/>
      <c r="B196" s="184"/>
      <c r="C196" s="184"/>
      <c r="D196" s="250"/>
      <c r="E196" s="326"/>
      <c r="F196" s="326"/>
      <c r="G196" s="157"/>
      <c r="H196" s="266"/>
      <c r="I196" s="267"/>
      <c r="J196" s="273"/>
      <c r="K196" s="125"/>
      <c r="L196" s="125"/>
      <c r="M196" s="125"/>
      <c r="N196" s="270"/>
      <c r="O196" s="125"/>
      <c r="P196" s="125"/>
      <c r="Q196" s="271"/>
      <c r="R196" s="271"/>
      <c r="S196" s="184"/>
      <c r="T196" s="184"/>
      <c r="U196" s="184"/>
      <c r="V196" s="184"/>
      <c r="W196" s="272"/>
    </row>
    <row r="197" ht="17.25" customHeight="1">
      <c r="A197" s="253"/>
      <c r="B197" s="184"/>
      <c r="C197" s="184"/>
      <c r="D197" s="250"/>
      <c r="E197" s="326"/>
      <c r="F197" s="326"/>
      <c r="G197" s="157"/>
      <c r="H197" s="266"/>
      <c r="I197" s="267"/>
      <c r="J197" s="273"/>
      <c r="K197" s="125"/>
      <c r="L197" s="271"/>
      <c r="M197" s="271"/>
      <c r="N197" s="271"/>
      <c r="O197" s="271"/>
      <c r="P197" s="271"/>
      <c r="Q197" s="271"/>
      <c r="R197" s="271"/>
      <c r="S197" s="184"/>
      <c r="T197" s="184"/>
      <c r="U197" s="184"/>
      <c r="V197" s="184"/>
      <c r="W197" s="272"/>
    </row>
    <row r="198" ht="17.25" customHeight="1">
      <c r="A198" s="253"/>
      <c r="B198" s="184"/>
      <c r="C198" s="184"/>
      <c r="D198" s="250"/>
      <c r="E198" s="326"/>
      <c r="F198" s="326"/>
      <c r="G198" s="157"/>
      <c r="H198" s="277"/>
      <c r="I198" s="278"/>
      <c r="J198" s="278"/>
      <c r="K198" s="278"/>
      <c r="L198" s="278"/>
      <c r="M198" s="278"/>
      <c r="N198" s="278"/>
      <c r="O198" s="278"/>
      <c r="P198" s="278"/>
      <c r="Q198" s="278"/>
      <c r="R198" s="278"/>
      <c r="S198" s="279"/>
      <c r="T198" s="279"/>
      <c r="U198" s="279"/>
      <c r="V198" s="279"/>
      <c r="W198" s="280"/>
    </row>
    <row r="200" s="1141" customFormat="1" ht="17.25" customHeight="1">
      <c r="A200" s="1141" t="s">
        <v>1946</v>
      </c>
    </row>
    <row r="201" ht="17.25" customHeight="1">
      <c r="G201" s="273"/>
      <c r="H201" s="273"/>
      <c r="I201" s="273"/>
      <c r="M201" s="63"/>
    </row>
    <row r="202" s="63" customFormat="1" ht="15" customHeight="1">
      <c r="D202" s="1301"/>
      <c r="E202" s="319"/>
      <c r="F202" s="319"/>
      <c r="G202" s="292"/>
      <c r="H202" s="1302"/>
      <c r="I202" s="1303">
        <v>1</v>
      </c>
      <c r="J202" s="291"/>
      <c r="K202" s="1135"/>
      <c r="L202" s="292" t="s">
        <v>67</v>
      </c>
      <c r="M202" s="292" t="s">
        <v>67</v>
      </c>
      <c r="N202" s="1302"/>
      <c r="O202" s="218" t="s">
        <v>109</v>
      </c>
      <c r="P202" s="457"/>
      <c r="Q202" s="1135"/>
      <c r="R202" s="292" t="s">
        <v>67</v>
      </c>
      <c r="S202" s="292" t="s">
        <v>67</v>
      </c>
      <c r="T202" s="1304"/>
      <c r="U202" s="218" t="s">
        <v>109</v>
      </c>
      <c r="V202" s="1305" t="str">
        <f>IF(AK202="","",INDEX(TERRITORY_MR_LIST,MATCH(AK202,TERRITORY_LIST_ID,0)))</f>
        <v/>
      </c>
      <c r="W202" s="225"/>
      <c r="X202" s="292" t="s">
        <v>67</v>
      </c>
      <c r="Y202" s="292" t="s">
        <v>19</v>
      </c>
      <c r="Z202" s="1302"/>
      <c r="AA202" s="218" t="s">
        <v>109</v>
      </c>
      <c r="AB202" s="1306"/>
      <c r="AC202" s="339"/>
      <c r="AD202" s="292" t="s">
        <v>67</v>
      </c>
      <c r="AE202" s="292" t="s">
        <v>19</v>
      </c>
      <c r="AF202" s="225"/>
      <c r="AG202" s="218" t="s">
        <v>109</v>
      </c>
      <c r="AH202" s="1223"/>
      <c r="AI202" s="291"/>
    </row>
    <row r="203" s="63" customFormat="1" ht="15" customHeight="1">
      <c r="D203" s="1301"/>
      <c r="E203" s="319"/>
      <c r="F203" s="319"/>
      <c r="G203" s="296"/>
      <c r="H203" s="1302"/>
      <c r="I203" s="1303"/>
      <c r="J203" s="291"/>
      <c r="K203" s="1307"/>
      <c r="L203" s="296"/>
      <c r="M203" s="296"/>
      <c r="N203" s="1302"/>
      <c r="O203" s="218"/>
      <c r="P203" s="457"/>
      <c r="Q203" s="1308"/>
      <c r="R203" s="296"/>
      <c r="S203" s="296"/>
      <c r="T203" s="1304"/>
      <c r="U203" s="218"/>
      <c r="V203" s="1309"/>
      <c r="W203" s="1264"/>
      <c r="X203" s="296"/>
      <c r="Y203" s="296"/>
      <c r="Z203" s="1302"/>
      <c r="AA203" s="218"/>
      <c r="AB203" s="1123"/>
      <c r="AC203" s="805"/>
      <c r="AD203" s="220"/>
      <c r="AE203" s="220"/>
      <c r="AF203" s="1310"/>
      <c r="AG203" s="297"/>
      <c r="AH203" s="298" t="s">
        <v>1947</v>
      </c>
      <c r="AI203" s="299"/>
    </row>
    <row r="204" s="63" customFormat="1" ht="15" customHeight="1">
      <c r="D204" s="1301"/>
      <c r="E204" s="319"/>
      <c r="F204" s="319"/>
      <c r="G204" s="296"/>
      <c r="H204" s="1302"/>
      <c r="I204" s="1303"/>
      <c r="J204" s="291"/>
      <c r="K204" s="1307"/>
      <c r="L204" s="296"/>
      <c r="M204" s="296"/>
      <c r="N204" s="1302"/>
      <c r="O204" s="218"/>
      <c r="P204" s="457"/>
      <c r="Q204" s="1308"/>
      <c r="R204" s="296"/>
      <c r="S204" s="296"/>
      <c r="T204" s="1304"/>
      <c r="U204" s="218"/>
      <c r="V204" s="1309"/>
      <c r="W204" s="1264"/>
      <c r="X204" s="296"/>
      <c r="Y204" s="296"/>
      <c r="Z204" s="1264"/>
      <c r="AA204" s="1311"/>
      <c r="AB204" s="1312" t="s">
        <v>1948</v>
      </c>
      <c r="AC204" s="1312"/>
      <c r="AD204" s="1312"/>
      <c r="AE204" s="1312"/>
      <c r="AF204" s="1312"/>
      <c r="AG204" s="1312"/>
      <c r="AH204" s="1312"/>
      <c r="AI204" s="1313"/>
    </row>
    <row r="205" s="63" customFormat="1" ht="15" customHeight="1">
      <c r="D205" s="1301"/>
      <c r="E205" s="319"/>
      <c r="F205" s="319"/>
      <c r="G205" s="296"/>
      <c r="H205" s="1302"/>
      <c r="I205" s="1303"/>
      <c r="J205" s="291"/>
      <c r="K205" s="1307"/>
      <c r="L205" s="296"/>
      <c r="M205" s="296"/>
      <c r="N205" s="1302"/>
      <c r="O205" s="218"/>
      <c r="P205" s="1314"/>
      <c r="Q205" s="1308"/>
      <c r="R205" s="296"/>
      <c r="S205" s="296"/>
      <c r="T205" s="1315"/>
      <c r="U205" s="1316"/>
      <c r="V205" s="298" t="s">
        <v>103</v>
      </c>
      <c r="W205" s="298"/>
      <c r="X205" s="298"/>
      <c r="Y205" s="298"/>
      <c r="Z205" s="298"/>
      <c r="AA205" s="298"/>
      <c r="AB205" s="298"/>
      <c r="AC205" s="298"/>
      <c r="AD205" s="298"/>
      <c r="AE205" s="298"/>
      <c r="AF205" s="298"/>
      <c r="AG205" s="298"/>
      <c r="AH205" s="298"/>
      <c r="AI205" s="299"/>
    </row>
    <row r="206" s="63" customFormat="1" ht="11.25" customHeight="1">
      <c r="D206" s="1301"/>
      <c r="E206" s="319"/>
      <c r="F206" s="319"/>
      <c r="G206" s="296"/>
      <c r="H206" s="1292"/>
      <c r="I206" s="1303"/>
      <c r="J206" s="1317"/>
      <c r="K206" s="1307"/>
      <c r="L206" s="296"/>
      <c r="M206" s="296"/>
      <c r="N206" s="1292"/>
      <c r="O206" s="1311"/>
      <c r="P206" s="298" t="s">
        <v>1949</v>
      </c>
      <c r="Q206" s="298"/>
      <c r="R206" s="298"/>
      <c r="S206" s="298"/>
      <c r="T206" s="298"/>
      <c r="U206" s="298"/>
      <c r="V206" s="298"/>
      <c r="W206" s="298"/>
      <c r="X206" s="298"/>
      <c r="Y206" s="298"/>
      <c r="Z206" s="298"/>
      <c r="AA206" s="298"/>
      <c r="AB206" s="298"/>
      <c r="AC206" s="298"/>
      <c r="AD206" s="298"/>
      <c r="AE206" s="298"/>
      <c r="AF206" s="298"/>
      <c r="AG206" s="298"/>
      <c r="AH206" s="298"/>
      <c r="AI206" s="299"/>
    </row>
    <row r="207" s="310" customFormat="1" ht="11.25" customHeight="1">
      <c r="D207" s="1301"/>
      <c r="E207" s="319"/>
      <c r="F207" s="319"/>
      <c r="G207" s="220"/>
      <c r="H207" s="1318"/>
      <c r="I207" s="1319"/>
      <c r="J207" s="298" t="s">
        <v>214</v>
      </c>
      <c r="K207" s="298"/>
      <c r="L207" s="298"/>
      <c r="M207" s="298"/>
      <c r="N207" s="298"/>
      <c r="O207" s="298"/>
      <c r="P207" s="298"/>
      <c r="Q207" s="298"/>
      <c r="R207" s="298"/>
      <c r="S207" s="298"/>
      <c r="T207" s="298"/>
      <c r="U207" s="298"/>
      <c r="V207" s="298"/>
      <c r="W207" s="298"/>
      <c r="X207" s="298"/>
      <c r="Y207" s="298"/>
      <c r="Z207" s="298"/>
      <c r="AA207" s="298"/>
      <c r="AB207" s="298"/>
      <c r="AC207" s="298"/>
      <c r="AD207" s="298"/>
      <c r="AE207" s="298"/>
      <c r="AF207" s="298"/>
      <c r="AG207" s="298"/>
      <c r="AH207" s="298"/>
      <c r="AI207" s="299"/>
      <c r="BK207" s="63"/>
    </row>
    <row r="208" ht="17.25" customHeight="1">
      <c r="G208" s="273"/>
      <c r="I208" s="273"/>
      <c r="J208" s="273"/>
      <c r="N208" s="63"/>
    </row>
    <row r="209" s="63" customFormat="1" ht="15" customHeight="1">
      <c r="D209" s="1301"/>
      <c r="E209" s="319"/>
      <c r="F209" s="319"/>
      <c r="G209" s="326"/>
      <c r="H209" s="327"/>
      <c r="I209" s="328"/>
      <c r="J209" s="259"/>
      <c r="K209" s="259"/>
      <c r="L209" s="260"/>
      <c r="M209" s="260"/>
      <c r="N209" s="329"/>
      <c r="O209" s="260"/>
      <c r="P209" s="259"/>
      <c r="Q209" s="259"/>
      <c r="R209" s="260"/>
      <c r="S209" s="260"/>
      <c r="T209" s="330"/>
      <c r="U209" s="260"/>
      <c r="V209" s="259"/>
      <c r="W209" s="260"/>
      <c r="X209" s="260"/>
      <c r="Y209" s="260"/>
      <c r="Z209" s="329"/>
      <c r="AA209" s="260"/>
      <c r="AB209" s="259"/>
      <c r="AC209" s="331"/>
      <c r="AD209" s="260"/>
      <c r="AE209" s="260"/>
      <c r="AF209" s="260"/>
      <c r="AG209" s="260"/>
      <c r="AH209" s="329"/>
      <c r="AI209" s="263"/>
    </row>
    <row r="210" s="63" customFormat="1" ht="15" customHeight="1">
      <c r="D210" s="1301"/>
      <c r="E210" s="319"/>
      <c r="F210" s="319"/>
      <c r="G210" s="326"/>
      <c r="H210" s="332"/>
      <c r="I210" s="333"/>
      <c r="J210" s="268"/>
      <c r="K210" s="86"/>
      <c r="L210" s="125"/>
      <c r="M210" s="125"/>
      <c r="N210" s="60"/>
      <c r="O210" s="125"/>
      <c r="P210" s="268"/>
      <c r="Q210" s="268"/>
      <c r="R210" s="125"/>
      <c r="S210" s="125"/>
      <c r="T210" s="334"/>
      <c r="U210" s="125"/>
      <c r="V210" s="268"/>
      <c r="W210" s="125"/>
      <c r="X210" s="125"/>
      <c r="Y210" s="125"/>
      <c r="Z210" s="60"/>
      <c r="AA210" s="125"/>
      <c r="AB210" s="268"/>
      <c r="AC210" s="86"/>
      <c r="AD210" s="125"/>
      <c r="AE210" s="125"/>
      <c r="AF210" s="271"/>
      <c r="AG210" s="271"/>
      <c r="AH210" s="271"/>
      <c r="AI210" s="272"/>
    </row>
    <row r="211" s="63" customFormat="1" ht="15" customHeight="1">
      <c r="D211" s="1301"/>
      <c r="E211" s="319"/>
      <c r="F211" s="319"/>
      <c r="G211" s="326"/>
      <c r="H211" s="332"/>
      <c r="I211" s="333"/>
      <c r="J211" s="268"/>
      <c r="K211" s="86"/>
      <c r="L211" s="125"/>
      <c r="M211" s="125"/>
      <c r="N211" s="60"/>
      <c r="O211" s="125"/>
      <c r="P211" s="268"/>
      <c r="Q211" s="268"/>
      <c r="R211" s="125"/>
      <c r="S211" s="125"/>
      <c r="T211" s="334"/>
      <c r="U211" s="125"/>
      <c r="V211" s="268"/>
      <c r="W211" s="125"/>
      <c r="X211" s="125"/>
      <c r="Y211" s="125"/>
      <c r="Z211" s="125"/>
      <c r="AA211" s="271"/>
      <c r="AB211" s="271"/>
      <c r="AC211" s="271"/>
      <c r="AD211" s="271"/>
      <c r="AE211" s="271"/>
      <c r="AF211" s="271"/>
      <c r="AG211" s="271"/>
      <c r="AH211" s="271"/>
      <c r="AI211" s="272"/>
    </row>
    <row r="212" s="63" customFormat="1" ht="15" customHeight="1">
      <c r="D212" s="1301"/>
      <c r="E212" s="319"/>
      <c r="F212" s="319"/>
      <c r="G212" s="326"/>
      <c r="H212" s="332"/>
      <c r="I212" s="333"/>
      <c r="J212" s="268"/>
      <c r="K212" s="86"/>
      <c r="L212" s="125"/>
      <c r="M212" s="125"/>
      <c r="N212" s="60"/>
      <c r="O212" s="125"/>
      <c r="P212" s="268"/>
      <c r="Q212" s="268"/>
      <c r="R212" s="125"/>
      <c r="S212" s="125"/>
      <c r="T212" s="335"/>
      <c r="U212" s="336"/>
      <c r="V212" s="271"/>
      <c r="W212" s="271"/>
      <c r="X212" s="271"/>
      <c r="Y212" s="271"/>
      <c r="Z212" s="271"/>
      <c r="AA212" s="271"/>
      <c r="AB212" s="271"/>
      <c r="AC212" s="271"/>
      <c r="AD212" s="271"/>
      <c r="AE212" s="271"/>
      <c r="AF212" s="271"/>
      <c r="AG212" s="271"/>
      <c r="AH212" s="271"/>
      <c r="AI212" s="272"/>
    </row>
    <row r="213" s="63" customFormat="1" ht="11.25" customHeight="1">
      <c r="D213" s="1301"/>
      <c r="E213" s="319"/>
      <c r="F213" s="319"/>
      <c r="G213" s="326"/>
      <c r="H213" s="337"/>
      <c r="I213" s="333"/>
      <c r="J213" s="268"/>
      <c r="K213" s="86"/>
      <c r="L213" s="125"/>
      <c r="M213" s="125"/>
      <c r="N213" s="271"/>
      <c r="O213" s="271"/>
      <c r="P213" s="271"/>
      <c r="Q213" s="271"/>
      <c r="R213" s="271"/>
      <c r="S213" s="271"/>
      <c r="T213" s="271"/>
      <c r="U213" s="271"/>
      <c r="V213" s="271"/>
      <c r="W213" s="271"/>
      <c r="X213" s="271"/>
      <c r="Y213" s="271"/>
      <c r="Z213" s="271"/>
      <c r="AA213" s="271"/>
      <c r="AB213" s="271"/>
      <c r="AC213" s="271"/>
      <c r="AD213" s="271"/>
      <c r="AE213" s="271"/>
      <c r="AF213" s="271"/>
      <c r="AG213" s="271"/>
      <c r="AH213" s="271"/>
      <c r="AI213" s="272"/>
    </row>
    <row r="214" s="310" customFormat="1" ht="11.25" customHeight="1">
      <c r="D214" s="1301"/>
      <c r="E214" s="319"/>
      <c r="F214" s="319"/>
      <c r="G214" s="343"/>
      <c r="H214" s="341"/>
      <c r="I214" s="342"/>
      <c r="J214" s="278"/>
      <c r="K214" s="278"/>
      <c r="L214" s="278"/>
      <c r="M214" s="278"/>
      <c r="N214" s="278"/>
      <c r="O214" s="278"/>
      <c r="P214" s="278"/>
      <c r="Q214" s="278"/>
      <c r="R214" s="278"/>
      <c r="S214" s="278"/>
      <c r="T214" s="278"/>
      <c r="U214" s="278"/>
      <c r="V214" s="278"/>
      <c r="W214" s="278"/>
      <c r="X214" s="278"/>
      <c r="Y214" s="278"/>
      <c r="Z214" s="278"/>
      <c r="AA214" s="278"/>
      <c r="AB214" s="278"/>
      <c r="AC214" s="278"/>
      <c r="AD214" s="278"/>
      <c r="AE214" s="278"/>
      <c r="AF214" s="278"/>
      <c r="AG214" s="278"/>
      <c r="AH214" s="278"/>
      <c r="AI214" s="280"/>
      <c r="BK214" s="63"/>
    </row>
    <row r="215" ht="17.25" customHeight="1">
      <c r="A215" s="63"/>
    </row>
  </sheetData>
  <sheetProtection autoFilter="0" deleteColumns="1" deleteRows="1" formatCells="1" formatColumns="0" formatRows="0" insertColumns="1" insertHyperlinks="1" insertRows="1" objects="0" pivotTables="1" scenarios="0" selectLockedCells="0" selectUnlockedCells="0" sheet="1" sort="1"/>
  <mergeCells count="287">
    <mergeCell ref="A13:A15"/>
    <mergeCell ref="D23:D25"/>
    <mergeCell ref="E23:E25"/>
    <mergeCell ref="F23:F25"/>
    <mergeCell ref="G23:G24"/>
    <mergeCell ref="H23:H24"/>
    <mergeCell ref="I23:I24"/>
    <mergeCell ref="J23:J24"/>
    <mergeCell ref="G29:G30"/>
    <mergeCell ref="H29:H30"/>
    <mergeCell ref="I29:I30"/>
    <mergeCell ref="J29:J30"/>
    <mergeCell ref="A47:A51"/>
    <mergeCell ref="C47:C51"/>
    <mergeCell ref="F72:F73"/>
    <mergeCell ref="G72:G73"/>
    <mergeCell ref="H72:H73"/>
    <mergeCell ref="I72:I73"/>
    <mergeCell ref="J72:J73"/>
    <mergeCell ref="K72:K73"/>
    <mergeCell ref="L72:L73"/>
    <mergeCell ref="M72:M73"/>
    <mergeCell ref="N72:N73"/>
    <mergeCell ref="O72:O73"/>
    <mergeCell ref="P72:P73"/>
    <mergeCell ref="Q72:Q73"/>
    <mergeCell ref="R72:R73"/>
    <mergeCell ref="S72:S73"/>
    <mergeCell ref="T72:T73"/>
    <mergeCell ref="U72:U73"/>
    <mergeCell ref="V72:V73"/>
    <mergeCell ref="W72:W73"/>
    <mergeCell ref="X72:X73"/>
    <mergeCell ref="Y72:Y73"/>
    <mergeCell ref="F82:F87"/>
    <mergeCell ref="G82:G86"/>
    <mergeCell ref="H82:H86"/>
    <mergeCell ref="I82:I86"/>
    <mergeCell ref="J82:J86"/>
    <mergeCell ref="K82:K86"/>
    <mergeCell ref="L82:L86"/>
    <mergeCell ref="M82:M86"/>
    <mergeCell ref="AF82:AF86"/>
    <mergeCell ref="AG82:AG86"/>
    <mergeCell ref="AH82:AH86"/>
    <mergeCell ref="AI82:AI86"/>
    <mergeCell ref="AJ82:AJ86"/>
    <mergeCell ref="AK82:AK86"/>
    <mergeCell ref="N83:N85"/>
    <mergeCell ref="O83:O85"/>
    <mergeCell ref="P83:P85"/>
    <mergeCell ref="Q83:Q85"/>
    <mergeCell ref="R83:R85"/>
    <mergeCell ref="S83:S85"/>
    <mergeCell ref="T83:T85"/>
    <mergeCell ref="U83:U85"/>
    <mergeCell ref="V83:V85"/>
    <mergeCell ref="W83:W85"/>
    <mergeCell ref="X83:X85"/>
    <mergeCell ref="Y83:Y85"/>
    <mergeCell ref="I87:K87"/>
    <mergeCell ref="N91:N93"/>
    <mergeCell ref="O91:O93"/>
    <mergeCell ref="P91:P93"/>
    <mergeCell ref="Q91:Q93"/>
    <mergeCell ref="R91:R93"/>
    <mergeCell ref="S91:S93"/>
    <mergeCell ref="T91:T93"/>
    <mergeCell ref="U91:U93"/>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D115:D123"/>
    <mergeCell ref="E115:G115"/>
    <mergeCell ref="H115:R115"/>
    <mergeCell ref="AC115:AC120"/>
    <mergeCell ref="E116:G116"/>
    <mergeCell ref="H116:R116"/>
    <mergeCell ref="E117:G117"/>
    <mergeCell ref="H117:R117"/>
    <mergeCell ref="E118:P118"/>
    <mergeCell ref="U118:U120"/>
    <mergeCell ref="V118:V120"/>
    <mergeCell ref="E121:P121"/>
    <mergeCell ref="U121:U123"/>
    <mergeCell ref="V121:V123"/>
    <mergeCell ref="D127:D135"/>
    <mergeCell ref="E127:G127"/>
    <mergeCell ref="H127:R127"/>
    <mergeCell ref="AC127:AC132"/>
    <mergeCell ref="E128:G128"/>
    <mergeCell ref="H128:R128"/>
    <mergeCell ref="E129:G129"/>
    <mergeCell ref="H129:R129"/>
    <mergeCell ref="E130:P130"/>
    <mergeCell ref="U130:U132"/>
    <mergeCell ref="V130:V132"/>
    <mergeCell ref="U133:U135"/>
    <mergeCell ref="V133:V135"/>
    <mergeCell ref="E139:E142"/>
    <mergeCell ref="F139:F142"/>
    <mergeCell ref="G139:G142"/>
    <mergeCell ref="L139:M139"/>
    <mergeCell ref="S139:S142"/>
    <mergeCell ref="H140:H141"/>
    <mergeCell ref="I140:I141"/>
    <mergeCell ref="J140:J141"/>
    <mergeCell ref="K140:K141"/>
    <mergeCell ref="H147:H148"/>
    <mergeCell ref="I147:I148"/>
    <mergeCell ref="J147:J148"/>
    <mergeCell ref="K147:K148"/>
    <mergeCell ref="D154:D158"/>
    <mergeCell ref="E154:E158"/>
    <mergeCell ref="F154:F158"/>
    <mergeCell ref="G154:G158"/>
    <mergeCell ref="H154:H157"/>
    <mergeCell ref="I154:I157"/>
    <mergeCell ref="J154:J157"/>
    <mergeCell ref="K154:K157"/>
    <mergeCell ref="L154:L156"/>
    <mergeCell ref="M154:M156"/>
    <mergeCell ref="N154:N156"/>
    <mergeCell ref="O154:O156"/>
    <mergeCell ref="P154:P155"/>
    <mergeCell ref="Q154:Q155"/>
    <mergeCell ref="R154:R155"/>
    <mergeCell ref="S154:S155"/>
    <mergeCell ref="H160:H163"/>
    <mergeCell ref="I160:I163"/>
    <mergeCell ref="J160:J163"/>
    <mergeCell ref="K160:K163"/>
    <mergeCell ref="L160:L162"/>
    <mergeCell ref="M160:M162"/>
    <mergeCell ref="N160:N162"/>
    <mergeCell ref="O160:O162"/>
    <mergeCell ref="P160:P161"/>
    <mergeCell ref="Q160:Q161"/>
    <mergeCell ref="R160:R161"/>
    <mergeCell ref="S160:S161"/>
    <mergeCell ref="L165:L167"/>
    <mergeCell ref="M165:M167"/>
    <mergeCell ref="N165:N167"/>
    <mergeCell ref="O165:O167"/>
    <mergeCell ref="P165:P166"/>
    <mergeCell ref="Q165:Q166"/>
    <mergeCell ref="R165:R166"/>
    <mergeCell ref="S165:S166"/>
    <mergeCell ref="P169:P170"/>
    <mergeCell ref="Q169:Q170"/>
    <mergeCell ref="R169:R170"/>
    <mergeCell ref="S169:S170"/>
    <mergeCell ref="D176:D180"/>
    <mergeCell ref="E176:E180"/>
    <mergeCell ref="F176:F180"/>
    <mergeCell ref="G176:G180"/>
    <mergeCell ref="H176:H179"/>
    <mergeCell ref="I176:I179"/>
    <mergeCell ref="J176:J179"/>
    <mergeCell ref="K176:K179"/>
    <mergeCell ref="L176:L178"/>
    <mergeCell ref="M176:M178"/>
    <mergeCell ref="N176:N178"/>
    <mergeCell ref="O176:O178"/>
    <mergeCell ref="P176:P177"/>
    <mergeCell ref="Q176:Q177"/>
    <mergeCell ref="R176:R177"/>
    <mergeCell ref="S176:S177"/>
    <mergeCell ref="W176:W177"/>
    <mergeCell ref="H182:H185"/>
    <mergeCell ref="I182:I185"/>
    <mergeCell ref="J182:J185"/>
    <mergeCell ref="K182:K185"/>
    <mergeCell ref="L182:L184"/>
    <mergeCell ref="M182:M184"/>
    <mergeCell ref="N182:N184"/>
    <mergeCell ref="O182:O184"/>
    <mergeCell ref="P182:P183"/>
    <mergeCell ref="Q182:Q183"/>
    <mergeCell ref="R182:R183"/>
    <mergeCell ref="S182:S183"/>
    <mergeCell ref="W182:W183"/>
    <mergeCell ref="L187:L189"/>
    <mergeCell ref="M187:M189"/>
    <mergeCell ref="N187:N189"/>
    <mergeCell ref="O187:O189"/>
    <mergeCell ref="P187:P188"/>
    <mergeCell ref="Q187:Q188"/>
    <mergeCell ref="R187:R188"/>
    <mergeCell ref="S187:S188"/>
    <mergeCell ref="W187:W188"/>
    <mergeCell ref="P191:P192"/>
    <mergeCell ref="Q191:Q192"/>
    <mergeCell ref="R191:R192"/>
    <mergeCell ref="S191:S192"/>
    <mergeCell ref="W191:W192"/>
    <mergeCell ref="D194:D198"/>
    <mergeCell ref="E194:E198"/>
    <mergeCell ref="F194:F198"/>
    <mergeCell ref="G194:G198"/>
    <mergeCell ref="H194:H197"/>
    <mergeCell ref="I194:I197"/>
    <mergeCell ref="J194:J197"/>
    <mergeCell ref="K194:K197"/>
    <mergeCell ref="L194:L196"/>
    <mergeCell ref="M194:M196"/>
    <mergeCell ref="N194:N196"/>
    <mergeCell ref="O194:O196"/>
    <mergeCell ref="P194:P195"/>
    <mergeCell ref="Q194:Q195"/>
    <mergeCell ref="R194:R195"/>
    <mergeCell ref="S194:S195"/>
    <mergeCell ref="D202:D207"/>
    <mergeCell ref="E202:E207"/>
    <mergeCell ref="F202:F207"/>
    <mergeCell ref="G202:G207"/>
    <mergeCell ref="I202:I206"/>
    <mergeCell ref="J202:J206"/>
    <mergeCell ref="L202:L206"/>
    <mergeCell ref="M202:M206"/>
    <mergeCell ref="O202:O205"/>
    <mergeCell ref="P202:P205"/>
    <mergeCell ref="R202:R205"/>
    <mergeCell ref="S202:S205"/>
    <mergeCell ref="U202:U204"/>
    <mergeCell ref="V202:V204"/>
    <mergeCell ref="X202:X204"/>
    <mergeCell ref="Y202:Y204"/>
    <mergeCell ref="AA202:AA203"/>
    <mergeCell ref="AB202:AB203"/>
    <mergeCell ref="AD202:AD203"/>
    <mergeCell ref="AE202:AE203"/>
    <mergeCell ref="AH203:AI203"/>
    <mergeCell ref="AB204:AI204"/>
    <mergeCell ref="V205:AI205"/>
    <mergeCell ref="P206:AI206"/>
    <mergeCell ref="J207:AI207"/>
    <mergeCell ref="D209:D214"/>
    <mergeCell ref="E209:E214"/>
    <mergeCell ref="F209:F214"/>
    <mergeCell ref="G209:G214"/>
    <mergeCell ref="I209:I213"/>
    <mergeCell ref="J209:J213"/>
    <mergeCell ref="L209:L213"/>
    <mergeCell ref="M209:M213"/>
    <mergeCell ref="O209:O212"/>
    <mergeCell ref="P209:P212"/>
    <mergeCell ref="R209:R212"/>
    <mergeCell ref="S209:S212"/>
    <mergeCell ref="U209:U211"/>
    <mergeCell ref="V209:V211"/>
    <mergeCell ref="X209:X211"/>
    <mergeCell ref="Y209:Y211"/>
    <mergeCell ref="AA209:AA210"/>
    <mergeCell ref="AB209:AB210"/>
    <mergeCell ref="AD209:AD210"/>
    <mergeCell ref="AE209:AE210"/>
    <mergeCell ref="AH210:AI210"/>
    <mergeCell ref="AB211:AI211"/>
    <mergeCell ref="V212:AI212"/>
    <mergeCell ref="P213:AI213"/>
    <mergeCell ref="J214:AI214"/>
  </mergeCells>
  <dataValidations count="7" disablePrompts="0">
    <dataValidation sqref="N154:N156 N176:N178 N160:N162 N165:N167 N169:N170 N182:N184 N187:N189 N191:N192" type="none" allowBlank="1" errorStyle="stop" imeMode="noControl" operator="between"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howDropDown="0" showErrorMessage="1" showInputMessage="1"/>
    <dataValidation sqref="G72 G77" type="none" allowBlank="1" errorStyle="stop" imeMode="noControl" operator="between" prompt="Для выбора ИП необходимо два раза нажать левую кнопку мыши!" promptTitle="Ввод" showDropDown="0" showErrorMessage="1" showInputMessage="1"/>
    <dataValidation sqref="F60" type="none" allowBlank="1" errorStyle="stop" imeMode="noControl" operator="between" prompt="Выберите один или несколько одновременно видов деятельности, выполнив последовательно по одному щелчку на строке с видом деятельности" showDropDown="0" showErrorMessage="1" showInputMessage="1"/>
    <dataValidation sqref="J56" type="none" allowBlank="1" errorStyle="stop" imeMode="noControl" operator="between" prompt="Изменение значения по двойному щелчоку левой кнопки мыши" showDropDown="0" showErrorMessage="1" showInputMessage="1"/>
    <dataValidation sqref="G165:G167 G172 G154:G158 G191:G192 G160:G163 G176:G180 G182:G185 G187:G189 G169:G170" type="none" allowBlank="1" errorStyle="stop" imeMode="noControl" operator="between" prompt="Выберите виды деятельности, выполнив двойной щелчок левой кнопки мыши по ячейке." showDropDown="0" showErrorMessage="1" showInputMessage="1"/>
    <dataValidation sqref="G64 T72 I72:J72 X72 T77 I77:J77 X77 F49"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K194:K195 O194:O195 S154:S155 S194:S195 O154 K154 F165:F167 S176:S177 O176 K176 F172 K160 S160:S161 O160 F154:F158 K165 S165:S166 O165 O191 K169 S169:S170 O169 F160:F163 K182 S182:S183 O182 F176:F180 F182:F185 S187:S188 O187 F187:F189 F191:F192 S191:S192 F169:F170"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s>
  <printOptions headings="0" gridLines="0"/>
  <pageMargins left="0.75" right="0.75" top="1" bottom="1" header="0.5" footer="0.5"/>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13" disablePrompts="0">
        <x14:dataValidation xr:uid="{00F800D1-008B-4A71-B1AC-005C00D300AA}" type="decimal" allowBlank="1" error="Допускается ввод только действительных чисел!" errorStyle="stop" errorTitle="Ошибка" imeMode="noControl" operator="between" showDropDown="0" showErrorMessage="1" showInputMessage="0">
          <x14:formula1>
            <xm:f>-9.99999999999999E+23</xm:f>
          </x14:formula1>
          <x14:formula2>
            <xm:f>9.99999999999999E+23</xm:f>
          </x14:formula2>
          <xm:sqref>CY110:DJ110 BT110:CK110 O110:AB110</xm:sqref>
        </x14:dataValidation>
        <x14:dataValidation xr:uid="{000B000B-00B1-44C8-9E02-00BC00D60075}" type="list" allowBlank="1" error="Выберите значение из списка" errorStyle="warning" errorTitle="Ошибка" imeMode="noControl" operator="between" prompt="Выберите значение из списка или укажите свой вид твердых коммунальных отходов" showDropDown="0" showErrorMessage="0" showInputMessage="1">
          <x14:formula1>
            <xm:f>list_typeTKO</xm:f>
          </x14:formula1>
          <xm:sqref>AC202 AC209</xm:sqref>
        </x14:dataValidation>
        <x14:dataValidation xr:uid="{0015006C-004A-43CA-B445-008A00650061}" type="list" allowBlank="1" error="Выберите значение из списка" errorStyle="stop" errorTitle="Ошибка" imeMode="noControl" operator="between" prompt="Выберите значение из списка" showDropDown="0" showErrorMessage="1" showInputMessage="1">
          <x14:formula1>
            <xm:f>QRE_METHOD_LIST</xm:f>
          </x14:formula1>
          <xm:sqref>H110</xm:sqref>
        </x14:dataValidation>
        <x14:dataValidation xr:uid="{00CF002C-00D4-4325-A901-00840064009C}" type="list" allowBlank="1" error="Выберите значение из списка" errorStyle="stop" errorTitle="Ошибка" imeMode="noControl" operator="between" prompt="Выберите значение из списка" showDropDown="0" showErrorMessage="1" showInputMessage="1">
          <x14:formula1>
            <xm:f>kind_of_purchase_method</xm:f>
          </x14:formula1>
          <xm:sqref>J140:J141 J147:J148 J150</xm:sqref>
        </x14:dataValidation>
        <x14:dataValidation xr:uid="{00890012-0026-4F14-986E-0055008800A8}" type="whole" allowBlank="1" error="Допускается ввод только неотрицательных целых чисел!" errorStyle="stop" errorTitle="Ошибка" imeMode="noControl" operator="between" showDropDown="0" showErrorMessage="1" showInputMessage="0">
          <x14:formula1>
            <xm:f>0</xm:f>
          </x14:formula1>
          <x14:formula2>
            <xm:f>9.99999999999999E+23</xm:f>
          </x14:formula2>
          <xm:sqref>AF91:AF93 AI91:AI93 AF101:AF105 AI101:AI105 AF97 AI97 AF82:AF86 AI82:AI86 N60 P60 U60:V60 Y60:Z60 J60 R60:S60 AC60</xm:sqref>
        </x14:dataValidation>
        <x14:dataValidation xr:uid="{00E000D0-00E6-4D7F-BA59-00DB00CE00FD}" type="list" allowBlank="1" error="Выберите значение из списка" errorStyle="stop" errorTitle="Ошибка" imeMode="noControl" operator="between" prompt="Выберите значение из списка" showDropDown="0" showErrorMessage="1" showInputMessage="1">
          <x14:formula1>
            <xm:f>kind_of_power_te_unit</xm:f>
          </x14:formula1>
          <xm:sqref>L60</xm:sqref>
        </x14:dataValidation>
        <x14:dataValidation xr:uid="{0040002B-0089-42A4-A837-001C005A004B}" type="list" allowBlank="1" errorStyle="stop" imeMode="noControl" operator="between" showDropDown="0" showErrorMessage="1" showInputMessage="1">
          <x14:formula1>
            <xm:f>DESCRIPTION_TERRITORY</xm:f>
          </x14:formula1>
          <xm:sqref>I34</xm:sqref>
        </x14:dataValidation>
        <x14:dataValidation xr:uid="{002C00E2-0047-4584-8901-001B00AF00ED}" type="textLength" allowBlank="1" error="Допускается ввод не более 900 символов!" errorStyle="stop" imeMode="noControl" operator="lessThan" showDropDown="0" showErrorMessage="1" showInputMessage="1">
          <x14:formula1>
            <xm:f>900</xm:f>
          </x14:formula1>
          <xm:sqref>M29 M23</xm:sqref>
        </x14:dataValidation>
        <x14:dataValidation xr:uid="{005B006D-0057-475E-AB58-0045003700D0}" type="list" allowBlank="1" error="для выбора выполните двойной щелчок по ячейке" errorStyle="stop" imeMode="noControl" operator="between" prompt="Для выбора выполните двойной щелчок левой клавиши мыши по соответствующей ячейке." showDropDown="1" showErrorMessage="1" showInputMessage="1">
          <x14:formula1>
            <xm:f>"a"</xm:f>
          </x14:formula1>
          <xm:sqref>F39 I82:J85 K72 K77 I97:J97 I101:J104</xm:sqref>
        </x14:dataValidation>
        <x14:dataValidation xr:uid="{00790085-00F0-452E-B3A3-002000480025}"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H64 K56 F68</xm:sqref>
        </x14:dataValidation>
        <x14:dataValidation xr:uid="{0018002F-00BB-492A-9B39-008F00A1004A}" type="list" allowBlank="1" error="Выберите значение из списка" errorStyle="stop" errorTitle="Ошибка" imeMode="noControl" operator="between"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howDropDown="0" showErrorMessage="1" showInputMessage="1">
          <x14:formula1>
            <xm:f>DESCRIPTION_TERRITORY</xm:f>
          </x14:formula1>
          <xm:sqref>N194:N196</xm:sqref>
        </x14:dataValidation>
        <x14:dataValidation xr:uid="{0062001A-000D-4C92-A88B-002B004A006A}" type="decimal" allowBlank="1" error="Допускается ввод только неотрицательных чисел!" errorStyle="stop" errorTitle="Ошибка" imeMode="noControl" operator="between" showDropDown="0" showErrorMessage="1" showInputMessage="0">
          <x14:formula1>
            <xm:f>0</xm:f>
          </x14:formula1>
          <x14:formula2>
            <xm:f>9.99999999999999E+23</xm:f>
          </x14:formula2>
          <xm:sqref>Q147 O147 O150 Q150 Q140 O140 AC84 AE84 AC92 AE92 AE97 AE103 AC103 AC97 T60 H60:I60 AB60 X60 K60 M60 O60 Q60</xm:sqref>
        </x14:dataValidation>
        <x14:dataValidation xr:uid="{00DD00FE-00B3-4BB7-8DE2-004600600045}" type="textLength" allowBlank="1" error="Допускается ввод не более 900 символов!" errorStyle="stop" errorTitle="Ошибка" imeMode="noControl" operator="lessThanOrEqual" showDropDown="0" showErrorMessage="1" showInputMessage="1">
          <x14:formula1>
            <xm:f>900</xm:f>
          </x14:formula1>
          <xm: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xm:sqref>
        </x14:dataValidation>
      </x14:dataValidations>
    </ext>
  </extLst>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topLeftCell="A1" zoomScale="100" workbookViewId="0">
      <selection activeCell="A1" activeCellId="0" sqref="A1"/>
    </sheetView>
  </sheetViews>
  <sheetFormatPr defaultColWidth="43.140625" defaultRowHeight="9" customHeight="1"/>
  <cols>
    <col min="1" max="1" style="1320" width="43.140625"/>
    <col hidden="1" min="2" max="2" style="1320" width="43.140625"/>
    <col min="3" max="3" style="1320" width="43.140625"/>
    <col customWidth="1" min="4" max="5" style="1320" width="36.421875"/>
    <col customWidth="1" min="6" max="8" style="1321" width="36.421875"/>
  </cols>
  <sheetData>
    <row r="1" ht="9" customHeight="1">
      <c r="A1" s="1322" t="s">
        <v>1950</v>
      </c>
      <c r="B1" s="1322"/>
      <c r="C1" s="1323" t="s">
        <v>1951</v>
      </c>
      <c r="D1" s="1324" t="s">
        <v>812</v>
      </c>
      <c r="E1" s="1324" t="s">
        <v>858</v>
      </c>
      <c r="F1" s="1324" t="s">
        <v>911</v>
      </c>
      <c r="G1" s="1324" t="s">
        <v>898</v>
      </c>
      <c r="H1" s="1324" t="s">
        <v>1626</v>
      </c>
    </row>
    <row r="2" ht="9" customHeight="1">
      <c r="A2" s="1325" t="s">
        <v>1952</v>
      </c>
      <c r="B2" s="1325"/>
      <c r="C2" s="1326" t="str">
        <f>INDEX(TEMPLATE_NUMBER_FORM_LIST,MATCH(TEMPLATE_SPHERE,TEMPLATE_SPHERE_LIST,0))</f>
        <v>16</v>
      </c>
      <c r="D2" s="1325" t="s">
        <v>1475</v>
      </c>
      <c r="E2" s="1325" t="s">
        <v>149</v>
      </c>
      <c r="F2" s="1327" t="s">
        <v>149</v>
      </c>
      <c r="G2" s="1325" t="s">
        <v>149</v>
      </c>
      <c r="H2" s="1328"/>
    </row>
    <row r="3" ht="63" customHeight="1">
      <c r="A3" s="1322"/>
      <c r="B3" s="1322" t="s">
        <v>109</v>
      </c>
      <c r="C3" s="1326" t="str">
        <f t="shared" ref="C3:C5" si="57">IF(TEMPLATE_SPHERE="HEAT",D3,IF(TEMPLATE_SPHERE="TKO",H3,E3))</f>
        <v xml:space="preserve">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1326" t="s">
        <v>1953</v>
      </c>
      <c r="E3" s="1326"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 xml:space="preserve">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1327"/>
      <c r="G3" s="1328"/>
      <c r="H3" s="1322"/>
    </row>
    <row r="4" ht="243" customHeight="1">
      <c r="A4" s="1322" t="s">
        <v>1954</v>
      </c>
      <c r="B4" s="1322" t="s">
        <v>110</v>
      </c>
      <c r="C4" s="1326" t="str">
        <f t="shared" si="57"/>
        <v xml:space="preserve">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1325" t="s">
        <v>1955</v>
      </c>
      <c r="E4" s="1326" t="str">
        <f>"Форма 1. Информация об организации, осуществляющей "&amp;TEMPLATE_SPHERE_RUS_2&amp;" (общая информация)"</f>
        <v xml:space="preserve">Форма 1. Информация об организации, осуществляющей теплоснабжение (общая информация)</v>
      </c>
      <c r="F4" s="1325"/>
      <c r="G4" s="1325"/>
      <c r="H4" s="1322" t="s">
        <v>1956</v>
      </c>
    </row>
    <row r="5" ht="117" customHeight="1">
      <c r="A5" s="1322" t="s">
        <v>1957</v>
      </c>
      <c r="B5" s="1322" t="s">
        <v>91</v>
      </c>
      <c r="C5" s="1326" t="str">
        <f t="shared" si="57"/>
        <v xml:space="preserve">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1322" t="s">
        <v>1958</v>
      </c>
      <c r="E5" s="132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 xml:space="preserve">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1328"/>
      <c r="G5" s="1328"/>
      <c r="H5" s="1322" t="s">
        <v>1959</v>
      </c>
    </row>
    <row r="6" ht="90" customHeight="1">
      <c r="A6" s="1322" t="s">
        <v>1960</v>
      </c>
      <c r="B6" s="1322" t="s">
        <v>92</v>
      </c>
      <c r="C6" s="1326" t="str">
        <f t="shared" ref="C6:C8" si="58">IF(TEMPLATE_SPHERE="HEAT",D6,E6)</f>
        <v xml:space="preserve">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132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 xml:space="preserve">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132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 xml:space="preserve">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1322"/>
      <c r="G6" s="1322"/>
      <c r="H6" s="1328"/>
    </row>
    <row r="7" ht="45" customHeight="1">
      <c r="A7" s="1322" t="s">
        <v>1961</v>
      </c>
      <c r="B7" s="1322" t="s">
        <v>111</v>
      </c>
      <c r="C7" s="1326" t="str">
        <f t="shared" si="58"/>
        <v xml:space="preserve">Форма 11. Информация о расходах на капитальный и текущий ремонт основных средств</v>
      </c>
      <c r="D7" s="1322" t="s">
        <v>1962</v>
      </c>
      <c r="E7" s="1322" t="s">
        <v>1963</v>
      </c>
      <c r="F7" s="1328"/>
      <c r="G7" s="1328"/>
      <c r="H7" s="1328"/>
    </row>
    <row r="8" ht="108" customHeight="1">
      <c r="A8" s="1322" t="s">
        <v>1964</v>
      </c>
      <c r="B8" s="1322" t="s">
        <v>93</v>
      </c>
      <c r="C8" s="1326" t="str">
        <f t="shared" si="58"/>
        <v xml:space="preserve">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1322" t="s">
        <v>1163</v>
      </c>
      <c r="E8" s="1322" t="s">
        <v>1965</v>
      </c>
      <c r="F8" s="1328"/>
      <c r="G8" s="1328"/>
      <c r="H8" s="1328"/>
    </row>
    <row r="9" ht="99" customHeight="1">
      <c r="A9" s="1322" t="s">
        <v>1966</v>
      </c>
      <c r="B9" s="1322"/>
      <c r="C9" s="1322" t="s">
        <v>1967</v>
      </c>
      <c r="D9" s="1322"/>
      <c r="E9" s="1322"/>
      <c r="F9" s="1328"/>
      <c r="G9" s="1328"/>
      <c r="H9" s="1328"/>
    </row>
    <row r="10" ht="126" customHeight="1">
      <c r="A10" s="1322" t="s">
        <v>1968</v>
      </c>
      <c r="B10" s="1322"/>
      <c r="C10" s="1322" t="s">
        <v>1969</v>
      </c>
      <c r="D10" s="1322"/>
      <c r="E10" s="1322"/>
      <c r="F10" s="1328"/>
      <c r="G10" s="1328"/>
      <c r="H10" s="1328"/>
    </row>
    <row r="11" ht="108" customHeight="1">
      <c r="A11" s="1322" t="s">
        <v>1970</v>
      </c>
      <c r="B11" s="1322"/>
      <c r="C11" s="1322" t="s">
        <v>1971</v>
      </c>
      <c r="D11" s="1322"/>
      <c r="E11" s="1322"/>
      <c r="F11" s="1328"/>
      <c r="G11" s="1328"/>
      <c r="H11" s="1328"/>
    </row>
    <row r="12" ht="54" customHeight="1">
      <c r="A12" s="1322" t="s">
        <v>1972</v>
      </c>
      <c r="B12" s="1322"/>
      <c r="C12" s="1322" t="s">
        <v>1973</v>
      </c>
      <c r="D12" s="1322"/>
      <c r="E12" s="1322"/>
      <c r="F12" s="1328"/>
      <c r="G12" s="1328"/>
      <c r="H12" s="1328"/>
    </row>
    <row r="13" ht="45" customHeight="1">
      <c r="A13" s="1322" t="s">
        <v>1974</v>
      </c>
      <c r="B13" s="1322"/>
      <c r="C13" s="1322" t="s">
        <v>1975</v>
      </c>
      <c r="D13" s="1322"/>
      <c r="E13" s="1322"/>
      <c r="F13" s="1328"/>
      <c r="G13" s="1328"/>
      <c r="H13" s="1328"/>
    </row>
    <row r="14" ht="117" customHeight="1">
      <c r="A14" s="1322" t="s">
        <v>1976</v>
      </c>
      <c r="B14" s="1322"/>
      <c r="C14" s="1322" t="s">
        <v>1977</v>
      </c>
      <c r="D14" s="1322"/>
      <c r="E14" s="1322"/>
      <c r="F14" s="1328"/>
      <c r="G14" s="1328"/>
      <c r="H14" s="1328"/>
    </row>
    <row r="15" ht="117" customHeight="1">
      <c r="A15" s="1322" t="s">
        <v>1978</v>
      </c>
      <c r="B15" s="1322"/>
      <c r="C15" s="1322" t="s">
        <v>1979</v>
      </c>
      <c r="D15" s="1322"/>
      <c r="E15" s="1322"/>
      <c r="F15" s="1328"/>
      <c r="G15" s="1328"/>
      <c r="H15" s="1328"/>
    </row>
    <row r="16" ht="63" customHeight="1">
      <c r="A16" s="1322" t="s">
        <v>1980</v>
      </c>
      <c r="B16" s="1322"/>
      <c r="C16" s="1322" t="s">
        <v>1981</v>
      </c>
      <c r="D16" s="1322"/>
      <c r="E16" s="1322"/>
      <c r="F16" s="1328"/>
      <c r="G16" s="1328"/>
      <c r="H16" s="1328"/>
    </row>
    <row r="17" ht="54" customHeight="1">
      <c r="A17" s="1322" t="s">
        <v>1982</v>
      </c>
      <c r="B17" s="1322"/>
      <c r="C17" s="1326" t="s">
        <v>1983</v>
      </c>
      <c r="D17" s="1322"/>
      <c r="E17" s="1322"/>
      <c r="F17" s="1328"/>
      <c r="G17" s="1328"/>
      <c r="H17" s="1328"/>
    </row>
    <row r="18" ht="27" customHeight="1">
      <c r="A18" s="1322" t="s">
        <v>1984</v>
      </c>
      <c r="B18" s="1322"/>
      <c r="C18" s="1326" t="s">
        <v>1985</v>
      </c>
      <c r="D18" s="1322"/>
      <c r="E18" s="1322"/>
      <c r="F18" s="1328"/>
      <c r="G18" s="1328"/>
      <c r="H18" s="1328"/>
    </row>
    <row r="19" ht="54" customHeight="1">
      <c r="A19" s="1322" t="s">
        <v>1986</v>
      </c>
      <c r="B19" s="1322"/>
      <c r="C19" s="1326" t="s">
        <v>1987</v>
      </c>
      <c r="D19" s="1322"/>
      <c r="E19" s="1322"/>
      <c r="F19" s="1328"/>
      <c r="G19" s="1328"/>
      <c r="H19" s="1328"/>
    </row>
    <row r="20" ht="36" customHeight="1">
      <c r="A20" s="1322" t="s">
        <v>1988</v>
      </c>
      <c r="B20" s="1322"/>
      <c r="C20" s="1326" t="s">
        <v>1989</v>
      </c>
      <c r="D20" s="1322"/>
      <c r="E20" s="1322"/>
      <c r="F20" s="1328"/>
      <c r="G20" s="1328"/>
      <c r="H20" s="1328"/>
    </row>
    <row r="21" ht="36" customHeight="1">
      <c r="A21" s="1322" t="s">
        <v>1990</v>
      </c>
      <c r="B21" s="1322"/>
      <c r="C21" s="1326" t="s">
        <v>1991</v>
      </c>
      <c r="D21" s="1322"/>
      <c r="E21" s="1322"/>
      <c r="F21" s="1328"/>
      <c r="G21" s="1328"/>
      <c r="H21" s="1328"/>
    </row>
    <row r="22" ht="27" customHeight="1">
      <c r="A22" s="1322" t="s">
        <v>1992</v>
      </c>
      <c r="B22" s="1322"/>
      <c r="C22" s="1326" t="s">
        <v>1993</v>
      </c>
      <c r="D22" s="1322"/>
      <c r="E22" s="1322"/>
      <c r="F22" s="1328"/>
      <c r="G22" s="1328"/>
      <c r="H22" s="1328"/>
    </row>
    <row r="23" ht="36" customHeight="1">
      <c r="A23" s="1322" t="s">
        <v>1994</v>
      </c>
      <c r="B23" s="1322"/>
      <c r="C23" s="1326" t="s">
        <v>1995</v>
      </c>
      <c r="D23" s="1322"/>
      <c r="E23" s="1322"/>
      <c r="F23" s="1328"/>
      <c r="G23" s="1328"/>
      <c r="H23" s="1328"/>
    </row>
    <row r="24" ht="28.5" customHeight="1">
      <c r="A24" s="1322" t="s">
        <v>1996</v>
      </c>
      <c r="B24" s="1322"/>
      <c r="C24" s="1326" t="s">
        <v>1997</v>
      </c>
      <c r="D24" s="1322"/>
      <c r="E24" s="1322"/>
      <c r="F24" s="1328"/>
      <c r="G24" s="1328"/>
      <c r="H24" s="1328"/>
    </row>
    <row r="25" ht="36" customHeight="1">
      <c r="A25" s="1322" t="s">
        <v>1998</v>
      </c>
      <c r="B25" s="1322"/>
      <c r="C25" s="1326" t="s">
        <v>1999</v>
      </c>
      <c r="D25" s="1322"/>
      <c r="E25" s="1322"/>
      <c r="F25" s="1328"/>
      <c r="G25" s="1328"/>
      <c r="H25" s="1328"/>
    </row>
    <row r="26" ht="27" customHeight="1">
      <c r="A26" s="1322" t="s">
        <v>2000</v>
      </c>
      <c r="B26" s="1322"/>
      <c r="C26" s="1326" t="s">
        <v>2001</v>
      </c>
      <c r="D26" s="1322"/>
      <c r="E26" s="1322"/>
      <c r="F26" s="1328"/>
      <c r="G26" s="1328"/>
      <c r="H26" s="1328"/>
    </row>
    <row r="27" ht="36" customHeight="1">
      <c r="A27" s="1322" t="s">
        <v>2002</v>
      </c>
      <c r="B27" s="1322"/>
      <c r="C27" s="1326" t="s">
        <v>2003</v>
      </c>
      <c r="D27" s="1322"/>
      <c r="E27" s="1322"/>
      <c r="F27" s="1328"/>
      <c r="G27" s="1328"/>
      <c r="H27" s="1328"/>
    </row>
    <row r="28" ht="28.5" customHeight="1">
      <c r="A28" s="1322" t="s">
        <v>2004</v>
      </c>
      <c r="B28" s="1322"/>
      <c r="C28" s="1326" t="s">
        <v>2005</v>
      </c>
      <c r="D28" s="1322"/>
      <c r="E28" s="1322"/>
      <c r="F28" s="1328"/>
      <c r="G28" s="1328"/>
      <c r="H28" s="1328"/>
    </row>
    <row r="29" ht="126" customHeight="1">
      <c r="A29" s="1322" t="s">
        <v>2006</v>
      </c>
      <c r="B29" s="1322" t="s">
        <v>1577</v>
      </c>
      <c r="C29" s="1326" t="str">
        <f t="shared" ref="C29:C32" si="59">IF(TEMPLATE_SPHERE="HEAT",D29,IF(TEMPLATE_SPHERE="TKO",H29,E29))</f>
        <v xml:space="preserve">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1322" t="s">
        <v>2007</v>
      </c>
      <c r="E29" s="132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 xml:space="preserve">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1328"/>
      <c r="G29" s="1328"/>
      <c r="H29" s="1322" t="s">
        <v>2008</v>
      </c>
    </row>
    <row r="30" ht="36" customHeight="1">
      <c r="A30" s="1322" t="s">
        <v>2009</v>
      </c>
      <c r="B30" s="1322"/>
      <c r="C30" s="1326" t="str">
        <f t="shared" si="59"/>
        <v xml:space="preserve">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1322" t="s">
        <v>2010</v>
      </c>
      <c r="E30" s="132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 xml:space="preserve">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1328"/>
      <c r="G30" s="1328"/>
      <c r="H30" s="1328"/>
    </row>
    <row r="31" ht="54" customHeight="1">
      <c r="A31" s="1322" t="s">
        <v>2011</v>
      </c>
      <c r="B31" s="1322"/>
      <c r="C31" s="1326" t="str">
        <f t="shared" si="59"/>
        <v xml:space="preserve">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1322" t="s">
        <v>2012</v>
      </c>
      <c r="E31" s="1329" t="str">
        <f>"Форма 1. Информация об организации, осуществляющей "&amp;TEMPLATE_SPHERE_RUS_2&amp;" (общая информация)"</f>
        <v xml:space="preserve">Форма 1. Информация об организации, осуществляющей теплоснабжение (общая информация)</v>
      </c>
      <c r="F31" s="1328"/>
      <c r="G31" s="1328"/>
      <c r="H31" s="1328"/>
    </row>
    <row r="32" ht="198" customHeight="1">
      <c r="A32" s="1322" t="s">
        <v>2013</v>
      </c>
      <c r="B32" s="1322"/>
      <c r="C32" s="1326" t="str">
        <f t="shared" si="59"/>
        <v xml:space="preserve">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1322" t="s">
        <v>2014</v>
      </c>
      <c r="E32" s="1329" t="str">
        <f>"Форма 7. Информация об инвестиционных программах организации "&amp;TEMPLATE_SPHERE_RUS&amp;" и отчетах об их исполнении"</f>
        <v xml:space="preserve">Форма 7. Информация об инвестиционных программах организации теплоснабжения и отчетах об их исполнении</v>
      </c>
      <c r="F32" s="1328"/>
      <c r="G32" s="1328"/>
      <c r="H32" s="1322" t="s">
        <v>2015</v>
      </c>
    </row>
    <row r="33" ht="9" customHeight="1">
      <c r="A33" s="1322"/>
      <c r="B33" s="1322"/>
      <c r="C33" s="1326"/>
      <c r="D33" s="1322"/>
      <c r="E33" s="1322"/>
      <c r="F33" s="1328"/>
      <c r="G33" s="1328"/>
      <c r="H33" s="1328"/>
    </row>
    <row r="34" ht="9" customHeight="1">
      <c r="A34" s="1322"/>
      <c r="B34" s="1322" t="s">
        <v>1513</v>
      </c>
      <c r="C34" s="1326">
        <f>INDEX(TEMPLATE_NAME_FORM_LIST,B34,MATCH(TEMPLATE_SPHERE,TEMPLATE_SPHERE_LIST,0))</f>
        <v>0</v>
      </c>
      <c r="D34" s="1322"/>
      <c r="E34" s="1322"/>
      <c r="F34" s="1328"/>
      <c r="G34" s="1328"/>
      <c r="H34" s="1328"/>
    </row>
  </sheetData>
  <sheetProtection autoFilter="0" deleteColumns="1" deleteRows="1" formatCells="1" formatColumns="1" formatRows="1" insertColumns="1" insertHyperlinks="1" insertRows="1" objects="0" pivotTables="1" scenarios="0" selectLockedCells="0" selectUnlockedCells="0" sheet="1" sort="1"/>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topLeftCell="A1" zoomScale="100" workbookViewId="0">
      <selection activeCell="A1" activeCellId="0" sqref="A1"/>
    </sheetView>
  </sheetViews>
  <sheetFormatPr defaultColWidth="9.140625" defaultRowHeight="9" customHeight="1"/>
  <cols>
    <col min="1" max="2" style="1320" width="9.140625"/>
    <col customWidth="1" min="3" max="7" style="1330" width="8.00390625"/>
    <col customWidth="1" min="8" max="12" style="1330" width="8.57421875"/>
    <col customWidth="1" min="13" max="14" style="1330" width="27.7109375"/>
    <col customWidth="1" min="15" max="19" style="1330" width="5.140625"/>
    <col customWidth="1" min="20" max="24" style="1330" width="27.7109375"/>
    <col customWidth="1" min="25" max="25" style="1331" width="1.8515625"/>
    <col customWidth="1" min="26" max="26" style="1320" width="27.7109375"/>
    <col customWidth="1" min="27" max="27" style="1332" width="27.7109375"/>
    <col customWidth="1" min="28" max="29" style="1320" width="27.7109375"/>
    <col customWidth="1" min="30" max="30" style="1320" width="3.8515625"/>
    <col min="31" max="34" style="1320" width="9.140625"/>
  </cols>
  <sheetData>
    <row r="1" s="1333" customFormat="1" ht="18" customHeight="1">
      <c r="A1" s="1334"/>
      <c r="B1" s="1334"/>
      <c r="C1" s="1334" t="s">
        <v>2016</v>
      </c>
      <c r="D1" s="1334"/>
      <c r="E1" s="1334"/>
      <c r="F1" s="1334"/>
      <c r="G1" s="1334"/>
      <c r="H1" s="1334" t="s">
        <v>2017</v>
      </c>
      <c r="I1" s="1334"/>
      <c r="J1" s="1334"/>
      <c r="K1" s="1334"/>
      <c r="L1" s="1334"/>
      <c r="M1" s="1334" t="s">
        <v>2018</v>
      </c>
      <c r="N1" s="1334" t="s">
        <v>2019</v>
      </c>
      <c r="O1" s="1334" t="s">
        <v>2020</v>
      </c>
      <c r="P1" s="1334"/>
      <c r="Q1" s="1334"/>
      <c r="R1" s="1334"/>
      <c r="S1" s="1334"/>
      <c r="T1" s="1334" t="s">
        <v>2018</v>
      </c>
      <c r="U1" s="1334"/>
      <c r="V1" s="1334"/>
      <c r="W1" s="1334"/>
      <c r="X1" s="1334"/>
      <c r="Y1" s="1335"/>
      <c r="Z1" s="1334" t="s">
        <v>2021</v>
      </c>
      <c r="AA1" s="1334"/>
      <c r="AB1" s="1334"/>
      <c r="AC1" s="1334"/>
      <c r="AD1" s="1334"/>
    </row>
    <row r="2" ht="18" customHeight="1">
      <c r="A2" s="1322"/>
      <c r="B2" s="1322"/>
      <c r="C2" s="1336" t="s">
        <v>812</v>
      </c>
      <c r="D2" s="1336" t="s">
        <v>858</v>
      </c>
      <c r="E2" s="1336" t="s">
        <v>911</v>
      </c>
      <c r="F2" s="1336" t="s">
        <v>898</v>
      </c>
      <c r="G2" s="1336" t="s">
        <v>1626</v>
      </c>
      <c r="H2" s="1337"/>
      <c r="I2" s="1337"/>
      <c r="J2" s="1337"/>
      <c r="K2" s="1337"/>
      <c r="L2" s="1337"/>
      <c r="M2" s="1337"/>
      <c r="N2" s="1337"/>
      <c r="O2" s="1336" t="s">
        <v>812</v>
      </c>
      <c r="P2" s="1336" t="s">
        <v>858</v>
      </c>
      <c r="Q2" s="1336" t="s">
        <v>898</v>
      </c>
      <c r="R2" s="1336" t="s">
        <v>911</v>
      </c>
      <c r="S2" s="1336" t="s">
        <v>1626</v>
      </c>
      <c r="T2" s="1336" t="s">
        <v>812</v>
      </c>
      <c r="U2" s="1336" t="s">
        <v>858</v>
      </c>
      <c r="V2" s="1336" t="s">
        <v>898</v>
      </c>
      <c r="W2" s="1336" t="s">
        <v>911</v>
      </c>
      <c r="X2" s="1336" t="s">
        <v>1626</v>
      </c>
      <c r="Y2" s="1336"/>
      <c r="Z2" s="1336" t="s">
        <v>812</v>
      </c>
      <c r="AA2" s="1338" t="s">
        <v>858</v>
      </c>
      <c r="AB2" s="1336" t="s">
        <v>898</v>
      </c>
      <c r="AC2" s="1336" t="s">
        <v>911</v>
      </c>
      <c r="AD2" s="1336" t="s">
        <v>1626</v>
      </c>
    </row>
    <row r="3" ht="162" customHeight="1">
      <c r="A3" s="1339" t="s">
        <v>26</v>
      </c>
      <c r="B3" s="1339"/>
      <c r="C3" s="1340" t="s">
        <v>2022</v>
      </c>
      <c r="D3" s="1341"/>
      <c r="E3" s="1341"/>
      <c r="F3" s="1342"/>
      <c r="G3" s="1337"/>
      <c r="H3" s="1337"/>
      <c r="I3" s="1337"/>
      <c r="J3" s="1337"/>
      <c r="K3" s="1337"/>
      <c r="L3" s="1337"/>
      <c r="M3" s="1337"/>
      <c r="N3" s="1343" t="str">
        <f>INDEX(TEMPLATE_ORG_DATA_POINT,1,MATCH(TEMPLATE_SPHERE,TEMPLATE_SPHERE_LIST_FOR_NOTE,0))</f>
        <v xml:space="preserve">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1337"/>
      <c r="P3" s="1337"/>
      <c r="Q3" s="1337"/>
      <c r="R3" s="1337"/>
      <c r="S3" s="1337"/>
      <c r="T3" s="1337"/>
      <c r="U3" s="1337"/>
      <c r="V3" s="1337"/>
      <c r="W3" s="1337"/>
      <c r="X3" s="1337"/>
      <c r="Y3" s="1344"/>
      <c r="Z3" s="1322" t="s">
        <v>2023</v>
      </c>
      <c r="AA3" s="1337" t="s">
        <v>2024</v>
      </c>
      <c r="AB3" s="1322" t="s">
        <v>2025</v>
      </c>
      <c r="AC3" s="1322" t="s">
        <v>2026</v>
      </c>
      <c r="AD3" s="1322"/>
      <c r="AG3" s="1322"/>
      <c r="AH3" s="1322"/>
    </row>
    <row r="4" ht="9" customHeight="1">
      <c r="A4" s="1339"/>
      <c r="B4" s="1339"/>
      <c r="C4" s="1337"/>
      <c r="D4" s="1337"/>
      <c r="E4" s="1337"/>
      <c r="F4" s="1337"/>
      <c r="G4" s="1337"/>
      <c r="H4" s="1337"/>
      <c r="I4" s="1337"/>
      <c r="J4" s="1337"/>
      <c r="K4" s="1337"/>
      <c r="L4" s="1337"/>
      <c r="M4" s="1337"/>
      <c r="N4" s="1337"/>
      <c r="O4" s="1337"/>
      <c r="P4" s="1337"/>
      <c r="Q4" s="1337"/>
      <c r="R4" s="1337"/>
      <c r="S4" s="1337"/>
      <c r="T4" s="1337"/>
      <c r="U4" s="1337"/>
      <c r="V4" s="1337"/>
      <c r="W4" s="1337"/>
      <c r="X4" s="1337"/>
      <c r="Y4" s="1344"/>
      <c r="Z4" s="1322"/>
      <c r="AA4" s="1329"/>
      <c r="AB4" s="1322"/>
      <c r="AC4" s="1322"/>
      <c r="AD4" s="1322"/>
    </row>
    <row r="5" ht="9" customHeight="1">
      <c r="A5" s="1339"/>
      <c r="B5" s="1339"/>
      <c r="C5" s="1337"/>
      <c r="D5" s="1337"/>
      <c r="E5" s="1337"/>
      <c r="F5" s="1337"/>
      <c r="G5" s="1337"/>
      <c r="H5" s="1337"/>
      <c r="I5" s="1337"/>
      <c r="J5" s="1337"/>
      <c r="K5" s="1337"/>
      <c r="L5" s="1337"/>
      <c r="M5" s="1337"/>
      <c r="N5" s="1337"/>
      <c r="O5" s="1337"/>
      <c r="P5" s="1337"/>
      <c r="Q5" s="1337"/>
      <c r="R5" s="1337"/>
      <c r="S5" s="1337"/>
      <c r="T5" s="1337"/>
      <c r="U5" s="1337"/>
      <c r="V5" s="1337"/>
      <c r="W5" s="1337"/>
      <c r="X5" s="1337"/>
      <c r="Y5" s="1344"/>
      <c r="Z5" s="1322"/>
      <c r="AA5" s="1329"/>
      <c r="AB5" s="1322"/>
      <c r="AC5" s="1322"/>
      <c r="AD5" s="1322"/>
    </row>
    <row r="6" ht="9" customHeight="1">
      <c r="A6" s="1339"/>
      <c r="B6" s="1339"/>
      <c r="C6" s="1337"/>
      <c r="D6" s="1337"/>
      <c r="E6" s="1337"/>
      <c r="F6" s="1337"/>
      <c r="G6" s="1337"/>
      <c r="H6" s="1337"/>
      <c r="I6" s="1337"/>
      <c r="J6" s="1337"/>
      <c r="K6" s="1337"/>
      <c r="L6" s="1337"/>
      <c r="M6" s="1337"/>
      <c r="N6" s="1337"/>
      <c r="O6" s="1337"/>
      <c r="P6" s="1337"/>
      <c r="Q6" s="1337"/>
      <c r="R6" s="1337"/>
      <c r="S6" s="1337"/>
      <c r="T6" s="1337"/>
      <c r="U6" s="1337"/>
      <c r="V6" s="1337"/>
      <c r="W6" s="1337"/>
      <c r="X6" s="1337"/>
      <c r="Y6" s="1344"/>
      <c r="Z6" s="1322"/>
      <c r="AA6" s="1329"/>
      <c r="AB6" s="1322"/>
      <c r="AC6" s="1322"/>
      <c r="AD6" s="1322"/>
    </row>
    <row r="7" ht="9" customHeight="1">
      <c r="A7" s="1339"/>
      <c r="B7" s="1339"/>
      <c r="C7" s="1337"/>
      <c r="D7" s="1337"/>
      <c r="E7" s="1337"/>
      <c r="F7" s="1337"/>
      <c r="G7" s="1337"/>
      <c r="H7" s="1337"/>
      <c r="I7" s="1337"/>
      <c r="J7" s="1337"/>
      <c r="K7" s="1337"/>
      <c r="L7" s="1337"/>
      <c r="M7" s="1337"/>
      <c r="N7" s="1337"/>
      <c r="O7" s="1337"/>
      <c r="P7" s="1337"/>
      <c r="Q7" s="1337"/>
      <c r="R7" s="1337"/>
      <c r="S7" s="1337"/>
      <c r="T7" s="1337"/>
      <c r="U7" s="1337"/>
      <c r="V7" s="1337"/>
      <c r="W7" s="1337"/>
      <c r="X7" s="1337"/>
      <c r="Y7" s="1344"/>
      <c r="Z7" s="1322"/>
      <c r="AA7" s="1329"/>
      <c r="AB7" s="1322"/>
      <c r="AC7" s="1322"/>
      <c r="AD7" s="1322"/>
    </row>
    <row r="8" ht="9" customHeight="1">
      <c r="A8" s="1339"/>
      <c r="B8" s="1339"/>
      <c r="C8" s="1337"/>
      <c r="D8" s="1337"/>
      <c r="E8" s="1337"/>
      <c r="F8" s="1337"/>
      <c r="G8" s="1337"/>
      <c r="H8" s="1337"/>
      <c r="I8" s="1337"/>
      <c r="J8" s="1337"/>
      <c r="K8" s="1337"/>
      <c r="L8" s="1337"/>
      <c r="M8" s="1337"/>
      <c r="N8" s="1337"/>
      <c r="O8" s="1337"/>
      <c r="P8" s="1337"/>
      <c r="Q8" s="1337"/>
      <c r="R8" s="1337"/>
      <c r="S8" s="1337"/>
      <c r="T8" s="1337"/>
      <c r="U8" s="1337"/>
      <c r="V8" s="1337"/>
      <c r="W8" s="1337"/>
      <c r="X8" s="1337"/>
      <c r="Y8" s="1344"/>
      <c r="Z8" s="1322"/>
      <c r="AA8" s="1329"/>
      <c r="AB8" s="1322"/>
      <c r="AC8" s="1322"/>
      <c r="AD8" s="1322"/>
    </row>
    <row r="9" ht="9" customHeight="1">
      <c r="A9" s="1339"/>
      <c r="B9" s="1339"/>
      <c r="C9" s="1337"/>
      <c r="D9" s="1337"/>
      <c r="E9" s="1337"/>
      <c r="F9" s="1337"/>
      <c r="G9" s="1337"/>
      <c r="H9" s="1337"/>
      <c r="I9" s="1337"/>
      <c r="J9" s="1337"/>
      <c r="K9" s="1337"/>
      <c r="L9" s="1337"/>
      <c r="M9" s="1337"/>
      <c r="N9" s="1337"/>
      <c r="O9" s="1337"/>
      <c r="P9" s="1337"/>
      <c r="Q9" s="1337"/>
      <c r="R9" s="1337"/>
      <c r="S9" s="1337"/>
      <c r="T9" s="1337"/>
      <c r="U9" s="1337"/>
      <c r="V9" s="1337"/>
      <c r="W9" s="1337"/>
      <c r="X9" s="1337"/>
      <c r="Y9" s="1344"/>
      <c r="Z9" s="1322"/>
      <c r="AA9" s="1329"/>
      <c r="AB9" s="1322"/>
      <c r="AC9" s="1322"/>
      <c r="AD9" s="1322"/>
    </row>
    <row r="10" ht="9" customHeight="1">
      <c r="A10" s="1345"/>
      <c r="B10" s="1345"/>
      <c r="C10" s="1345"/>
      <c r="D10" s="1345"/>
      <c r="E10" s="1345"/>
      <c r="F10" s="1345"/>
      <c r="G10" s="1345"/>
      <c r="H10" s="1345"/>
      <c r="I10" s="1345"/>
      <c r="J10" s="1345"/>
      <c r="K10" s="1345"/>
      <c r="L10" s="1345"/>
      <c r="M10" s="1345"/>
      <c r="N10" s="1345"/>
      <c r="O10" s="1345"/>
      <c r="P10" s="1345"/>
      <c r="Q10" s="1345"/>
      <c r="R10" s="1345"/>
      <c r="S10" s="1345"/>
      <c r="T10" s="1345"/>
      <c r="U10" s="1345"/>
      <c r="V10" s="1345"/>
      <c r="W10" s="1345"/>
      <c r="X10" s="1345"/>
      <c r="Y10" s="1345"/>
      <c r="Z10" s="1345"/>
      <c r="AA10" s="1345"/>
      <c r="AB10" s="1345"/>
      <c r="AC10" s="1345"/>
      <c r="AD10" s="1345"/>
    </row>
    <row r="11" ht="45" customHeight="1">
      <c r="A11" s="1345" t="s">
        <v>33</v>
      </c>
      <c r="B11" s="1345">
        <v>1</v>
      </c>
      <c r="C11" s="1346" t="s">
        <v>1564</v>
      </c>
      <c r="D11" s="1346" t="s">
        <v>1560</v>
      </c>
      <c r="E11" s="1346" t="s">
        <v>1659</v>
      </c>
      <c r="F11" s="1346" t="s">
        <v>2027</v>
      </c>
      <c r="G11" s="1346"/>
      <c r="H11" s="1334" t="s">
        <v>2028</v>
      </c>
      <c r="I11" s="1334"/>
      <c r="J11" s="1334"/>
      <c r="K11" s="1334"/>
      <c r="L11" s="1334"/>
      <c r="M11" s="1343" t="str">
        <f t="shared" ref="M11:M15" si="60">IF(TEMPLATE_SPHERE="HEAT",T11,U11)</f>
        <v xml:space="preserve">Количество поданных заявок</v>
      </c>
      <c r="N11" s="1343" t="str">
        <f t="shared" ref="N11:N16" si="61">IF(TEMPLATE_SPHERE="HEAT",Z11,AA11)</f>
        <v xml:space="preserve">Указывается количество поданных заявок на подключение (технологическое присоединение) к системе теплоснабжения в течение отчетного квартала.</v>
      </c>
      <c r="O11" s="1337"/>
      <c r="P11" s="1337"/>
      <c r="Q11" s="1337"/>
      <c r="R11" s="1337"/>
      <c r="S11" s="1337"/>
      <c r="T11" s="1337" t="s">
        <v>2029</v>
      </c>
      <c r="U11" s="1337" t="s">
        <v>2030</v>
      </c>
      <c r="V11" s="1337"/>
      <c r="W11" s="1337"/>
      <c r="X11" s="1337"/>
      <c r="Y11" s="1344"/>
      <c r="Z11" s="1322" t="s">
        <v>2031</v>
      </c>
      <c r="AA11" s="132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 xml:space="preserve">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1322"/>
      <c r="AC11" s="1322"/>
      <c r="AD11" s="1322"/>
    </row>
    <row r="12" ht="45" customHeight="1">
      <c r="A12" s="1345"/>
      <c r="B12" s="1345">
        <v>2</v>
      </c>
      <c r="C12" s="1347"/>
      <c r="D12" s="1347"/>
      <c r="E12" s="1347"/>
      <c r="F12" s="1347"/>
      <c r="G12" s="1347"/>
      <c r="H12" s="1334" t="s">
        <v>2032</v>
      </c>
      <c r="I12" s="1334"/>
      <c r="J12" s="1334"/>
      <c r="K12" s="1334"/>
      <c r="L12" s="1334"/>
      <c r="M12" s="1343" t="str">
        <f t="shared" si="60"/>
        <v xml:space="preserve">Количество рассмотренных заявок</v>
      </c>
      <c r="N12" s="1343" t="str">
        <f t="shared" si="61"/>
        <v xml:space="preserve">Указывается количество исполненных заявок на подключение (технологическое присоединение) к системе теплоснабжения в течение отчетного квартала.</v>
      </c>
      <c r="O12" s="1337"/>
      <c r="P12" s="1337"/>
      <c r="Q12" s="1337"/>
      <c r="R12" s="1337"/>
      <c r="S12" s="1337"/>
      <c r="T12" s="1337" t="s">
        <v>2033</v>
      </c>
      <c r="U12" s="1337" t="s">
        <v>2034</v>
      </c>
      <c r="V12" s="1337"/>
      <c r="W12" s="1337"/>
      <c r="X12" s="1337"/>
      <c r="Y12" s="1344"/>
      <c r="Z12" s="1322" t="s">
        <v>2035</v>
      </c>
      <c r="AA12" s="132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 xml:space="preserve">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1322"/>
      <c r="AC12" s="1322"/>
      <c r="AD12" s="1322"/>
    </row>
    <row r="13" ht="72" customHeight="1">
      <c r="A13" s="1345"/>
      <c r="B13" s="1345">
        <v>3</v>
      </c>
      <c r="C13" s="1347"/>
      <c r="D13" s="1347"/>
      <c r="E13" s="1347"/>
      <c r="F13" s="1347"/>
      <c r="G13" s="1347"/>
      <c r="H13" s="1334" t="s">
        <v>2036</v>
      </c>
      <c r="I13" s="1334"/>
      <c r="J13" s="1334"/>
      <c r="K13" s="1334"/>
      <c r="L13" s="1334"/>
      <c r="M13" s="1343" t="str">
        <f t="shared" si="60"/>
        <v xml:space="preserve">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1343" t="str">
        <f t="shared" si="61"/>
        <v xml:space="preserve">Указывается количество заявок с решением об отказе в течение отчетного квартала.</v>
      </c>
      <c r="O13" s="1337"/>
      <c r="P13" s="1343"/>
      <c r="Q13" s="1343"/>
      <c r="R13" s="1343"/>
      <c r="S13" s="1337"/>
      <c r="T13" s="1337" t="s">
        <v>2037</v>
      </c>
      <c r="U13" s="1343" t="s">
        <v>2038</v>
      </c>
      <c r="V13" s="1343"/>
      <c r="W13" s="1343"/>
      <c r="X13" s="1337"/>
      <c r="Y13" s="1344"/>
      <c r="Z13" s="1322" t="s">
        <v>2039</v>
      </c>
      <c r="AA13" s="132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 xml:space="preserve">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1322"/>
      <c r="AC13" s="1322"/>
      <c r="AD13" s="1322"/>
    </row>
    <row r="14" ht="45" customHeight="1">
      <c r="A14" s="1345"/>
      <c r="B14" s="1345">
        <v>4</v>
      </c>
      <c r="C14" s="1347"/>
      <c r="D14" s="1347"/>
      <c r="E14" s="1347"/>
      <c r="F14" s="1347"/>
      <c r="G14" s="1347"/>
      <c r="H14" s="1334"/>
      <c r="I14" s="1346"/>
      <c r="J14" s="1346"/>
      <c r="K14" s="1346"/>
      <c r="L14" s="1346"/>
      <c r="M14" s="1348" t="str">
        <f t="shared" si="60"/>
        <v xml:space="preserve">Причины отказа в заключении договора о подключении (технологическом присоединении) к системе теплоснабжения</v>
      </c>
      <c r="N14" s="1343" t="str">
        <f t="shared" si="61"/>
        <v xml:space="preserve">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1337"/>
      <c r="P14" s="1343"/>
      <c r="Q14" s="1343"/>
      <c r="R14" s="1343"/>
      <c r="S14" s="1337"/>
      <c r="T14" s="1337" t="s">
        <v>2040</v>
      </c>
      <c r="U14" s="1343" t="str">
        <f>"Причины отказа в заключении договора о подключении (технологическом присоединении) к централизованной системе "&amp;TEMPLATE_SPHERE_RUS</f>
        <v xml:space="preserve">Причины отказа в заключении договора о подключении (технологическом присоединении) к централизованной системе теплоснабжения</v>
      </c>
      <c r="V14" s="1343"/>
      <c r="W14" s="1343"/>
      <c r="X14" s="1337"/>
      <c r="Y14" s="1344"/>
      <c r="Z14" s="1322" t="s">
        <v>2041</v>
      </c>
      <c r="AA14" s="1329" t="s">
        <v>2041</v>
      </c>
      <c r="AB14" s="1322"/>
      <c r="AC14" s="1322"/>
      <c r="AD14" s="1322"/>
    </row>
    <row r="15" ht="108" customHeight="1">
      <c r="A15" s="1345"/>
      <c r="B15" s="1345">
        <v>5</v>
      </c>
      <c r="C15" s="1347"/>
      <c r="D15" s="1347"/>
      <c r="E15" s="1347"/>
      <c r="F15" s="1347"/>
      <c r="G15" s="1347"/>
      <c r="H15" s="1349" t="s">
        <v>2042</v>
      </c>
      <c r="I15" s="1349"/>
      <c r="J15" s="1349"/>
      <c r="K15" s="1349"/>
      <c r="L15" s="1349"/>
      <c r="M15" s="1329" t="str">
        <f t="shared" si="60"/>
        <v xml:space="preserve">Резерв мощности источников тепловой энергии, входящих в систему теплоснабжения, в течение одного квартала, в том числе:</v>
      </c>
      <c r="N15" s="1350" t="str">
        <f t="shared" si="61"/>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1337"/>
      <c r="P15" s="1343"/>
      <c r="Q15" s="1343"/>
      <c r="R15" s="1343"/>
      <c r="S15" s="1337"/>
      <c r="T15" s="1337" t="s">
        <v>2043</v>
      </c>
      <c r="U15" s="1343"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 xml:space="preserve">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1343"/>
      <c r="W15" s="1343"/>
      <c r="X15" s="1337"/>
      <c r="Y15" s="1344"/>
      <c r="Z15" s="1322" t="s">
        <v>2044</v>
      </c>
      <c r="AA15" s="132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 xml:space="preserve">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1322"/>
      <c r="AC15" s="1322"/>
      <c r="AD15" s="1322"/>
    </row>
    <row r="16" ht="108" customHeight="1">
      <c r="A16" s="1345"/>
      <c r="B16" s="1345">
        <v>6</v>
      </c>
      <c r="C16" s="1351"/>
      <c r="D16" s="1351"/>
      <c r="E16" s="1351"/>
      <c r="F16" s="1351"/>
      <c r="G16" s="1351"/>
      <c r="H16" s="1352"/>
      <c r="I16" s="1353"/>
      <c r="J16" s="1353"/>
      <c r="K16" s="1353"/>
      <c r="L16" s="1353"/>
      <c r="M16" s="1354"/>
      <c r="N16" s="1350" t="str">
        <f t="shared" si="61"/>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1337"/>
      <c r="P16" s="1343"/>
      <c r="Q16" s="1343"/>
      <c r="R16" s="1343"/>
      <c r="S16" s="1337"/>
      <c r="T16" s="1337"/>
      <c r="U16" s="1343"/>
      <c r="V16" s="1343"/>
      <c r="W16" s="1343"/>
      <c r="X16" s="1337"/>
      <c r="Y16" s="1344"/>
      <c r="Z16" s="1322" t="s">
        <v>2044</v>
      </c>
      <c r="AA16" s="132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 xml:space="preserve">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1322"/>
      <c r="AC16" s="1322"/>
      <c r="AD16" s="1322"/>
    </row>
    <row r="17" ht="9" customHeight="1">
      <c r="A17" s="1345"/>
      <c r="B17" s="1345"/>
      <c r="C17" s="1345">
        <v>22</v>
      </c>
      <c r="D17" s="1345">
        <v>21</v>
      </c>
      <c r="E17" s="1345">
        <v>42</v>
      </c>
      <c r="F17" s="1345">
        <v>63</v>
      </c>
      <c r="G17" s="1345"/>
      <c r="H17" s="1345"/>
      <c r="I17" s="1345"/>
      <c r="J17" s="1345"/>
      <c r="K17" s="1345"/>
      <c r="L17" s="1345"/>
      <c r="M17" s="1345"/>
      <c r="N17" s="1345"/>
      <c r="O17" s="1345"/>
      <c r="P17" s="1345"/>
      <c r="Q17" s="1345"/>
      <c r="R17" s="1345"/>
      <c r="S17" s="1345"/>
      <c r="T17" s="1345"/>
      <c r="U17" s="1345"/>
      <c r="V17" s="1345"/>
      <c r="W17" s="1345"/>
      <c r="X17" s="1345"/>
      <c r="Y17" s="1345"/>
      <c r="Z17" s="1345"/>
      <c r="AA17" s="1345"/>
      <c r="AB17" s="1345"/>
      <c r="AC17" s="1345"/>
      <c r="AD17" s="1345"/>
    </row>
    <row r="18" ht="27" customHeight="1">
      <c r="A18" s="1339" t="s">
        <v>1662</v>
      </c>
      <c r="B18" s="1345">
        <v>1</v>
      </c>
      <c r="C18" s="1337" t="s">
        <v>2028</v>
      </c>
      <c r="D18" s="1355" t="s">
        <v>2028</v>
      </c>
      <c r="E18" s="1337" t="s">
        <v>2028</v>
      </c>
      <c r="F18" s="1337" t="s">
        <v>2028</v>
      </c>
      <c r="G18" s="1337"/>
      <c r="H18" s="1356"/>
      <c r="I18" s="1357">
        <f t="shared" ref="I18:I81" si="62">INDEX(TEMPLATE_NUMBER_POINT_FHD,B18,MATCH(TEMPLATE_SPHERE,TEMPLATE_SPHERE_LIST_FOR_NOTE,0))</f>
        <v>1</v>
      </c>
      <c r="J18" s="1357" t="str">
        <f t="shared" ref="J18:J81" si="63">INDEX(TEMPLATE_DATA_POINT_FHD,B18,MATCH(TEMPLATE_SPHERE,TEMPLATE_SPHERE_LIST_FOR_NOTE,0))</f>
        <v xml:space="preserve">Выручка от регулируемого вида деятельности с распределением по видам деятельности</v>
      </c>
      <c r="K18" s="1357" t="str">
        <f t="shared" ref="K18:K81" si="64">INDEX(TEMPLATE_NOTE_POINT_FHD,B18,MATCH(TEMPLATE_SPHERE,TEMPLATE_SPHERE_LIST_FOR_NOTE,0))</f>
        <v xml:space="preserve">Указывается выручка от регулируемого вида деятельности с распределением по видам деятельности.</v>
      </c>
      <c r="L18" s="1343">
        <f t="shared" ref="L18:L81" si="65">IF(I18=0,"",I18)</f>
        <v>1</v>
      </c>
      <c r="M18" s="1343" t="str">
        <f t="shared" ref="M18:M81" si="66">IF(J18=0,"",J18)</f>
        <v xml:space="preserve">Выручка от регулируемого вида деятельности с распределением по видам деятельности</v>
      </c>
      <c r="N18" s="1343" t="str">
        <f t="shared" ref="N18:N81" si="67">IF(K18=0,"",K18)</f>
        <v xml:space="preserve">Указывается выручка от регулируемого вида деятельности с распределением по видам деятельности.</v>
      </c>
      <c r="O18" s="1358">
        <v>1</v>
      </c>
      <c r="P18" s="1358">
        <v>1</v>
      </c>
      <c r="Q18" s="1358">
        <v>1</v>
      </c>
      <c r="R18" s="1358">
        <v>1</v>
      </c>
      <c r="S18" s="1358"/>
      <c r="T18" s="1359" t="s">
        <v>2045</v>
      </c>
      <c r="U18" s="1322" t="s">
        <v>2046</v>
      </c>
      <c r="V18" s="1322" t="s">
        <v>2047</v>
      </c>
      <c r="W18" s="1322" t="s">
        <v>2048</v>
      </c>
      <c r="X18" s="1337"/>
      <c r="Y18" s="1344"/>
      <c r="Z18" s="1322" t="s">
        <v>2049</v>
      </c>
      <c r="AA18" s="1329" t="s">
        <v>2050</v>
      </c>
      <c r="AB18" s="1329" t="s">
        <v>2050</v>
      </c>
      <c r="AC18" s="1329" t="s">
        <v>2050</v>
      </c>
      <c r="AD18" s="1322"/>
    </row>
    <row r="19" ht="36" customHeight="1">
      <c r="A19" s="1339"/>
      <c r="B19" s="1345">
        <v>2</v>
      </c>
      <c r="C19" s="1337" t="s">
        <v>2032</v>
      </c>
      <c r="D19" s="1355" t="s">
        <v>2032</v>
      </c>
      <c r="E19" s="1337" t="s">
        <v>2032</v>
      </c>
      <c r="F19" s="1337" t="s">
        <v>2032</v>
      </c>
      <c r="G19" s="1337"/>
      <c r="H19" s="1356"/>
      <c r="I19" s="1357">
        <f t="shared" si="62"/>
        <v>2</v>
      </c>
      <c r="J19" s="1357" t="str">
        <f t="shared" si="63"/>
        <v xml:space="preserve">Себестоимость производимых товаров (оказываемых услуг) по регулируемому виду деятельности, включая:</v>
      </c>
      <c r="K19" s="1357" t="str">
        <f t="shared" si="64"/>
        <v xml:space="preserve">Указывается суммарная себестоимость производимых товаров.</v>
      </c>
      <c r="L19" s="1343">
        <f t="shared" si="65"/>
        <v>2</v>
      </c>
      <c r="M19" s="1343" t="str">
        <f t="shared" si="66"/>
        <v xml:space="preserve">Себестоимость производимых товаров (оказываемых услуг) по регулируемому виду деятельности, включая:</v>
      </c>
      <c r="N19" s="1343" t="str">
        <f t="shared" si="67"/>
        <v xml:space="preserve">Указывается суммарная себестоимость производимых товаров.</v>
      </c>
      <c r="O19" s="1358">
        <v>2</v>
      </c>
      <c r="P19" s="1358">
        <v>2</v>
      </c>
      <c r="Q19" s="1358">
        <v>2</v>
      </c>
      <c r="R19" s="1358">
        <v>2</v>
      </c>
      <c r="S19" s="1358"/>
      <c r="T19" s="1359" t="s">
        <v>2051</v>
      </c>
      <c r="U19" s="1322" t="s">
        <v>2052</v>
      </c>
      <c r="V19" s="1322" t="s">
        <v>2053</v>
      </c>
      <c r="W19" s="1322" t="s">
        <v>2054</v>
      </c>
      <c r="X19" s="1337"/>
      <c r="Y19" s="1344"/>
      <c r="Z19" s="1322" t="s">
        <v>2055</v>
      </c>
      <c r="AA19" s="1329" t="s">
        <v>2055</v>
      </c>
      <c r="AB19" s="1329" t="s">
        <v>2055</v>
      </c>
      <c r="AC19" s="1329" t="s">
        <v>2055</v>
      </c>
      <c r="AD19" s="1322"/>
    </row>
    <row r="20" ht="27" customHeight="1">
      <c r="A20" s="1339"/>
      <c r="B20" s="1345">
        <v>3</v>
      </c>
      <c r="C20" s="1337">
        <v>1</v>
      </c>
      <c r="D20" s="1355"/>
      <c r="E20" s="1337"/>
      <c r="F20" s="1337"/>
      <c r="G20" s="1337"/>
      <c r="H20" s="1356"/>
      <c r="I20" s="1357" t="str">
        <f t="shared" si="62"/>
        <v>2.1</v>
      </c>
      <c r="J20" s="1357" t="str">
        <f t="shared" si="63"/>
        <v xml:space="preserve">Расходы на приобретаемую тепловую энергию (мощность), теплоноситель</v>
      </c>
      <c r="K20" s="1357">
        <f t="shared" si="64"/>
        <v>0</v>
      </c>
      <c r="L20" s="1343" t="str">
        <f t="shared" si="65"/>
        <v>2.1</v>
      </c>
      <c r="M20" s="1343" t="str">
        <f t="shared" si="66"/>
        <v xml:space="preserve">Расходы на приобретаемую тепловую энергию (мощность), теплоноситель</v>
      </c>
      <c r="N20" s="1343" t="str">
        <f t="shared" si="67"/>
        <v/>
      </c>
      <c r="O20" s="1358" t="s">
        <v>713</v>
      </c>
      <c r="P20" s="1358" t="s">
        <v>713</v>
      </c>
      <c r="Q20" s="1358" t="s">
        <v>713</v>
      </c>
      <c r="R20" s="1358" t="s">
        <v>713</v>
      </c>
      <c r="S20" s="1358"/>
      <c r="T20" s="1359" t="s">
        <v>2056</v>
      </c>
      <c r="U20" s="1322" t="s">
        <v>2057</v>
      </c>
      <c r="V20" s="1322" t="s">
        <v>2058</v>
      </c>
      <c r="W20" s="1322" t="s">
        <v>2059</v>
      </c>
      <c r="X20" s="1337"/>
      <c r="Y20" s="1344"/>
      <c r="Z20" s="1322"/>
      <c r="AA20" s="1329"/>
      <c r="AB20" s="1322"/>
      <c r="AC20" s="1322"/>
      <c r="AD20" s="1322"/>
    </row>
    <row r="21" ht="36" customHeight="1">
      <c r="A21" s="1339"/>
      <c r="B21" s="1345">
        <v>4</v>
      </c>
      <c r="C21" s="1337">
        <v>2</v>
      </c>
      <c r="D21" s="1355"/>
      <c r="E21" s="1337"/>
      <c r="F21" s="1337"/>
      <c r="G21" s="1337"/>
      <c r="H21" s="1356"/>
      <c r="I21" s="1357" t="str">
        <f t="shared" si="62"/>
        <v>2.2</v>
      </c>
      <c r="J21" s="1357" t="str">
        <f t="shared" si="63"/>
        <v xml:space="preserve">Расходы на топливо с указанием по каждому виду топлива стоимости (за единицу объема), объема и способа его приобретения, стоимости его доставки</v>
      </c>
      <c r="K21" s="1357" t="str">
        <f t="shared" si="64"/>
        <v xml:space="preserve">Указываются суммарные расходы на приобретение топлива всех видов.</v>
      </c>
      <c r="L21" s="1343" t="str">
        <f t="shared" si="65"/>
        <v>2.2</v>
      </c>
      <c r="M21" s="1343" t="str">
        <f t="shared" si="66"/>
        <v xml:space="preserve">Расходы на топливо с указанием по каждому виду топлива стоимости (за единицу объема), объема и способа его приобретения, стоимости его доставки</v>
      </c>
      <c r="N21" s="1343" t="str">
        <f t="shared" si="67"/>
        <v xml:space="preserve">Указываются суммарные расходы на приобретение топлива всех видов.</v>
      </c>
      <c r="O21" s="1358" t="s">
        <v>312</v>
      </c>
      <c r="P21" s="1358"/>
      <c r="Q21" s="1358"/>
      <c r="R21" s="1358"/>
      <c r="S21" s="1358"/>
      <c r="T21" s="1359" t="s">
        <v>2060</v>
      </c>
      <c r="U21" s="1322"/>
      <c r="V21" s="1322"/>
      <c r="W21" s="1322"/>
      <c r="X21" s="1337"/>
      <c r="Y21" s="1344"/>
      <c r="Z21" s="1322" t="s">
        <v>2061</v>
      </c>
      <c r="AA21" s="1329"/>
      <c r="AB21" s="1322"/>
      <c r="AC21" s="1322"/>
      <c r="AD21" s="1322"/>
    </row>
    <row r="22" ht="36" customHeight="1">
      <c r="A22" s="1339"/>
      <c r="B22" s="1345">
        <v>5</v>
      </c>
      <c r="C22" s="1337">
        <v>3</v>
      </c>
      <c r="D22" s="1355"/>
      <c r="E22" s="1337"/>
      <c r="F22" s="1337"/>
      <c r="G22" s="1360"/>
      <c r="H22" s="1361"/>
      <c r="I22" s="1357">
        <f t="shared" si="62"/>
        <v>0</v>
      </c>
      <c r="J22" s="1357">
        <f t="shared" si="63"/>
        <v>0</v>
      </c>
      <c r="K22" s="1357">
        <f t="shared" si="64"/>
        <v>0</v>
      </c>
      <c r="L22" s="1343" t="str">
        <f t="shared" si="65"/>
        <v/>
      </c>
      <c r="M22" s="1343" t="str">
        <f t="shared" si="66"/>
        <v/>
      </c>
      <c r="N22" s="1343" t="str">
        <f t="shared" si="67"/>
        <v/>
      </c>
      <c r="O22" s="1358"/>
      <c r="P22" s="1358"/>
      <c r="Q22" s="1358" t="s">
        <v>312</v>
      </c>
      <c r="R22" s="1358"/>
      <c r="S22" s="1358"/>
      <c r="T22" s="1359"/>
      <c r="U22" s="1322"/>
      <c r="V22" s="1322" t="s">
        <v>2062</v>
      </c>
      <c r="W22" s="1322"/>
      <c r="X22" s="1337"/>
      <c r="Y22" s="1344"/>
      <c r="Z22" s="1322"/>
      <c r="AA22" s="1329"/>
      <c r="AB22" s="1322"/>
      <c r="AC22" s="1322"/>
      <c r="AD22" s="1322"/>
    </row>
    <row r="23" ht="27" customHeight="1">
      <c r="A23" s="1339"/>
      <c r="B23" s="1345">
        <v>6</v>
      </c>
      <c r="C23" s="1337">
        <v>4</v>
      </c>
      <c r="D23" s="1355"/>
      <c r="E23" s="1337"/>
      <c r="F23" s="1337"/>
      <c r="G23" s="1360"/>
      <c r="H23" s="1361"/>
      <c r="I23" s="1357">
        <f t="shared" si="62"/>
        <v>0</v>
      </c>
      <c r="J23" s="1357">
        <f t="shared" si="63"/>
        <v>0</v>
      </c>
      <c r="K23" s="1357">
        <f t="shared" si="64"/>
        <v>0</v>
      </c>
      <c r="L23" s="1343" t="str">
        <f t="shared" si="65"/>
        <v/>
      </c>
      <c r="M23" s="1343" t="str">
        <f t="shared" si="66"/>
        <v/>
      </c>
      <c r="N23" s="1343" t="str">
        <f t="shared" si="67"/>
        <v/>
      </c>
      <c r="O23" s="1358"/>
      <c r="P23" s="1358"/>
      <c r="Q23" s="1358" t="s">
        <v>315</v>
      </c>
      <c r="R23" s="1358"/>
      <c r="S23" s="1358"/>
      <c r="T23" s="1359"/>
      <c r="U23" s="1322"/>
      <c r="V23" s="1322" t="s">
        <v>2063</v>
      </c>
      <c r="W23" s="1322"/>
      <c r="X23" s="1337"/>
      <c r="Y23" s="1344"/>
      <c r="Z23" s="1322"/>
      <c r="AA23" s="1329"/>
      <c r="AB23" s="1322"/>
      <c r="AC23" s="1322"/>
      <c r="AD23" s="1322"/>
    </row>
    <row r="24" ht="36" customHeight="1">
      <c r="A24" s="1339"/>
      <c r="B24" s="1345">
        <v>7</v>
      </c>
      <c r="C24" s="1337">
        <v>5</v>
      </c>
      <c r="D24" s="1355"/>
      <c r="E24" s="1337"/>
      <c r="F24" s="1337"/>
      <c r="G24" s="1360"/>
      <c r="H24" s="1361"/>
      <c r="I24" s="1357">
        <f t="shared" si="62"/>
        <v>0</v>
      </c>
      <c r="J24" s="1357">
        <f t="shared" si="63"/>
        <v>0</v>
      </c>
      <c r="K24" s="1357">
        <f t="shared" si="64"/>
        <v>0</v>
      </c>
      <c r="L24" s="1343" t="str">
        <f t="shared" si="65"/>
        <v/>
      </c>
      <c r="M24" s="1343" t="str">
        <f t="shared" si="66"/>
        <v/>
      </c>
      <c r="N24" s="1343" t="str">
        <f t="shared" si="67"/>
        <v/>
      </c>
      <c r="O24" s="1358"/>
      <c r="P24" s="1358"/>
      <c r="Q24" s="1358" t="s">
        <v>733</v>
      </c>
      <c r="R24" s="1358"/>
      <c r="S24" s="1358"/>
      <c r="T24" s="1359"/>
      <c r="U24" s="1322"/>
      <c r="V24" s="1322" t="s">
        <v>2064</v>
      </c>
      <c r="W24" s="1322"/>
      <c r="X24" s="1337"/>
      <c r="Y24" s="1344"/>
      <c r="Z24" s="1322"/>
      <c r="AA24" s="1329"/>
      <c r="AB24" s="1322"/>
      <c r="AC24" s="1322"/>
      <c r="AD24" s="1322"/>
    </row>
    <row r="25" ht="36" customHeight="1">
      <c r="A25" s="1339"/>
      <c r="B25" s="1345">
        <v>8</v>
      </c>
      <c r="C25" s="1337">
        <v>6</v>
      </c>
      <c r="D25" s="1355"/>
      <c r="E25" s="1337"/>
      <c r="F25" s="1337"/>
      <c r="G25" s="1360"/>
      <c r="H25" s="1361"/>
      <c r="I25" s="1357" t="str">
        <f t="shared" si="62"/>
        <v>2.3</v>
      </c>
      <c r="J25" s="1357" t="str">
        <f t="shared" si="63"/>
        <v xml:space="preserve">Расходы на приобретаемую электрическую энергию (мощность), используемую в технологическом процессе</v>
      </c>
      <c r="K25" s="1357">
        <f t="shared" si="64"/>
        <v>0</v>
      </c>
      <c r="L25" s="1343" t="str">
        <f t="shared" si="65"/>
        <v>2.3</v>
      </c>
      <c r="M25" s="1343" t="str">
        <f t="shared" si="66"/>
        <v xml:space="preserve">Расходы на приобретаемую электрическую энергию (мощность), используемую в технологическом процессе</v>
      </c>
      <c r="N25" s="1343" t="str">
        <f t="shared" si="67"/>
        <v/>
      </c>
      <c r="O25" s="1358" t="s">
        <v>315</v>
      </c>
      <c r="P25" s="1358" t="s">
        <v>312</v>
      </c>
      <c r="Q25" s="1358" t="s">
        <v>740</v>
      </c>
      <c r="R25" s="1358" t="s">
        <v>312</v>
      </c>
      <c r="S25" s="1358"/>
      <c r="T25" s="1359" t="s">
        <v>2065</v>
      </c>
      <c r="U25" s="1322" t="s">
        <v>2065</v>
      </c>
      <c r="V25" s="1322" t="s">
        <v>2065</v>
      </c>
      <c r="W25" s="1322" t="s">
        <v>2065</v>
      </c>
      <c r="X25" s="1337"/>
      <c r="Y25" s="1344"/>
      <c r="Z25" s="1322"/>
      <c r="AA25" s="1329"/>
      <c r="AB25" s="1322"/>
      <c r="AC25" s="1322"/>
      <c r="AD25" s="1322"/>
    </row>
    <row r="26" ht="18" customHeight="1">
      <c r="A26" s="1339"/>
      <c r="B26" s="1345">
        <v>9</v>
      </c>
      <c r="C26" s="1337" t="s">
        <v>656</v>
      </c>
      <c r="D26" s="1355"/>
      <c r="E26" s="1337"/>
      <c r="F26" s="1337"/>
      <c r="G26" s="1360"/>
      <c r="H26" s="1361"/>
      <c r="I26" s="1357" t="str">
        <f t="shared" si="62"/>
        <v>2.3.1</v>
      </c>
      <c r="J26" s="1357" t="str">
        <f t="shared" si="63"/>
        <v xml:space="preserve">Средневзвешенная стоимость 1 кВт.ч (с учетом мощности)</v>
      </c>
      <c r="K26" s="1357">
        <f t="shared" si="64"/>
        <v>0</v>
      </c>
      <c r="L26" s="1343" t="str">
        <f t="shared" si="65"/>
        <v>2.3.1</v>
      </c>
      <c r="M26" s="1343" t="str">
        <f t="shared" si="66"/>
        <v xml:space="preserve">Средневзвешенная стоимость 1 кВт.ч (с учетом мощности)</v>
      </c>
      <c r="N26" s="1343" t="str">
        <f t="shared" si="67"/>
        <v/>
      </c>
      <c r="O26" s="1358" t="s">
        <v>729</v>
      </c>
      <c r="P26" s="1358" t="s">
        <v>723</v>
      </c>
      <c r="Q26" s="1358" t="s">
        <v>2066</v>
      </c>
      <c r="R26" s="1358" t="s">
        <v>723</v>
      </c>
      <c r="S26" s="1358"/>
      <c r="T26" s="1359" t="str">
        <f>"Средневзвешенная стоимость 1 кВт.ч"&amp;IF(TITLE_TYPE_ORG="Регулируемая организация"," (с учетом мощности)","")</f>
        <v xml:space="preserve">Средневзвешенная стоимость 1 кВт.ч (с учетом мощности)</v>
      </c>
      <c r="U26" s="1359" t="s">
        <v>2067</v>
      </c>
      <c r="V26" s="1359" t="s">
        <v>2067</v>
      </c>
      <c r="W26" s="1359" t="s">
        <v>2067</v>
      </c>
      <c r="X26" s="1337"/>
      <c r="Y26" s="1344"/>
      <c r="Z26" s="1322"/>
      <c r="AA26" s="1329"/>
      <c r="AB26" s="1322"/>
      <c r="AC26" s="1322"/>
      <c r="AD26" s="1322"/>
    </row>
    <row r="27" ht="18" customHeight="1">
      <c r="A27" s="1339"/>
      <c r="B27" s="1345">
        <v>10</v>
      </c>
      <c r="C27" s="1337" t="s">
        <v>660</v>
      </c>
      <c r="D27" s="1355"/>
      <c r="E27" s="1337"/>
      <c r="F27" s="1337"/>
      <c r="G27" s="1360"/>
      <c r="H27" s="1361"/>
      <c r="I27" s="1357" t="str">
        <f t="shared" si="62"/>
        <v>2.3.2</v>
      </c>
      <c r="J27" s="1357" t="str">
        <f t="shared" si="63"/>
        <v xml:space="preserve">Объём приобретения электрической энергии</v>
      </c>
      <c r="K27" s="1357">
        <f t="shared" si="64"/>
        <v>0</v>
      </c>
      <c r="L27" s="1343" t="str">
        <f t="shared" si="65"/>
        <v>2.3.2</v>
      </c>
      <c r="M27" s="1343" t="str">
        <f t="shared" si="66"/>
        <v xml:space="preserve">Объём приобретения электрической энергии</v>
      </c>
      <c r="N27" s="1343" t="str">
        <f t="shared" si="67"/>
        <v/>
      </c>
      <c r="O27" s="1358" t="s">
        <v>731</v>
      </c>
      <c r="P27" s="1358" t="s">
        <v>725</v>
      </c>
      <c r="Q27" s="1358" t="s">
        <v>2068</v>
      </c>
      <c r="R27" s="1358" t="s">
        <v>725</v>
      </c>
      <c r="S27" s="1358"/>
      <c r="T27" s="1359" t="s">
        <v>2069</v>
      </c>
      <c r="U27" s="1359" t="s">
        <v>2069</v>
      </c>
      <c r="V27" s="1359" t="s">
        <v>2069</v>
      </c>
      <c r="W27" s="1359" t="s">
        <v>2069</v>
      </c>
      <c r="X27" s="1337"/>
      <c r="Y27" s="1344"/>
      <c r="Z27" s="1322"/>
      <c r="AA27" s="1329"/>
      <c r="AB27" s="1322"/>
      <c r="AC27" s="1322"/>
      <c r="AD27" s="1322"/>
    </row>
    <row r="28" ht="27" customHeight="1">
      <c r="A28" s="1339"/>
      <c r="B28" s="1345">
        <v>11</v>
      </c>
      <c r="C28" s="1337">
        <v>7</v>
      </c>
      <c r="D28" s="1355"/>
      <c r="E28" s="1337"/>
      <c r="F28" s="1337"/>
      <c r="G28" s="1360"/>
      <c r="H28" s="1361"/>
      <c r="I28" s="1357" t="str">
        <f t="shared" si="62"/>
        <v>2.4</v>
      </c>
      <c r="J28" s="1357" t="str">
        <f t="shared" si="63"/>
        <v xml:space="preserve">Расходы на приобретение холодной воды, используемой в технологическом процессе</v>
      </c>
      <c r="K28" s="1357">
        <f t="shared" si="64"/>
        <v>0</v>
      </c>
      <c r="L28" s="1343" t="str">
        <f t="shared" si="65"/>
        <v>2.4</v>
      </c>
      <c r="M28" s="1343" t="str">
        <f t="shared" si="66"/>
        <v xml:space="preserve">Расходы на приобретение холодной воды, используемой в технологическом процессе</v>
      </c>
      <c r="N28" s="1343" t="str">
        <f t="shared" si="67"/>
        <v/>
      </c>
      <c r="O28" s="1358" t="s">
        <v>733</v>
      </c>
      <c r="P28" s="1358"/>
      <c r="Q28" s="1358"/>
      <c r="R28" s="1358"/>
      <c r="S28" s="1358"/>
      <c r="T28" s="1359" t="s">
        <v>2070</v>
      </c>
      <c r="U28" s="1322"/>
      <c r="V28" s="1322"/>
      <c r="W28" s="1322"/>
      <c r="X28" s="1337"/>
      <c r="Y28" s="1344"/>
      <c r="Z28" s="1322"/>
      <c r="AA28" s="1329"/>
      <c r="AB28" s="1322"/>
      <c r="AC28" s="1322"/>
      <c r="AD28" s="1322"/>
    </row>
    <row r="29" ht="27" customHeight="1">
      <c r="A29" s="1339"/>
      <c r="B29" s="1345">
        <v>12</v>
      </c>
      <c r="C29" s="1337">
        <v>8</v>
      </c>
      <c r="D29" s="1355"/>
      <c r="E29" s="1337"/>
      <c r="F29" s="1337"/>
      <c r="G29" s="1360"/>
      <c r="H29" s="1361"/>
      <c r="I29" s="1357" t="str">
        <f t="shared" si="62"/>
        <v>2.5</v>
      </c>
      <c r="J29" s="1357" t="str">
        <f t="shared" si="63"/>
        <v xml:space="preserve">Расходы на  химические реагенты, используемые в технологическом процессе</v>
      </c>
      <c r="K29" s="1357">
        <f t="shared" si="64"/>
        <v>0</v>
      </c>
      <c r="L29" s="1343" t="str">
        <f t="shared" si="65"/>
        <v>2.5</v>
      </c>
      <c r="M29" s="1343" t="str">
        <f t="shared" si="66"/>
        <v xml:space="preserve">Расходы на  химические реагенты, используемые в технологическом процессе</v>
      </c>
      <c r="N29" s="1343" t="str">
        <f t="shared" si="67"/>
        <v/>
      </c>
      <c r="O29" s="1358" t="s">
        <v>740</v>
      </c>
      <c r="P29" s="1358" t="s">
        <v>315</v>
      </c>
      <c r="Q29" s="1358"/>
      <c r="R29" s="1358" t="s">
        <v>315</v>
      </c>
      <c r="S29" s="1358"/>
      <c r="T29" s="1359" t="str">
        <f>"Расходы на  хим"&amp;IF(TITLE_TYPE_ORG="Регулируемая организация","ические",".")&amp;" реагенты, используемые в технологическом процессе"</f>
        <v xml:space="preserve">Расходы на  химические реагенты, используемые в технологическом процессе</v>
      </c>
      <c r="U29" s="1322" t="s">
        <v>2071</v>
      </c>
      <c r="V29" s="1322"/>
      <c r="W29" s="1322" t="s">
        <v>2071</v>
      </c>
      <c r="X29" s="1337"/>
      <c r="Y29" s="1344"/>
      <c r="Z29" s="1322"/>
      <c r="AA29" s="1329"/>
      <c r="AB29" s="1322"/>
      <c r="AC29" s="1322"/>
      <c r="AD29" s="1322"/>
    </row>
    <row r="30" ht="54" customHeight="1">
      <c r="A30" s="1339"/>
      <c r="B30" s="1345">
        <v>13</v>
      </c>
      <c r="C30" s="1337">
        <v>9</v>
      </c>
      <c r="D30" s="1355"/>
      <c r="E30" s="1337"/>
      <c r="F30" s="1337"/>
      <c r="G30" s="1360"/>
      <c r="H30" s="1361"/>
      <c r="I30" s="1357" t="str">
        <f t="shared" si="62"/>
        <v>2.6</v>
      </c>
      <c r="J30" s="1357" t="str">
        <f t="shared" si="63"/>
        <v xml:space="preserve">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357">
        <f t="shared" si="64"/>
        <v>0</v>
      </c>
      <c r="L30" s="1343" t="str">
        <f t="shared" si="65"/>
        <v>2.6</v>
      </c>
      <c r="M30" s="1343" t="str">
        <f t="shared" si="66"/>
        <v xml:space="preserve">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1343" t="str">
        <f t="shared" si="67"/>
        <v/>
      </c>
      <c r="O30" s="1358" t="s">
        <v>742</v>
      </c>
      <c r="P30" s="1358" t="s">
        <v>733</v>
      </c>
      <c r="Q30" s="1358" t="s">
        <v>742</v>
      </c>
      <c r="R30" s="1358" t="s">
        <v>733</v>
      </c>
      <c r="S30" s="1358"/>
      <c r="T30" s="1359" t="s">
        <v>2072</v>
      </c>
      <c r="U30" s="1322" t="s">
        <v>2072</v>
      </c>
      <c r="V30" s="1322" t="s">
        <v>2072</v>
      </c>
      <c r="W30" s="1322" t="s">
        <v>2072</v>
      </c>
      <c r="X30" s="1337"/>
      <c r="Y30" s="1344"/>
      <c r="Z30" s="1322"/>
      <c r="AA30" s="1329" t="s">
        <v>2073</v>
      </c>
      <c r="AB30" s="1329" t="s">
        <v>2073</v>
      </c>
      <c r="AC30" s="1329" t="s">
        <v>2073</v>
      </c>
      <c r="AD30" s="1322"/>
    </row>
    <row r="31" ht="18" customHeight="1">
      <c r="A31" s="1339"/>
      <c r="B31" s="1345">
        <v>14</v>
      </c>
      <c r="C31" s="1337" t="s">
        <v>2074</v>
      </c>
      <c r="D31" s="1355"/>
      <c r="E31" s="1337"/>
      <c r="F31" s="1337"/>
      <c r="G31" s="1360"/>
      <c r="H31" s="1361"/>
      <c r="I31" s="1357" t="str">
        <f t="shared" si="62"/>
        <v>2.6.1</v>
      </c>
      <c r="J31" s="1357" t="str">
        <f t="shared" si="63"/>
        <v xml:space="preserve">Расходы на оплату труда основного производственного персонала</v>
      </c>
      <c r="K31" s="1357">
        <f t="shared" si="64"/>
        <v>0</v>
      </c>
      <c r="L31" s="1343" t="str">
        <f t="shared" si="65"/>
        <v>2.6.1</v>
      </c>
      <c r="M31" s="1343" t="str">
        <f t="shared" si="66"/>
        <v xml:space="preserve">Расходы на оплату труда основного производственного персонала</v>
      </c>
      <c r="N31" s="1343" t="str">
        <f t="shared" si="67"/>
        <v/>
      </c>
      <c r="O31" s="1358" t="s">
        <v>2075</v>
      </c>
      <c r="P31" s="1358" t="s">
        <v>736</v>
      </c>
      <c r="Q31" s="1358" t="s">
        <v>2075</v>
      </c>
      <c r="R31" s="1358" t="s">
        <v>736</v>
      </c>
      <c r="S31" s="1358"/>
      <c r="T31" s="1362" t="s">
        <v>2076</v>
      </c>
      <c r="U31" s="1322" t="s">
        <v>2076</v>
      </c>
      <c r="V31" s="1322" t="s">
        <v>2076</v>
      </c>
      <c r="W31" s="1322" t="s">
        <v>2076</v>
      </c>
      <c r="X31" s="1337"/>
      <c r="Y31" s="1344"/>
      <c r="Z31" s="1322"/>
      <c r="AA31" s="1329"/>
      <c r="AB31" s="1329"/>
      <c r="AC31" s="1329"/>
      <c r="AD31" s="1322"/>
    </row>
    <row r="32" ht="36" customHeight="1">
      <c r="A32" s="1339"/>
      <c r="B32" s="1345">
        <v>15</v>
      </c>
      <c r="C32" s="1337" t="s">
        <v>2077</v>
      </c>
      <c r="D32" s="1355"/>
      <c r="E32" s="1337"/>
      <c r="F32" s="1337"/>
      <c r="G32" s="1360"/>
      <c r="H32" s="1361"/>
      <c r="I32" s="1357" t="str">
        <f t="shared" si="62"/>
        <v>2.6.2</v>
      </c>
      <c r="J32" s="1357" t="str">
        <f t="shared" si="63"/>
        <v xml:space="preserve">Страховые взносы на обязательное социальное страхование, выплачиваемые из фонда оплаты труда основного производственного персонала</v>
      </c>
      <c r="K32" s="1357">
        <f t="shared" si="64"/>
        <v>0</v>
      </c>
      <c r="L32" s="1343" t="str">
        <f t="shared" si="65"/>
        <v>2.6.2</v>
      </c>
      <c r="M32" s="1343" t="str">
        <f t="shared" si="66"/>
        <v xml:space="preserve">Страховые взносы на обязательное социальное страхование, выплачиваемые из фонда оплаты труда основного производственного персонала</v>
      </c>
      <c r="N32" s="1343" t="str">
        <f t="shared" si="67"/>
        <v/>
      </c>
      <c r="O32" s="1358" t="s">
        <v>2078</v>
      </c>
      <c r="P32" s="1358" t="s">
        <v>738</v>
      </c>
      <c r="Q32" s="1358" t="s">
        <v>2078</v>
      </c>
      <c r="R32" s="1358" t="s">
        <v>738</v>
      </c>
      <c r="S32" s="1358"/>
      <c r="T32" s="1363"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 xml:space="preserve">Страховые взносы на обязательное социальное страхование, выплачиваемые из фонда оплаты труда основного производственного персонала</v>
      </c>
      <c r="U32" s="1322" t="s">
        <v>2079</v>
      </c>
      <c r="V32" s="1322" t="s">
        <v>2079</v>
      </c>
      <c r="W32" s="1322" t="s">
        <v>2079</v>
      </c>
      <c r="X32" s="1337"/>
      <c r="Y32" s="1344"/>
      <c r="Z32" s="1322"/>
      <c r="AA32" s="1329"/>
      <c r="AB32" s="1329"/>
      <c r="AC32" s="1329"/>
      <c r="AD32" s="1322"/>
    </row>
    <row r="33" ht="45" customHeight="1">
      <c r="A33" s="1339"/>
      <c r="B33" s="1345">
        <v>16</v>
      </c>
      <c r="C33" s="1337">
        <v>10</v>
      </c>
      <c r="D33" s="1355"/>
      <c r="E33" s="1337"/>
      <c r="F33" s="1337"/>
      <c r="G33" s="1360"/>
      <c r="H33" s="1361"/>
      <c r="I33" s="1357" t="str">
        <f t="shared" si="62"/>
        <v>2.7</v>
      </c>
      <c r="J33" s="1357" t="str">
        <f t="shared" si="63"/>
        <v xml:space="preserve">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357">
        <f t="shared" si="64"/>
        <v>0</v>
      </c>
      <c r="L33" s="1343" t="str">
        <f t="shared" si="65"/>
        <v>2.7</v>
      </c>
      <c r="M33" s="1343" t="str">
        <f t="shared" si="66"/>
        <v xml:space="preserve">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1343" t="str">
        <f t="shared" si="67"/>
        <v/>
      </c>
      <c r="O33" s="1358" t="s">
        <v>744</v>
      </c>
      <c r="P33" s="1358" t="s">
        <v>740</v>
      </c>
      <c r="Q33" s="1358" t="s">
        <v>744</v>
      </c>
      <c r="R33" s="1358" t="s">
        <v>740</v>
      </c>
      <c r="S33" s="1358"/>
      <c r="T33" s="1362"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 xml:space="preserve">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1322" t="s">
        <v>2080</v>
      </c>
      <c r="V33" s="1322" t="s">
        <v>2080</v>
      </c>
      <c r="W33" s="1322" t="s">
        <v>2081</v>
      </c>
      <c r="X33" s="1337"/>
      <c r="Y33" s="1344"/>
      <c r="Z33" s="1322"/>
      <c r="AA33" s="1329" t="s">
        <v>2082</v>
      </c>
      <c r="AB33" s="1329" t="s">
        <v>2082</v>
      </c>
      <c r="AC33" s="1329" t="s">
        <v>2082</v>
      </c>
      <c r="AD33" s="1322"/>
    </row>
    <row r="34" ht="27" customHeight="1">
      <c r="A34" s="1339"/>
      <c r="B34" s="1345">
        <v>17</v>
      </c>
      <c r="C34" s="1337" t="s">
        <v>2083</v>
      </c>
      <c r="D34" s="1355"/>
      <c r="E34" s="1337"/>
      <c r="F34" s="1337"/>
      <c r="G34" s="1360"/>
      <c r="H34" s="1361"/>
      <c r="I34" s="1357" t="str">
        <f t="shared" si="62"/>
        <v>2.7.1</v>
      </c>
      <c r="J34" s="1357" t="str">
        <f t="shared" si="63"/>
        <v xml:space="preserve">Расходы на оплату труда административно-управленческого персонала</v>
      </c>
      <c r="K34" s="1357">
        <f t="shared" si="64"/>
        <v>0</v>
      </c>
      <c r="L34" s="1343" t="str">
        <f t="shared" si="65"/>
        <v>2.7.1</v>
      </c>
      <c r="M34" s="1343" t="str">
        <f t="shared" si="66"/>
        <v xml:space="preserve">Расходы на оплату труда административно-управленческого персонала</v>
      </c>
      <c r="N34" s="1343" t="str">
        <f t="shared" si="67"/>
        <v/>
      </c>
      <c r="O34" s="1358" t="s">
        <v>2084</v>
      </c>
      <c r="P34" s="1358" t="s">
        <v>2066</v>
      </c>
      <c r="Q34" s="1358" t="s">
        <v>2084</v>
      </c>
      <c r="R34" s="1358" t="s">
        <v>2066</v>
      </c>
      <c r="S34" s="1358"/>
      <c r="T34" s="1363" t="s">
        <v>2085</v>
      </c>
      <c r="U34" s="1322" t="s">
        <v>2085</v>
      </c>
      <c r="V34" s="1322" t="s">
        <v>2085</v>
      </c>
      <c r="W34" s="1322" t="s">
        <v>2086</v>
      </c>
      <c r="X34" s="1337"/>
      <c r="Y34" s="1344"/>
      <c r="Z34" s="1322"/>
      <c r="AA34" s="1329"/>
      <c r="AB34" s="1322"/>
      <c r="AC34" s="1322"/>
      <c r="AD34" s="1322"/>
    </row>
    <row r="35" ht="45" customHeight="1">
      <c r="A35" s="1339"/>
      <c r="B35" s="1345">
        <v>18</v>
      </c>
      <c r="C35" s="1337" t="s">
        <v>2087</v>
      </c>
      <c r="D35" s="1355"/>
      <c r="E35" s="1337"/>
      <c r="F35" s="1337"/>
      <c r="G35" s="1360"/>
      <c r="H35" s="1361"/>
      <c r="I35" s="1357" t="str">
        <f t="shared" si="62"/>
        <v>2.7.2</v>
      </c>
      <c r="J35" s="1357" t="str">
        <f t="shared" si="63"/>
        <v xml:space="preserve">Страховые взносы на обязательное социальное страхование, выплачиваемые из фонда оплаты труда административно-управленческого персонала</v>
      </c>
      <c r="K35" s="1357">
        <f t="shared" si="64"/>
        <v>0</v>
      </c>
      <c r="L35" s="1343" t="str">
        <f t="shared" si="65"/>
        <v>2.7.2</v>
      </c>
      <c r="M35" s="1343" t="str">
        <f t="shared" si="66"/>
        <v xml:space="preserve">Страховые взносы на обязательное социальное страхование, выплачиваемые из фонда оплаты труда административно-управленческого персонала</v>
      </c>
      <c r="N35" s="1343" t="str">
        <f t="shared" si="67"/>
        <v/>
      </c>
      <c r="O35" s="1358" t="s">
        <v>2088</v>
      </c>
      <c r="P35" s="1358" t="s">
        <v>2068</v>
      </c>
      <c r="Q35" s="1358" t="s">
        <v>2088</v>
      </c>
      <c r="R35" s="1358" t="s">
        <v>2068</v>
      </c>
      <c r="S35" s="1358"/>
      <c r="T35" s="1359"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 xml:space="preserve">Страховые взносы на обязательное социальное страхование, выплачиваемые из фонда оплаты труда административно-управленческого персонала</v>
      </c>
      <c r="U35" s="1322" t="s">
        <v>2089</v>
      </c>
      <c r="V35" s="1322" t="s">
        <v>2089</v>
      </c>
      <c r="W35" s="1322" t="s">
        <v>2089</v>
      </c>
      <c r="X35" s="1337"/>
      <c r="Y35" s="1344"/>
      <c r="Z35" s="1322"/>
      <c r="AA35" s="1329"/>
      <c r="AB35" s="1322"/>
      <c r="AC35" s="1322"/>
      <c r="AD35" s="1322"/>
    </row>
    <row r="36" ht="18" customHeight="1">
      <c r="A36" s="1339"/>
      <c r="B36" s="1345">
        <v>19</v>
      </c>
      <c r="C36" s="1337">
        <v>11</v>
      </c>
      <c r="D36" s="1355"/>
      <c r="E36" s="1337"/>
      <c r="F36" s="1337"/>
      <c r="G36" s="1360"/>
      <c r="H36" s="1361"/>
      <c r="I36" s="1357" t="str">
        <f t="shared" si="62"/>
        <v>2.8</v>
      </c>
      <c r="J36" s="1357" t="str">
        <f t="shared" si="63"/>
        <v xml:space="preserve">Расходы на амортизацию основных средств и нематериальных активов</v>
      </c>
      <c r="K36" s="1357">
        <f t="shared" si="64"/>
        <v>0</v>
      </c>
      <c r="L36" s="1343" t="str">
        <f t="shared" si="65"/>
        <v>2.8</v>
      </c>
      <c r="M36" s="1343" t="str">
        <f t="shared" si="66"/>
        <v xml:space="preserve">Расходы на амортизацию основных средств и нематериальных активов</v>
      </c>
      <c r="N36" s="1343" t="str">
        <f t="shared" si="67"/>
        <v/>
      </c>
      <c r="O36" s="1358" t="s">
        <v>746</v>
      </c>
      <c r="P36" s="1358" t="s">
        <v>742</v>
      </c>
      <c r="Q36" s="1358" t="s">
        <v>746</v>
      </c>
      <c r="R36" s="1358" t="s">
        <v>742</v>
      </c>
      <c r="S36" s="1358"/>
      <c r="T36" s="1359" t="s">
        <v>2090</v>
      </c>
      <c r="U36" s="1322" t="s">
        <v>2090</v>
      </c>
      <c r="V36" s="1322" t="s">
        <v>2090</v>
      </c>
      <c r="W36" s="1322" t="s">
        <v>2090</v>
      </c>
      <c r="X36" s="1337"/>
      <c r="Y36" s="1344"/>
      <c r="Z36" s="1322"/>
      <c r="AA36" s="1329"/>
      <c r="AB36" s="1322"/>
      <c r="AC36" s="1322"/>
      <c r="AD36" s="1322"/>
    </row>
    <row r="37" ht="18" customHeight="1">
      <c r="A37" s="1339"/>
      <c r="B37" s="1345">
        <v>20</v>
      </c>
      <c r="C37" s="1337" t="s">
        <v>2091</v>
      </c>
      <c r="D37" s="1355"/>
      <c r="E37" s="1337"/>
      <c r="F37" s="1337"/>
      <c r="G37" s="1360"/>
      <c r="H37" s="1361"/>
      <c r="I37" s="1357" t="str">
        <f t="shared" si="62"/>
        <v>2.8.1</v>
      </c>
      <c r="J37" s="1357" t="str">
        <f t="shared" si="63"/>
        <v xml:space="preserve">Расходы на амортизацию основных средств</v>
      </c>
      <c r="K37" s="1357">
        <f t="shared" si="64"/>
        <v>0</v>
      </c>
      <c r="L37" s="1343" t="str">
        <f t="shared" si="65"/>
        <v>2.8.1</v>
      </c>
      <c r="M37" s="1343" t="str">
        <f t="shared" si="66"/>
        <v xml:space="preserve">Расходы на амортизацию основных средств</v>
      </c>
      <c r="N37" s="1343" t="str">
        <f t="shared" si="67"/>
        <v/>
      </c>
      <c r="O37" s="1358" t="s">
        <v>2092</v>
      </c>
      <c r="P37" s="1358" t="s">
        <v>2075</v>
      </c>
      <c r="Q37" s="1358" t="s">
        <v>2092</v>
      </c>
      <c r="R37" s="1358" t="s">
        <v>2075</v>
      </c>
      <c r="S37" s="1358"/>
      <c r="T37" s="1359" t="s">
        <v>2093</v>
      </c>
      <c r="U37" s="1322" t="s">
        <v>2093</v>
      </c>
      <c r="V37" s="1322" t="s">
        <v>2093</v>
      </c>
      <c r="W37" s="1322" t="s">
        <v>2093</v>
      </c>
      <c r="X37" s="1337"/>
      <c r="Y37" s="1344"/>
      <c r="Z37" s="1322"/>
      <c r="AA37" s="1329"/>
      <c r="AB37" s="1322"/>
      <c r="AC37" s="1322"/>
      <c r="AD37" s="1322"/>
    </row>
    <row r="38" ht="18" customHeight="1">
      <c r="A38" s="1339"/>
      <c r="B38" s="1345">
        <v>21</v>
      </c>
      <c r="C38" s="1337" t="s">
        <v>2094</v>
      </c>
      <c r="D38" s="1355"/>
      <c r="E38" s="1337"/>
      <c r="F38" s="1337"/>
      <c r="G38" s="1360"/>
      <c r="H38" s="1361"/>
      <c r="I38" s="1357" t="str">
        <f t="shared" si="62"/>
        <v>2.8.2</v>
      </c>
      <c r="J38" s="1357" t="str">
        <f t="shared" si="63"/>
        <v xml:space="preserve">Расходы на амортизацию нематериальных активов</v>
      </c>
      <c r="K38" s="1357">
        <f t="shared" si="64"/>
        <v>0</v>
      </c>
      <c r="L38" s="1343" t="str">
        <f t="shared" si="65"/>
        <v>2.8.2</v>
      </c>
      <c r="M38" s="1343" t="str">
        <f t="shared" si="66"/>
        <v xml:space="preserve">Расходы на амортизацию нематериальных активов</v>
      </c>
      <c r="N38" s="1343" t="str">
        <f t="shared" si="67"/>
        <v/>
      </c>
      <c r="O38" s="1358" t="s">
        <v>2095</v>
      </c>
      <c r="P38" s="1358" t="s">
        <v>2078</v>
      </c>
      <c r="Q38" s="1358" t="s">
        <v>2095</v>
      </c>
      <c r="R38" s="1358" t="s">
        <v>2078</v>
      </c>
      <c r="S38" s="1358"/>
      <c r="T38" s="1359" t="s">
        <v>2096</v>
      </c>
      <c r="U38" s="1322" t="s">
        <v>2096</v>
      </c>
      <c r="V38" s="1322" t="s">
        <v>2096</v>
      </c>
      <c r="W38" s="1322" t="s">
        <v>2096</v>
      </c>
      <c r="X38" s="1337"/>
      <c r="Y38" s="1344"/>
      <c r="Z38" s="1322"/>
      <c r="AA38" s="1329"/>
      <c r="AB38" s="1322"/>
      <c r="AC38" s="1322"/>
      <c r="AD38" s="1322"/>
    </row>
    <row r="39" ht="36" customHeight="1">
      <c r="A39" s="1339"/>
      <c r="B39" s="1345">
        <v>22</v>
      </c>
      <c r="C39" s="1337">
        <v>12</v>
      </c>
      <c r="D39" s="1355"/>
      <c r="E39" s="1337"/>
      <c r="F39" s="1337"/>
      <c r="G39" s="1360"/>
      <c r="H39" s="1361"/>
      <c r="I39" s="1357" t="str">
        <f t="shared" si="62"/>
        <v>2.9</v>
      </c>
      <c r="J39" s="1357" t="str">
        <f t="shared" si="63"/>
        <v xml:space="preserve">Расходы на аренду имущества, используемого для осуществления регулируемого вида деятельности</v>
      </c>
      <c r="K39" s="1357">
        <f t="shared" si="64"/>
        <v>0</v>
      </c>
      <c r="L39" s="1343" t="str">
        <f t="shared" si="65"/>
        <v>2.9</v>
      </c>
      <c r="M39" s="1343" t="str">
        <f t="shared" si="66"/>
        <v xml:space="preserve">Расходы на аренду имущества, используемого для осуществления регулируемого вида деятельности</v>
      </c>
      <c r="N39" s="1343" t="str">
        <f t="shared" si="67"/>
        <v/>
      </c>
      <c r="O39" s="1358" t="s">
        <v>750</v>
      </c>
      <c r="P39" s="1358" t="s">
        <v>744</v>
      </c>
      <c r="Q39" s="1358" t="s">
        <v>750</v>
      </c>
      <c r="R39" s="1358" t="s">
        <v>744</v>
      </c>
      <c r="S39" s="1358"/>
      <c r="T39" s="1359" t="s">
        <v>2097</v>
      </c>
      <c r="U39" s="1322" t="s">
        <v>2098</v>
      </c>
      <c r="V39" s="1322" t="s">
        <v>2099</v>
      </c>
      <c r="W39" s="1322" t="s">
        <v>2100</v>
      </c>
      <c r="X39" s="1337"/>
      <c r="Y39" s="1344"/>
      <c r="Z39" s="1322"/>
      <c r="AA39" s="1329"/>
      <c r="AB39" s="1322"/>
      <c r="AC39" s="1322"/>
      <c r="AD39" s="1322"/>
    </row>
    <row r="40" ht="18" customHeight="1">
      <c r="A40" s="1339"/>
      <c r="B40" s="1345">
        <v>23</v>
      </c>
      <c r="C40" s="1337">
        <v>13</v>
      </c>
      <c r="D40" s="1355"/>
      <c r="E40" s="1337"/>
      <c r="F40" s="1337"/>
      <c r="G40" s="1337"/>
      <c r="H40" s="1364"/>
      <c r="I40" s="1357" t="str">
        <f t="shared" si="62"/>
        <v>2.10</v>
      </c>
      <c r="J40" s="1357" t="str">
        <f t="shared" si="63"/>
        <v xml:space="preserve">Общепроизводственные расходы, в том числе:</v>
      </c>
      <c r="K40" s="1357" t="str">
        <f t="shared" si="64"/>
        <v xml:space="preserve">Указывается общая сумма общепроизводственных расходов.</v>
      </c>
      <c r="L40" s="1343" t="str">
        <f t="shared" si="65"/>
        <v>2.10</v>
      </c>
      <c r="M40" s="1343" t="str">
        <f t="shared" si="66"/>
        <v xml:space="preserve">Общепроизводственные расходы, в том числе:</v>
      </c>
      <c r="N40" s="1343" t="str">
        <f t="shared" si="67"/>
        <v xml:space="preserve">Указывается общая сумма общепроизводственных расходов.</v>
      </c>
      <c r="O40" s="1358" t="s">
        <v>2101</v>
      </c>
      <c r="P40" s="1358" t="s">
        <v>746</v>
      </c>
      <c r="Q40" s="1358" t="s">
        <v>2101</v>
      </c>
      <c r="R40" s="1358" t="s">
        <v>746</v>
      </c>
      <c r="S40" s="1358"/>
      <c r="T40" s="1337" t="s">
        <v>2102</v>
      </c>
      <c r="U40" s="1337" t="s">
        <v>2102</v>
      </c>
      <c r="V40" s="1337" t="s">
        <v>2102</v>
      </c>
      <c r="W40" s="1337" t="s">
        <v>2102</v>
      </c>
      <c r="X40" s="1337"/>
      <c r="Y40" s="1344"/>
      <c r="Z40" s="1322" t="s">
        <v>2103</v>
      </c>
      <c r="AA40" s="1329" t="s">
        <v>2103</v>
      </c>
      <c r="AB40" s="1329" t="s">
        <v>2103</v>
      </c>
      <c r="AC40" s="1329" t="s">
        <v>2103</v>
      </c>
      <c r="AD40" s="1322"/>
    </row>
    <row r="41" ht="27" customHeight="1">
      <c r="A41" s="1339"/>
      <c r="B41" s="1345">
        <v>24</v>
      </c>
      <c r="C41" s="1337" t="s">
        <v>2104</v>
      </c>
      <c r="D41" s="1355"/>
      <c r="E41" s="1337"/>
      <c r="F41" s="1337"/>
      <c r="G41" s="1337"/>
      <c r="H41" s="1360"/>
      <c r="I41" s="1357" t="str">
        <f t="shared" si="62"/>
        <v>2.10.1</v>
      </c>
      <c r="J41" s="1357" t="str">
        <f t="shared" si="63"/>
        <v xml:space="preserve">Расходы на текущий ремонт</v>
      </c>
      <c r="K41" s="1357" t="str">
        <f t="shared" si="64"/>
        <v xml:space="preserve">Указываются расходы на текущий ремонт, отнесенные к общепроизводственным расходам.</v>
      </c>
      <c r="L41" s="1343" t="str">
        <f t="shared" si="65"/>
        <v>2.10.1</v>
      </c>
      <c r="M41" s="1343" t="str">
        <f t="shared" si="66"/>
        <v xml:space="preserve">Расходы на текущий ремонт</v>
      </c>
      <c r="N41" s="1343" t="str">
        <f t="shared" si="67"/>
        <v xml:space="preserve">Указываются расходы на текущий ремонт, отнесенные к общепроизводственным расходам.</v>
      </c>
      <c r="O41" s="1358" t="s">
        <v>2105</v>
      </c>
      <c r="P41" s="1358" t="s">
        <v>2092</v>
      </c>
      <c r="Q41" s="1358" t="s">
        <v>2105</v>
      </c>
      <c r="R41" s="1358" t="s">
        <v>2092</v>
      </c>
      <c r="S41" s="1358"/>
      <c r="T41" s="1337" t="s">
        <v>2106</v>
      </c>
      <c r="U41" s="1337" t="s">
        <v>2106</v>
      </c>
      <c r="V41" s="1337" t="s">
        <v>2106</v>
      </c>
      <c r="W41" s="1337" t="s">
        <v>2106</v>
      </c>
      <c r="X41" s="1337"/>
      <c r="Y41" s="1344"/>
      <c r="Z41" s="1322" t="s">
        <v>2107</v>
      </c>
      <c r="AA41" s="1322" t="s">
        <v>2107</v>
      </c>
      <c r="AB41" s="1322" t="s">
        <v>2107</v>
      </c>
      <c r="AC41" s="1322" t="s">
        <v>2107</v>
      </c>
      <c r="AD41" s="1322"/>
    </row>
    <row r="42" ht="27" customHeight="1">
      <c r="A42" s="1339"/>
      <c r="B42" s="1345">
        <v>25</v>
      </c>
      <c r="C42" s="1337" t="s">
        <v>2108</v>
      </c>
      <c r="D42" s="1355"/>
      <c r="E42" s="1337"/>
      <c r="F42" s="1337"/>
      <c r="G42" s="1337"/>
      <c r="H42" s="1360"/>
      <c r="I42" s="1357" t="str">
        <f t="shared" si="62"/>
        <v>2.10.2</v>
      </c>
      <c r="J42" s="1357" t="str">
        <f t="shared" si="63"/>
        <v xml:space="preserve">Расходы на капитальный ремонт</v>
      </c>
      <c r="K42" s="1357" t="str">
        <f t="shared" si="64"/>
        <v xml:space="preserve">Указываются расходы на капитальный ремонт, отнесенные к общепроизводственным расходам.</v>
      </c>
      <c r="L42" s="1343" t="str">
        <f t="shared" si="65"/>
        <v>2.10.2</v>
      </c>
      <c r="M42" s="1343" t="str">
        <f t="shared" si="66"/>
        <v xml:space="preserve">Расходы на капитальный ремонт</v>
      </c>
      <c r="N42" s="1343" t="str">
        <f t="shared" si="67"/>
        <v xml:space="preserve">Указываются расходы на капитальный ремонт, отнесенные к общепроизводственным расходам.</v>
      </c>
      <c r="O42" s="1358" t="s">
        <v>2109</v>
      </c>
      <c r="P42" s="1358" t="s">
        <v>2095</v>
      </c>
      <c r="Q42" s="1358" t="s">
        <v>2109</v>
      </c>
      <c r="R42" s="1358" t="s">
        <v>2095</v>
      </c>
      <c r="S42" s="1358"/>
      <c r="T42" s="1337" t="s">
        <v>2110</v>
      </c>
      <c r="U42" s="1337" t="s">
        <v>2110</v>
      </c>
      <c r="V42" s="1337" t="s">
        <v>2110</v>
      </c>
      <c r="W42" s="1337" t="s">
        <v>2110</v>
      </c>
      <c r="X42" s="1337"/>
      <c r="Y42" s="1344"/>
      <c r="Z42" s="1322" t="s">
        <v>2111</v>
      </c>
      <c r="AA42" s="1322" t="s">
        <v>2111</v>
      </c>
      <c r="AB42" s="1322" t="s">
        <v>2111</v>
      </c>
      <c r="AC42" s="1322" t="s">
        <v>2111</v>
      </c>
      <c r="AD42" s="1322"/>
    </row>
    <row r="43" ht="18" customHeight="1">
      <c r="A43" s="1339"/>
      <c r="B43" s="1345">
        <v>26</v>
      </c>
      <c r="C43" s="1337">
        <v>14</v>
      </c>
      <c r="D43" s="1355"/>
      <c r="E43" s="1337"/>
      <c r="F43" s="1337"/>
      <c r="G43" s="1337"/>
      <c r="H43" s="1360"/>
      <c r="I43" s="1357" t="str">
        <f t="shared" si="62"/>
        <v>2.11</v>
      </c>
      <c r="J43" s="1357" t="str">
        <f t="shared" si="63"/>
        <v xml:space="preserve">Общехозяйственные расходы, в том числе:</v>
      </c>
      <c r="K43" s="1357" t="str">
        <f t="shared" si="64"/>
        <v xml:space="preserve">Указывается общая сумма общехозяйственных расходов.</v>
      </c>
      <c r="L43" s="1343" t="str">
        <f t="shared" si="65"/>
        <v>2.11</v>
      </c>
      <c r="M43" s="1343" t="str">
        <f t="shared" si="66"/>
        <v xml:space="preserve">Общехозяйственные расходы, в том числе:</v>
      </c>
      <c r="N43" s="1343" t="str">
        <f t="shared" si="67"/>
        <v xml:space="preserve">Указывается общая сумма общехозяйственных расходов.</v>
      </c>
      <c r="O43" s="1358" t="s">
        <v>2112</v>
      </c>
      <c r="P43" s="1358" t="s">
        <v>750</v>
      </c>
      <c r="Q43" s="1358" t="s">
        <v>2112</v>
      </c>
      <c r="R43" s="1358" t="s">
        <v>750</v>
      </c>
      <c r="S43" s="1358"/>
      <c r="T43" s="1337" t="s">
        <v>2113</v>
      </c>
      <c r="U43" s="1337" t="s">
        <v>2113</v>
      </c>
      <c r="V43" s="1337" t="s">
        <v>2113</v>
      </c>
      <c r="W43" s="1337" t="s">
        <v>2113</v>
      </c>
      <c r="X43" s="1337"/>
      <c r="Y43" s="1344"/>
      <c r="Z43" s="1322" t="s">
        <v>2114</v>
      </c>
      <c r="AA43" s="1322" t="s">
        <v>2114</v>
      </c>
      <c r="AB43" s="1322" t="s">
        <v>2114</v>
      </c>
      <c r="AC43" s="1322" t="s">
        <v>2114</v>
      </c>
      <c r="AD43" s="1322"/>
    </row>
    <row r="44" ht="27" customHeight="1">
      <c r="A44" s="1339"/>
      <c r="B44" s="1345">
        <v>27</v>
      </c>
      <c r="C44" s="1337" t="s">
        <v>2115</v>
      </c>
      <c r="D44" s="1355"/>
      <c r="E44" s="1337"/>
      <c r="F44" s="1337"/>
      <c r="G44" s="1337"/>
      <c r="H44" s="1360"/>
      <c r="I44" s="1357" t="str">
        <f t="shared" si="62"/>
        <v>2.11.1</v>
      </c>
      <c r="J44" s="1357" t="str">
        <f t="shared" si="63"/>
        <v xml:space="preserve">Расходы на текущий ремонт</v>
      </c>
      <c r="K44" s="1357" t="str">
        <f t="shared" si="64"/>
        <v xml:space="preserve">Указываются расходы на текущий ремонт, отнесенные к общехозяйственным расходам.</v>
      </c>
      <c r="L44" s="1343" t="str">
        <f t="shared" si="65"/>
        <v>2.11.1</v>
      </c>
      <c r="M44" s="1343" t="str">
        <f t="shared" si="66"/>
        <v xml:space="preserve">Расходы на текущий ремонт</v>
      </c>
      <c r="N44" s="1343" t="str">
        <f t="shared" si="67"/>
        <v xml:space="preserve">Указываются расходы на текущий ремонт, отнесенные к общехозяйственным расходам.</v>
      </c>
      <c r="O44" s="1358" t="s">
        <v>2116</v>
      </c>
      <c r="P44" s="1358" t="s">
        <v>2117</v>
      </c>
      <c r="Q44" s="1358" t="s">
        <v>2116</v>
      </c>
      <c r="R44" s="1358" t="s">
        <v>2117</v>
      </c>
      <c r="S44" s="1358"/>
      <c r="T44" s="1337" t="s">
        <v>2106</v>
      </c>
      <c r="U44" s="1337" t="s">
        <v>2106</v>
      </c>
      <c r="V44" s="1337" t="s">
        <v>2106</v>
      </c>
      <c r="W44" s="1337" t="s">
        <v>2106</v>
      </c>
      <c r="X44" s="1337"/>
      <c r="Y44" s="1344"/>
      <c r="Z44" s="1322" t="s">
        <v>2118</v>
      </c>
      <c r="AA44" s="1322" t="s">
        <v>2118</v>
      </c>
      <c r="AB44" s="1322" t="s">
        <v>2118</v>
      </c>
      <c r="AC44" s="1322" t="s">
        <v>2118</v>
      </c>
      <c r="AD44" s="1322"/>
    </row>
    <row r="45" ht="27" customHeight="1">
      <c r="A45" s="1339"/>
      <c r="B45" s="1345">
        <v>28</v>
      </c>
      <c r="C45" s="1337" t="s">
        <v>2119</v>
      </c>
      <c r="D45" s="1355"/>
      <c r="E45" s="1337"/>
      <c r="F45" s="1337"/>
      <c r="G45" s="1337"/>
      <c r="H45" s="1360"/>
      <c r="I45" s="1357" t="str">
        <f t="shared" si="62"/>
        <v>2.11.2</v>
      </c>
      <c r="J45" s="1357" t="str">
        <f t="shared" si="63"/>
        <v xml:space="preserve">Расходы на капитальный ремонт</v>
      </c>
      <c r="K45" s="1357" t="str">
        <f t="shared" si="64"/>
        <v xml:space="preserve">Указываются расходы на капитальный ремонт, отнесенные к общехозяйственным расходам.</v>
      </c>
      <c r="L45" s="1343" t="str">
        <f t="shared" si="65"/>
        <v>2.11.2</v>
      </c>
      <c r="M45" s="1343" t="str">
        <f t="shared" si="66"/>
        <v xml:space="preserve">Расходы на капитальный ремонт</v>
      </c>
      <c r="N45" s="1343" t="str">
        <f t="shared" si="67"/>
        <v xml:space="preserve">Указываются расходы на капитальный ремонт, отнесенные к общехозяйственным расходам.</v>
      </c>
      <c r="O45" s="1358" t="s">
        <v>2120</v>
      </c>
      <c r="P45" s="1358" t="s">
        <v>2121</v>
      </c>
      <c r="Q45" s="1358" t="s">
        <v>2120</v>
      </c>
      <c r="R45" s="1358" t="s">
        <v>2121</v>
      </c>
      <c r="S45" s="1358"/>
      <c r="T45" s="1337" t="s">
        <v>2110</v>
      </c>
      <c r="U45" s="1337" t="s">
        <v>2110</v>
      </c>
      <c r="V45" s="1337" t="s">
        <v>2110</v>
      </c>
      <c r="W45" s="1337" t="s">
        <v>2110</v>
      </c>
      <c r="X45" s="1337"/>
      <c r="Y45" s="1344"/>
      <c r="Z45" s="1322" t="s">
        <v>2122</v>
      </c>
      <c r="AA45" s="1322" t="s">
        <v>2122</v>
      </c>
      <c r="AB45" s="1322" t="s">
        <v>2122</v>
      </c>
      <c r="AC45" s="1322" t="s">
        <v>2122</v>
      </c>
      <c r="AD45" s="1322"/>
    </row>
    <row r="46" ht="54" customHeight="1">
      <c r="A46" s="1339"/>
      <c r="B46" s="1345">
        <v>29</v>
      </c>
      <c r="C46" s="1337">
        <v>15</v>
      </c>
      <c r="D46" s="1355"/>
      <c r="E46" s="1337"/>
      <c r="F46" s="1337"/>
      <c r="G46" s="1337"/>
      <c r="H46" s="1360"/>
      <c r="I46" s="1357" t="str">
        <f t="shared" si="62"/>
        <v>2.12</v>
      </c>
      <c r="J46" s="1357" t="str">
        <f t="shared" si="63"/>
        <v xml:space="preserve">Расходы на капитальный и текущий ремонт основных средств</v>
      </c>
      <c r="K46" s="1357" t="str">
        <f t="shared" si="64"/>
        <v xml:space="preserve">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1343" t="str">
        <f t="shared" si="65"/>
        <v>2.12</v>
      </c>
      <c r="M46" s="1343" t="str">
        <f t="shared" si="66"/>
        <v xml:space="preserve">Расходы на капитальный и текущий ремонт основных средств</v>
      </c>
      <c r="N46" s="1343" t="str">
        <f t="shared" si="67"/>
        <v xml:space="preserve">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1358" t="s">
        <v>2123</v>
      </c>
      <c r="P46" s="1358" t="s">
        <v>2101</v>
      </c>
      <c r="Q46" s="1358" t="s">
        <v>2123</v>
      </c>
      <c r="R46" s="1358" t="s">
        <v>2101</v>
      </c>
      <c r="S46" s="1358"/>
      <c r="T46" s="1343" t="str">
        <f>"Расходы на капитальный и текущий ремонт основных"&amp;IF(TITLE_TYPE_ORG="Регулируемая организация",""," производственных")&amp;" средств"</f>
        <v xml:space="preserve">Расходы на капитальный и текущий ремонт основных средств</v>
      </c>
      <c r="U46" s="1337" t="s">
        <v>2124</v>
      </c>
      <c r="V46" s="1337" t="s">
        <v>2124</v>
      </c>
      <c r="W46" s="1337" t="s">
        <v>2124</v>
      </c>
      <c r="X46" s="1337"/>
      <c r="Y46" s="1344"/>
      <c r="Z46" s="1322" t="s">
        <v>2125</v>
      </c>
      <c r="AA46" s="1322" t="s">
        <v>2126</v>
      </c>
      <c r="AB46" s="1322" t="s">
        <v>2126</v>
      </c>
      <c r="AC46" s="1322" t="s">
        <v>2126</v>
      </c>
      <c r="AD46" s="1322"/>
    </row>
    <row r="47" ht="54" customHeight="1">
      <c r="A47" s="1339"/>
      <c r="B47" s="1345">
        <v>30</v>
      </c>
      <c r="C47" s="1337" t="s">
        <v>2127</v>
      </c>
      <c r="D47" s="1355"/>
      <c r="E47" s="1337"/>
      <c r="F47" s="1337"/>
      <c r="G47" s="1337"/>
      <c r="H47" s="1360"/>
      <c r="I47" s="1357" t="str">
        <f t="shared" si="62"/>
        <v>2.12.1</v>
      </c>
      <c r="J47" s="1357" t="str">
        <f t="shared" si="63"/>
        <v xml:space="preserve">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357">
        <f t="shared" si="64"/>
        <v>0</v>
      </c>
      <c r="L47" s="1343" t="str">
        <f t="shared" si="65"/>
        <v>2.12.1</v>
      </c>
      <c r="M47" s="1343" t="str">
        <f t="shared" si="66"/>
        <v xml:space="preserve">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1343" t="str">
        <f t="shared" si="67"/>
        <v/>
      </c>
      <c r="O47" s="1358" t="s">
        <v>2128</v>
      </c>
      <c r="P47" s="1358" t="s">
        <v>2105</v>
      </c>
      <c r="Q47" s="1358" t="s">
        <v>2128</v>
      </c>
      <c r="R47" s="1358" t="s">
        <v>2105</v>
      </c>
      <c r="S47" s="1358"/>
      <c r="T47" s="1337" t="s">
        <v>2129</v>
      </c>
      <c r="U47" s="1337" t="s">
        <v>2129</v>
      </c>
      <c r="V47" s="1337" t="s">
        <v>2129</v>
      </c>
      <c r="W47" s="1337" t="s">
        <v>2129</v>
      </c>
      <c r="X47" s="1337"/>
      <c r="Y47" s="1344"/>
      <c r="Z47" s="1322"/>
      <c r="AA47" s="1329"/>
      <c r="AB47" s="1329"/>
      <c r="AC47" s="1329"/>
      <c r="AD47" s="1322"/>
    </row>
    <row r="48" ht="54" customHeight="1">
      <c r="A48" s="1339"/>
      <c r="B48" s="1345">
        <v>31</v>
      </c>
      <c r="C48" s="1337">
        <v>16</v>
      </c>
      <c r="D48" s="1355"/>
      <c r="E48" s="1337"/>
      <c r="F48" s="1337"/>
      <c r="G48" s="1337"/>
      <c r="H48" s="1360"/>
      <c r="I48" s="1357">
        <f t="shared" si="62"/>
        <v>0</v>
      </c>
      <c r="J48" s="1357">
        <f t="shared" si="63"/>
        <v>0</v>
      </c>
      <c r="K48" s="1357">
        <f t="shared" si="64"/>
        <v>0</v>
      </c>
      <c r="L48" s="1343" t="str">
        <f t="shared" si="65"/>
        <v/>
      </c>
      <c r="M48" s="1343" t="str">
        <f t="shared" si="66"/>
        <v/>
      </c>
      <c r="N48" s="1343" t="str">
        <f t="shared" si="67"/>
        <v/>
      </c>
      <c r="O48" s="1358"/>
      <c r="P48" s="1358" t="s">
        <v>2112</v>
      </c>
      <c r="Q48" s="1358" t="s">
        <v>2130</v>
      </c>
      <c r="R48" s="1358" t="s">
        <v>2112</v>
      </c>
      <c r="S48" s="1358"/>
      <c r="T48" s="1337"/>
      <c r="U48" s="1337" t="s">
        <v>2131</v>
      </c>
      <c r="V48" s="1337" t="s">
        <v>2132</v>
      </c>
      <c r="W48" s="1337" t="s">
        <v>2132</v>
      </c>
      <c r="X48" s="1337"/>
      <c r="Y48" s="1344"/>
      <c r="Z48" s="1322"/>
      <c r="AA48" s="1329" t="s">
        <v>2126</v>
      </c>
      <c r="AB48" s="1329" t="s">
        <v>2126</v>
      </c>
      <c r="AC48" s="1329" t="s">
        <v>2126</v>
      </c>
      <c r="AD48" s="1322"/>
    </row>
    <row r="49" ht="54" customHeight="1">
      <c r="A49" s="1339"/>
      <c r="B49" s="1345">
        <v>32</v>
      </c>
      <c r="C49" s="1337" t="s">
        <v>2133</v>
      </c>
      <c r="D49" s="1355"/>
      <c r="E49" s="1337"/>
      <c r="F49" s="1337"/>
      <c r="G49" s="1337"/>
      <c r="H49" s="1360"/>
      <c r="I49" s="1357">
        <f t="shared" si="62"/>
        <v>0</v>
      </c>
      <c r="J49" s="1357">
        <f t="shared" si="63"/>
        <v>0</v>
      </c>
      <c r="K49" s="1357">
        <f t="shared" si="64"/>
        <v>0</v>
      </c>
      <c r="L49" s="1343" t="str">
        <f t="shared" si="65"/>
        <v/>
      </c>
      <c r="M49" s="1343" t="str">
        <f t="shared" si="66"/>
        <v/>
      </c>
      <c r="N49" s="1343" t="str">
        <f t="shared" si="67"/>
        <v/>
      </c>
      <c r="O49" s="1358"/>
      <c r="P49" s="1358" t="s">
        <v>2116</v>
      </c>
      <c r="Q49" s="1358" t="s">
        <v>2134</v>
      </c>
      <c r="R49" s="1358" t="s">
        <v>2116</v>
      </c>
      <c r="S49" s="1358"/>
      <c r="T49" s="1337"/>
      <c r="U49" s="1337" t="s">
        <v>2129</v>
      </c>
      <c r="V49" s="1337" t="s">
        <v>2129</v>
      </c>
      <c r="W49" s="1337" t="s">
        <v>2129</v>
      </c>
      <c r="X49" s="1337"/>
      <c r="Y49" s="1344"/>
      <c r="Z49" s="1322"/>
      <c r="AA49" s="1329"/>
      <c r="AB49" s="1329"/>
      <c r="AC49" s="1329"/>
      <c r="AD49" s="1322"/>
    </row>
    <row r="50" ht="126" customHeight="1">
      <c r="A50" s="1339"/>
      <c r="B50" s="1345">
        <v>33</v>
      </c>
      <c r="C50" s="1337">
        <v>17</v>
      </c>
      <c r="D50" s="1355"/>
      <c r="E50" s="1337"/>
      <c r="F50" s="1337"/>
      <c r="G50" s="1337"/>
      <c r="H50" s="1360"/>
      <c r="I50" s="1357" t="str">
        <f t="shared" si="62"/>
        <v>2.13</v>
      </c>
      <c r="J50" s="1357" t="str">
        <f t="shared" si="63"/>
        <v xml:space="preserve">Прочие расходы, которые подлежат отнесению на регулируемые виды деятельности в соответствии с законодательством Российской Федерации</v>
      </c>
      <c r="K50" s="1357" t="str">
        <f t="shared" si="64"/>
        <v xml:space="preserve">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1343" t="str">
        <f t="shared" si="65"/>
        <v>2.13</v>
      </c>
      <c r="M50" s="1343" t="str">
        <f t="shared" si="66"/>
        <v xml:space="preserve">Прочие расходы, которые подлежат отнесению на регулируемые виды деятельности в соответствии с законодательством Российской Федерации</v>
      </c>
      <c r="N50" s="1343" t="str">
        <f t="shared" si="67"/>
        <v xml:space="preserve">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1358" t="s">
        <v>2130</v>
      </c>
      <c r="P50" s="1358" t="s">
        <v>2123</v>
      </c>
      <c r="Q50" s="1358" t="s">
        <v>2135</v>
      </c>
      <c r="R50" s="1358" t="s">
        <v>2123</v>
      </c>
      <c r="S50" s="1358"/>
      <c r="T50" s="1337" t="s">
        <v>2136</v>
      </c>
      <c r="U50" s="1337" t="s">
        <v>2137</v>
      </c>
      <c r="V50" s="1337" t="s">
        <v>2138</v>
      </c>
      <c r="W50" s="1337" t="s">
        <v>2139</v>
      </c>
      <c r="X50" s="1337"/>
      <c r="Y50" s="1344"/>
      <c r="Z50" s="1322" t="s">
        <v>2140</v>
      </c>
      <c r="AA50" s="1329" t="s">
        <v>2141</v>
      </c>
      <c r="AB50" s="1329" t="s">
        <v>2141</v>
      </c>
      <c r="AC50" s="1329" t="s">
        <v>2141</v>
      </c>
      <c r="AD50" s="1322"/>
    </row>
    <row r="51" ht="27" customHeight="1">
      <c r="A51" s="1339"/>
      <c r="B51" s="1345">
        <v>34</v>
      </c>
      <c r="C51" s="1337" t="s">
        <v>2142</v>
      </c>
      <c r="D51" s="1355"/>
      <c r="E51" s="1337"/>
      <c r="F51" s="1337"/>
      <c r="G51" s="1337"/>
      <c r="H51" s="1360"/>
      <c r="I51" s="1357" t="str">
        <f t="shared" si="62"/>
        <v>3</v>
      </c>
      <c r="J51" s="1357" t="str">
        <f t="shared" si="63"/>
        <v xml:space="preserve">Валовая прибыль (убытки) от реализации товаров и оказания услуг по регулируемому виду деятельности</v>
      </c>
      <c r="K51" s="1357">
        <f t="shared" si="64"/>
        <v>0</v>
      </c>
      <c r="L51" s="1343" t="str">
        <f t="shared" si="65"/>
        <v>3</v>
      </c>
      <c r="M51" s="1343" t="str">
        <f t="shared" si="66"/>
        <v xml:space="preserve">Валовая прибыль (убытки) от реализации товаров и оказания услуг по регулируемому виду деятельности</v>
      </c>
      <c r="N51" s="1343" t="str">
        <f t="shared" si="67"/>
        <v/>
      </c>
      <c r="O51" s="1358" t="s">
        <v>91</v>
      </c>
      <c r="P51" s="1358"/>
      <c r="Q51" s="1358"/>
      <c r="R51" s="1358"/>
      <c r="S51" s="1358"/>
      <c r="T51" s="1337" t="s">
        <v>2143</v>
      </c>
      <c r="U51" s="1337"/>
      <c r="V51" s="1337"/>
      <c r="W51" s="1337"/>
      <c r="X51" s="1337"/>
      <c r="Y51" s="1344"/>
      <c r="Z51" s="1322"/>
      <c r="AA51" s="1329"/>
      <c r="AB51" s="1329"/>
      <c r="AC51" s="1329"/>
      <c r="AD51" s="1322"/>
    </row>
    <row r="52" ht="36" customHeight="1">
      <c r="A52" s="1339"/>
      <c r="B52" s="1345">
        <v>35</v>
      </c>
      <c r="C52" s="1337" t="s">
        <v>2036</v>
      </c>
      <c r="D52" s="1355" t="s">
        <v>2036</v>
      </c>
      <c r="E52" s="1337" t="s">
        <v>2036</v>
      </c>
      <c r="F52" s="1337" t="s">
        <v>2036</v>
      </c>
      <c r="G52" s="1337"/>
      <c r="H52" s="1360"/>
      <c r="I52" s="1357" t="str">
        <f t="shared" si="62"/>
        <v>4</v>
      </c>
      <c r="J52" s="1357" t="str">
        <f t="shared" si="63"/>
        <v xml:space="preserve">Чистая прибыль, полученная от регулируемого вида деятельности, в том числе:</v>
      </c>
      <c r="K52" s="1357" t="str">
        <f t="shared" si="64"/>
        <v xml:space="preserve">Указывается общая сумма чистой прибыли, полученной от регулируемого вида деятельности.</v>
      </c>
      <c r="L52" s="1343" t="str">
        <f t="shared" si="65"/>
        <v>4</v>
      </c>
      <c r="M52" s="1343" t="str">
        <f t="shared" si="66"/>
        <v xml:space="preserve">Чистая прибыль, полученная от регулируемого вида деятельности, в том числе:</v>
      </c>
      <c r="N52" s="1343" t="str">
        <f t="shared" si="67"/>
        <v xml:space="preserve">Указывается общая сумма чистой прибыли, полученной от регулируемого вида деятельности.</v>
      </c>
      <c r="O52" s="1358" t="s">
        <v>92</v>
      </c>
      <c r="P52" s="1358" t="s">
        <v>91</v>
      </c>
      <c r="Q52" s="1358" t="s">
        <v>91</v>
      </c>
      <c r="R52" s="1358" t="s">
        <v>91</v>
      </c>
      <c r="S52" s="1358"/>
      <c r="T52" s="1337" t="s">
        <v>2144</v>
      </c>
      <c r="U52" s="1337" t="s">
        <v>2145</v>
      </c>
      <c r="V52" s="1337" t="s">
        <v>2146</v>
      </c>
      <c r="W52" s="1337" t="s">
        <v>2147</v>
      </c>
      <c r="X52" s="1337"/>
      <c r="Y52" s="1344"/>
      <c r="Z52" s="1322" t="s">
        <v>754</v>
      </c>
      <c r="AA52" s="1329" t="s">
        <v>754</v>
      </c>
      <c r="AB52" s="1329" t="s">
        <v>754</v>
      </c>
      <c r="AC52" s="1329" t="s">
        <v>754</v>
      </c>
      <c r="AD52" s="1322"/>
    </row>
    <row r="53" ht="36" customHeight="1">
      <c r="A53" s="1339"/>
      <c r="B53" s="1345">
        <v>36</v>
      </c>
      <c r="C53" s="1337">
        <v>1</v>
      </c>
      <c r="D53" s="1355"/>
      <c r="E53" s="1337"/>
      <c r="F53" s="1337"/>
      <c r="G53" s="1337"/>
      <c r="H53" s="1360"/>
      <c r="I53" s="1357" t="str">
        <f t="shared" si="62"/>
        <v>4.1</v>
      </c>
      <c r="J53" s="1357" t="str">
        <f t="shared" si="63"/>
        <v xml:space="preserve">Размер расходования чистой прибыли на финансирование мероприятий, предусмотренных инвестиционной программой регулируемой организации</v>
      </c>
      <c r="K53" s="1357">
        <f t="shared" si="64"/>
        <v>0</v>
      </c>
      <c r="L53" s="1343" t="str">
        <f t="shared" si="65"/>
        <v>4.1</v>
      </c>
      <c r="M53" s="1343" t="str">
        <f t="shared" si="66"/>
        <v xml:space="preserve">Размер расходования чистой прибыли на финансирование мероприятий, предусмотренных инвестиционной программой регулируемой организации</v>
      </c>
      <c r="N53" s="1343" t="str">
        <f t="shared" si="67"/>
        <v/>
      </c>
      <c r="O53" s="1358" t="s">
        <v>758</v>
      </c>
      <c r="P53" s="1358" t="s">
        <v>329</v>
      </c>
      <c r="Q53" s="1358" t="s">
        <v>329</v>
      </c>
      <c r="R53" s="1358" t="s">
        <v>329</v>
      </c>
      <c r="S53" s="1358"/>
      <c r="T53" s="1337" t="s">
        <v>2148</v>
      </c>
      <c r="U53" s="1337" t="s">
        <v>2148</v>
      </c>
      <c r="V53" s="1337" t="s">
        <v>2148</v>
      </c>
      <c r="W53" s="1337" t="s">
        <v>2148</v>
      </c>
      <c r="X53" s="1337"/>
      <c r="Y53" s="1344"/>
      <c r="Z53" s="1322"/>
      <c r="AA53" s="1329"/>
      <c r="AB53" s="1322"/>
      <c r="AC53" s="1322"/>
      <c r="AD53" s="1322"/>
    </row>
    <row r="54" ht="18" customHeight="1">
      <c r="A54" s="1339"/>
      <c r="B54" s="1345">
        <v>37</v>
      </c>
      <c r="C54" s="1337" t="s">
        <v>2042</v>
      </c>
      <c r="D54" s="1355" t="s">
        <v>2042</v>
      </c>
      <c r="E54" s="1337" t="s">
        <v>2042</v>
      </c>
      <c r="F54" s="1337" t="s">
        <v>2042</v>
      </c>
      <c r="G54" s="1337"/>
      <c r="H54" s="1360"/>
      <c r="I54" s="1357" t="str">
        <f t="shared" si="62"/>
        <v>5</v>
      </c>
      <c r="J54" s="1357" t="str">
        <f t="shared" si="63"/>
        <v xml:space="preserve">Изменение стоимости основных фондов, в том числе:</v>
      </c>
      <c r="K54" s="1357" t="str">
        <f t="shared" si="64"/>
        <v xml:space="preserve">Указывается общее изменение стоимости основных фондов.</v>
      </c>
      <c r="L54" s="1343" t="str">
        <f t="shared" si="65"/>
        <v>5</v>
      </c>
      <c r="M54" s="1343" t="str">
        <f t="shared" si="66"/>
        <v xml:space="preserve">Изменение стоимости основных фондов, в том числе:</v>
      </c>
      <c r="N54" s="1343" t="str">
        <f t="shared" si="67"/>
        <v xml:space="preserve">Указывается общее изменение стоимости основных фондов.</v>
      </c>
      <c r="O54" s="1358" t="s">
        <v>111</v>
      </c>
      <c r="P54" s="1358" t="s">
        <v>92</v>
      </c>
      <c r="Q54" s="1358" t="s">
        <v>92</v>
      </c>
      <c r="R54" s="1358" t="s">
        <v>92</v>
      </c>
      <c r="S54" s="1358"/>
      <c r="T54" s="1337" t="s">
        <v>756</v>
      </c>
      <c r="U54" s="1337" t="s">
        <v>756</v>
      </c>
      <c r="V54" s="1337" t="s">
        <v>756</v>
      </c>
      <c r="W54" s="1337" t="s">
        <v>756</v>
      </c>
      <c r="X54" s="1337"/>
      <c r="Y54" s="1344"/>
      <c r="Z54" s="1322" t="s">
        <v>757</v>
      </c>
      <c r="AA54" s="1322" t="s">
        <v>757</v>
      </c>
      <c r="AB54" s="1322" t="s">
        <v>757</v>
      </c>
      <c r="AC54" s="1322" t="s">
        <v>757</v>
      </c>
      <c r="AD54" s="1322"/>
    </row>
    <row r="55" ht="36" customHeight="1">
      <c r="A55" s="1339"/>
      <c r="B55" s="1345">
        <v>38</v>
      </c>
      <c r="C55" s="1337">
        <v>1</v>
      </c>
      <c r="D55" s="1355"/>
      <c r="E55" s="1337"/>
      <c r="F55" s="1337"/>
      <c r="G55" s="1337"/>
      <c r="H55" s="1360"/>
      <c r="I55" s="1357" t="str">
        <f t="shared" si="62"/>
        <v>5.1</v>
      </c>
      <c r="J55" s="1357" t="str">
        <f t="shared" si="63"/>
        <v xml:space="preserve">Изменение стоимости основных фондов за счет:</v>
      </c>
      <c r="K55" s="1357" t="str">
        <f t="shared" si="64"/>
        <v xml:space="preserve">Указываются общее изменение стоимости основных фондов за счет их ввода в эксплуатацию и вывода из эксплуатации.</v>
      </c>
      <c r="L55" s="1343" t="str">
        <f t="shared" si="65"/>
        <v>5.1</v>
      </c>
      <c r="M55" s="1343" t="str">
        <f t="shared" si="66"/>
        <v xml:space="preserve">Изменение стоимости основных фондов за счет:</v>
      </c>
      <c r="N55" s="1343" t="str">
        <f t="shared" si="67"/>
        <v xml:space="preserve">Указываются общее изменение стоимости основных фондов за счет их ввода в эксплуатацию и вывода из эксплуатации.</v>
      </c>
      <c r="O55" s="1358" t="s">
        <v>318</v>
      </c>
      <c r="P55" s="1358" t="s">
        <v>758</v>
      </c>
      <c r="Q55" s="1358" t="s">
        <v>758</v>
      </c>
      <c r="R55" s="1358" t="s">
        <v>758</v>
      </c>
      <c r="S55" s="1358"/>
      <c r="T55" s="1343" t="str">
        <f>IF(TITLE_TYPE_ORG="Регулируемая организация","Изменение стоимости основных фондов за счет:","за счет их ввода в эксплуатацию (вывода из эксплуатации)")</f>
        <v xml:space="preserve">Изменение стоимости основных фондов за счет:</v>
      </c>
      <c r="U55" s="1337" t="s">
        <v>2149</v>
      </c>
      <c r="V55" s="1337" t="s">
        <v>2149</v>
      </c>
      <c r="W55" s="1337" t="s">
        <v>2149</v>
      </c>
      <c r="X55" s="1337"/>
      <c r="Y55" s="1344"/>
      <c r="Z55" s="1322" t="s">
        <v>2150</v>
      </c>
      <c r="AA55" s="1322" t="s">
        <v>2150</v>
      </c>
      <c r="AB55" s="1322" t="s">
        <v>2150</v>
      </c>
      <c r="AC55" s="1322" t="s">
        <v>2150</v>
      </c>
      <c r="AD55" s="1322"/>
    </row>
    <row r="56" ht="27" customHeight="1">
      <c r="A56" s="1339"/>
      <c r="B56" s="1345">
        <v>39</v>
      </c>
      <c r="C56" s="1337" t="s">
        <v>1026</v>
      </c>
      <c r="D56" s="1355"/>
      <c r="E56" s="1337"/>
      <c r="F56" s="1337"/>
      <c r="G56" s="1337"/>
      <c r="H56" s="1360"/>
      <c r="I56" s="1357" t="str">
        <f t="shared" si="62"/>
        <v>5.1.1</v>
      </c>
      <c r="J56" s="1357" t="str">
        <f t="shared" si="63"/>
        <v xml:space="preserve">Изменения стоимости основных фондов за счет их ввода в эксплуатацию</v>
      </c>
      <c r="K56" s="1357" t="str">
        <f t="shared" si="64"/>
        <v xml:space="preserve">Указываются изменение стоимости основных фондов за счет их ввода в эксплуатацию.</v>
      </c>
      <c r="L56" s="1343" t="str">
        <f t="shared" si="65"/>
        <v>5.1.1</v>
      </c>
      <c r="M56" s="1343" t="str">
        <f t="shared" si="66"/>
        <v xml:space="preserve">Изменения стоимости основных фондов за счет их ввода в эксплуатацию</v>
      </c>
      <c r="N56" s="1343" t="str">
        <f t="shared" si="67"/>
        <v xml:space="preserve">Указываются изменение стоимости основных фондов за счет их ввода в эксплуатацию.</v>
      </c>
      <c r="O56" s="1358" t="s">
        <v>1143</v>
      </c>
      <c r="P56" s="1358" t="s">
        <v>761</v>
      </c>
      <c r="Q56" s="1358" t="s">
        <v>761</v>
      </c>
      <c r="R56" s="1358" t="s">
        <v>761</v>
      </c>
      <c r="S56" s="1358"/>
      <c r="T56" s="1343" t="str">
        <f>IF(TITLE_TYPE_ORG="Регулируемая организация","Изменения стоимости основных фондов за счет их ввода в эксплуатацию","за счет их ввода в эксплуатацию")</f>
        <v xml:space="preserve">Изменения стоимости основных фондов за счет их ввода в эксплуатацию</v>
      </c>
      <c r="U56" s="1337" t="s">
        <v>2151</v>
      </c>
      <c r="V56" s="1337" t="s">
        <v>2151</v>
      </c>
      <c r="W56" s="1337" t="s">
        <v>2151</v>
      </c>
      <c r="X56" s="1337"/>
      <c r="Y56" s="1344"/>
      <c r="Z56" s="1322" t="s">
        <v>763</v>
      </c>
      <c r="AA56" s="1322" t="s">
        <v>763</v>
      </c>
      <c r="AB56" s="1322" t="s">
        <v>763</v>
      </c>
      <c r="AC56" s="1322" t="s">
        <v>763</v>
      </c>
      <c r="AD56" s="1322"/>
    </row>
    <row r="57" ht="27" customHeight="1">
      <c r="A57" s="1339"/>
      <c r="B57" s="1345">
        <v>40</v>
      </c>
      <c r="C57" s="1337" t="s">
        <v>1028</v>
      </c>
      <c r="D57" s="1355"/>
      <c r="E57" s="1337"/>
      <c r="F57" s="1337"/>
      <c r="G57" s="1337"/>
      <c r="H57" s="1360"/>
      <c r="I57" s="1357" t="str">
        <f t="shared" si="62"/>
        <v>5.1.2</v>
      </c>
      <c r="J57" s="1357" t="str">
        <f t="shared" si="63"/>
        <v xml:space="preserve">Изменения стоимости основных фондов за счет их вывода в эксплуатацию</v>
      </c>
      <c r="K57" s="1357" t="str">
        <f t="shared" si="64"/>
        <v xml:space="preserve">Указываются изменение стоимости основных фондов за счет их вывода из эксплуатации.</v>
      </c>
      <c r="L57" s="1343" t="str">
        <f t="shared" si="65"/>
        <v>5.1.2</v>
      </c>
      <c r="M57" s="1343" t="str">
        <f t="shared" si="66"/>
        <v xml:space="preserve">Изменения стоимости основных фондов за счет их вывода в эксплуатацию</v>
      </c>
      <c r="N57" s="1343" t="str">
        <f t="shared" si="67"/>
        <v xml:space="preserve">Указываются изменение стоимости основных фондов за счет их вывода из эксплуатации.</v>
      </c>
      <c r="O57" s="1358" t="s">
        <v>2152</v>
      </c>
      <c r="P57" s="1358" t="s">
        <v>764</v>
      </c>
      <c r="Q57" s="1358" t="s">
        <v>764</v>
      </c>
      <c r="R57" s="1358" t="s">
        <v>764</v>
      </c>
      <c r="S57" s="1358"/>
      <c r="T57" s="1343" t="str">
        <f>IF(TITLE_TYPE_ORG="Регулируемая организация","Изменения стоимости основных фондов за счет их вывода в эксплуатацию","за счет их вывода в эксплуатацию")</f>
        <v xml:space="preserve">Изменения стоимости основных фондов за счет их вывода в эксплуатацию</v>
      </c>
      <c r="U57" s="1337" t="s">
        <v>2153</v>
      </c>
      <c r="V57" s="1337" t="s">
        <v>2153</v>
      </c>
      <c r="W57" s="1337" t="s">
        <v>2153</v>
      </c>
      <c r="X57" s="1337"/>
      <c r="Y57" s="1344"/>
      <c r="Z57" s="1322" t="s">
        <v>766</v>
      </c>
      <c r="AA57" s="1322" t="s">
        <v>766</v>
      </c>
      <c r="AB57" s="1322" t="s">
        <v>766</v>
      </c>
      <c r="AC57" s="1322" t="s">
        <v>766</v>
      </c>
      <c r="AD57" s="1322"/>
    </row>
    <row r="58" ht="18" customHeight="1">
      <c r="A58" s="1339"/>
      <c r="B58" s="1345">
        <v>41</v>
      </c>
      <c r="C58" s="1337">
        <v>2</v>
      </c>
      <c r="D58" s="1355"/>
      <c r="E58" s="1337"/>
      <c r="F58" s="1337"/>
      <c r="G58" s="1337"/>
      <c r="H58" s="1360"/>
      <c r="I58" s="1357" t="str">
        <f t="shared" si="62"/>
        <v>5.2</v>
      </c>
      <c r="J58" s="1357" t="str">
        <f t="shared" si="63"/>
        <v xml:space="preserve">Изменение стоимости основных фондов за счет их переоценки</v>
      </c>
      <c r="K58" s="1357">
        <f t="shared" si="64"/>
        <v>0</v>
      </c>
      <c r="L58" s="1343" t="str">
        <f t="shared" si="65"/>
        <v>5.2</v>
      </c>
      <c r="M58" s="1343" t="str">
        <f t="shared" si="66"/>
        <v xml:space="preserve">Изменение стоимости основных фондов за счет их переоценки</v>
      </c>
      <c r="N58" s="1343" t="str">
        <f t="shared" si="67"/>
        <v/>
      </c>
      <c r="O58" s="1358" t="s">
        <v>886</v>
      </c>
      <c r="P58" s="1358" t="s">
        <v>800</v>
      </c>
      <c r="Q58" s="1358" t="s">
        <v>800</v>
      </c>
      <c r="R58" s="1358" t="s">
        <v>800</v>
      </c>
      <c r="S58" s="1358"/>
      <c r="T58" s="1343" t="str">
        <f>IF(TITLE_TYPE_ORG="Регулируемая организация","Изменение стоимости основных фондов за счет их переоценки","за счет их переоценки")</f>
        <v xml:space="preserve">Изменение стоимости основных фондов за счет их переоценки</v>
      </c>
      <c r="U58" s="1337" t="s">
        <v>2154</v>
      </c>
      <c r="V58" s="1337" t="s">
        <v>2154</v>
      </c>
      <c r="W58" s="1337" t="s">
        <v>2154</v>
      </c>
      <c r="X58" s="1337"/>
      <c r="Y58" s="1344"/>
      <c r="Z58" s="1322"/>
      <c r="AA58" s="1329"/>
      <c r="AB58" s="1322"/>
      <c r="AC58" s="1322"/>
      <c r="AD58" s="1322"/>
    </row>
    <row r="59" ht="36" customHeight="1">
      <c r="A59" s="1339"/>
      <c r="B59" s="1345">
        <v>42</v>
      </c>
      <c r="C59" s="1337">
        <v>3</v>
      </c>
      <c r="D59" s="1355" t="s">
        <v>2142</v>
      </c>
      <c r="E59" s="1337" t="s">
        <v>2142</v>
      </c>
      <c r="F59" s="1337" t="s">
        <v>2142</v>
      </c>
      <c r="G59" s="1337"/>
      <c r="H59" s="1360"/>
      <c r="I59" s="1357">
        <f t="shared" si="62"/>
        <v>0</v>
      </c>
      <c r="J59" s="1357">
        <f t="shared" si="63"/>
        <v>0</v>
      </c>
      <c r="K59" s="1357">
        <f t="shared" si="64"/>
        <v>0</v>
      </c>
      <c r="L59" s="1343" t="str">
        <f t="shared" si="65"/>
        <v/>
      </c>
      <c r="M59" s="1343" t="str">
        <f t="shared" si="66"/>
        <v/>
      </c>
      <c r="N59" s="1343" t="str">
        <f t="shared" si="67"/>
        <v/>
      </c>
      <c r="O59" s="1358"/>
      <c r="P59" s="1358" t="s">
        <v>111</v>
      </c>
      <c r="Q59" s="1358" t="s">
        <v>111</v>
      </c>
      <c r="R59" s="1358" t="s">
        <v>111</v>
      </c>
      <c r="S59" s="1358"/>
      <c r="T59" s="1337"/>
      <c r="U59" s="1337" t="s">
        <v>2155</v>
      </c>
      <c r="V59" s="1337" t="s">
        <v>2156</v>
      </c>
      <c r="W59" s="1337" t="s">
        <v>2157</v>
      </c>
      <c r="X59" s="1337"/>
      <c r="Y59" s="1344"/>
      <c r="Z59" s="1322"/>
      <c r="AA59" s="1329"/>
      <c r="AB59" s="1322"/>
      <c r="AC59" s="1322"/>
      <c r="AD59" s="1322"/>
    </row>
    <row r="60" ht="81" customHeight="1">
      <c r="A60" s="1339"/>
      <c r="B60" s="1345">
        <v>43</v>
      </c>
      <c r="C60" s="1337" t="s">
        <v>2158</v>
      </c>
      <c r="D60" s="1355" t="s">
        <v>2158</v>
      </c>
      <c r="E60" s="1337" t="s">
        <v>2158</v>
      </c>
      <c r="F60" s="1337" t="s">
        <v>2158</v>
      </c>
      <c r="G60" s="1337"/>
      <c r="H60" s="1360"/>
      <c r="I60" s="1357" t="str">
        <f t="shared" si="62"/>
        <v>6</v>
      </c>
      <c r="J60" s="1357" t="str">
        <f t="shared" si="63"/>
        <v xml:space="preserve">Годовая бухгалтерская (финансовая) отчетность, включая бухгалтерский баланс и приложения к нему</v>
      </c>
      <c r="K60" s="1357" t="str">
        <f t="shared" si="64"/>
        <v xml:space="preserve">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1343" t="str">
        <f t="shared" si="65"/>
        <v>6</v>
      </c>
      <c r="M60" s="1343" t="str">
        <f t="shared" si="66"/>
        <v xml:space="preserve">Годовая бухгалтерская (финансовая) отчетность, включая бухгалтерский баланс и приложения к нему</v>
      </c>
      <c r="N60" s="1343" t="str">
        <f t="shared" si="67"/>
        <v xml:space="preserve">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1358" t="s">
        <v>93</v>
      </c>
      <c r="P60" s="1358" t="s">
        <v>93</v>
      </c>
      <c r="Q60" s="1358" t="s">
        <v>93</v>
      </c>
      <c r="R60" s="1358" t="s">
        <v>93</v>
      </c>
      <c r="S60" s="1358"/>
      <c r="T60" s="1337" t="s">
        <v>633</v>
      </c>
      <c r="U60" s="1337" t="s">
        <v>633</v>
      </c>
      <c r="V60" s="1337" t="s">
        <v>633</v>
      </c>
      <c r="W60" s="1337" t="s">
        <v>633</v>
      </c>
      <c r="X60" s="1337"/>
      <c r="Y60" s="1344"/>
      <c r="Z60" s="1322" t="s">
        <v>2159</v>
      </c>
      <c r="AA60" s="1329" t="s">
        <v>2160</v>
      </c>
      <c r="AB60" s="1322" t="s">
        <v>2161</v>
      </c>
      <c r="AC60" s="1322" t="s">
        <v>2160</v>
      </c>
      <c r="AD60" s="1322"/>
    </row>
    <row r="61" ht="9" customHeight="1">
      <c r="A61" s="1339"/>
      <c r="B61" s="1345">
        <v>44</v>
      </c>
      <c r="C61" s="1337"/>
      <c r="D61" s="1355" t="s">
        <v>2162</v>
      </c>
      <c r="E61" s="1337"/>
      <c r="F61" s="1337"/>
      <c r="G61" s="1337"/>
      <c r="H61" s="1360"/>
      <c r="I61" s="1357">
        <f t="shared" si="62"/>
        <v>0</v>
      </c>
      <c r="J61" s="1357">
        <f t="shared" si="63"/>
        <v>0</v>
      </c>
      <c r="K61" s="1357">
        <f t="shared" si="64"/>
        <v>0</v>
      </c>
      <c r="L61" s="1343" t="str">
        <f t="shared" si="65"/>
        <v/>
      </c>
      <c r="M61" s="1343" t="str">
        <f t="shared" si="66"/>
        <v/>
      </c>
      <c r="N61" s="1343" t="str">
        <f t="shared" si="67"/>
        <v/>
      </c>
      <c r="O61" s="1358"/>
      <c r="P61" s="1358" t="s">
        <v>94</v>
      </c>
      <c r="Q61" s="1358"/>
      <c r="R61" s="1358"/>
      <c r="S61" s="1358"/>
      <c r="T61" s="1337"/>
      <c r="U61" s="1337" t="s">
        <v>2163</v>
      </c>
      <c r="V61" s="1337"/>
      <c r="W61" s="1337"/>
      <c r="X61" s="1337"/>
      <c r="Y61" s="1344"/>
      <c r="Z61" s="1322"/>
      <c r="AA61" s="1329"/>
      <c r="AB61" s="1322"/>
      <c r="AC61" s="1322"/>
      <c r="AD61" s="1322"/>
    </row>
    <row r="62" ht="9" customHeight="1">
      <c r="A62" s="1339"/>
      <c r="B62" s="1345">
        <v>45</v>
      </c>
      <c r="C62" s="1337"/>
      <c r="D62" s="1355" t="s">
        <v>2164</v>
      </c>
      <c r="E62" s="1337"/>
      <c r="F62" s="1337"/>
      <c r="G62" s="1337"/>
      <c r="H62" s="1360"/>
      <c r="I62" s="1357">
        <f t="shared" si="62"/>
        <v>0</v>
      </c>
      <c r="J62" s="1357">
        <f t="shared" si="63"/>
        <v>0</v>
      </c>
      <c r="K62" s="1357">
        <f t="shared" si="64"/>
        <v>0</v>
      </c>
      <c r="L62" s="1343" t="str">
        <f t="shared" si="65"/>
        <v/>
      </c>
      <c r="M62" s="1343" t="str">
        <f t="shared" si="66"/>
        <v/>
      </c>
      <c r="N62" s="1343" t="str">
        <f t="shared" si="67"/>
        <v/>
      </c>
      <c r="O62" s="1358"/>
      <c r="P62" s="1358" t="s">
        <v>112</v>
      </c>
      <c r="Q62" s="1358"/>
      <c r="R62" s="1358"/>
      <c r="S62" s="1358"/>
      <c r="T62" s="1337"/>
      <c r="U62" s="1337" t="s">
        <v>2165</v>
      </c>
      <c r="V62" s="1337"/>
      <c r="W62" s="1337"/>
      <c r="X62" s="1337"/>
      <c r="Y62" s="1344"/>
      <c r="Z62" s="1322"/>
      <c r="AA62" s="1329"/>
      <c r="AB62" s="1322"/>
      <c r="AC62" s="1322"/>
      <c r="AD62" s="1322"/>
    </row>
    <row r="63" ht="18" customHeight="1">
      <c r="A63" s="1339"/>
      <c r="B63" s="1345">
        <v>46</v>
      </c>
      <c r="C63" s="1337"/>
      <c r="D63" s="1355" t="s">
        <v>2166</v>
      </c>
      <c r="E63" s="1337"/>
      <c r="F63" s="1337"/>
      <c r="G63" s="1337"/>
      <c r="H63" s="1360"/>
      <c r="I63" s="1357">
        <f t="shared" si="62"/>
        <v>0</v>
      </c>
      <c r="J63" s="1357">
        <f t="shared" si="63"/>
        <v>0</v>
      </c>
      <c r="K63" s="1357">
        <f t="shared" si="64"/>
        <v>0</v>
      </c>
      <c r="L63" s="1343" t="str">
        <f t="shared" si="65"/>
        <v/>
      </c>
      <c r="M63" s="1343" t="str">
        <f t="shared" si="66"/>
        <v/>
      </c>
      <c r="N63" s="1343" t="str">
        <f t="shared" si="67"/>
        <v/>
      </c>
      <c r="O63" s="1358"/>
      <c r="P63" s="1358" t="s">
        <v>148</v>
      </c>
      <c r="Q63" s="1358"/>
      <c r="R63" s="1358"/>
      <c r="S63" s="1358"/>
      <c r="T63" s="1337"/>
      <c r="U63" s="1337" t="s">
        <v>2167</v>
      </c>
      <c r="V63" s="1337"/>
      <c r="W63" s="1337"/>
      <c r="X63" s="1337"/>
      <c r="Y63" s="1344"/>
      <c r="Z63" s="1322"/>
      <c r="AA63" s="1329"/>
      <c r="AB63" s="1322"/>
      <c r="AC63" s="1322"/>
      <c r="AD63" s="1322"/>
    </row>
    <row r="64" ht="18" customHeight="1">
      <c r="A64" s="1339"/>
      <c r="B64" s="1345">
        <v>47</v>
      </c>
      <c r="C64" s="1337"/>
      <c r="D64" s="1355" t="s">
        <v>2168</v>
      </c>
      <c r="E64" s="1337"/>
      <c r="F64" s="1337"/>
      <c r="G64" s="1337"/>
      <c r="H64" s="1360"/>
      <c r="I64" s="1357">
        <f t="shared" si="62"/>
        <v>0</v>
      </c>
      <c r="J64" s="1357">
        <f t="shared" si="63"/>
        <v>0</v>
      </c>
      <c r="K64" s="1357">
        <f t="shared" si="64"/>
        <v>0</v>
      </c>
      <c r="L64" s="1343" t="str">
        <f t="shared" si="65"/>
        <v/>
      </c>
      <c r="M64" s="1343" t="str">
        <f t="shared" si="66"/>
        <v/>
      </c>
      <c r="N64" s="1343" t="str">
        <f t="shared" si="67"/>
        <v/>
      </c>
      <c r="O64" s="1358"/>
      <c r="P64" s="1358" t="s">
        <v>149</v>
      </c>
      <c r="Q64" s="1358"/>
      <c r="R64" s="1358"/>
      <c r="S64" s="1358"/>
      <c r="T64" s="1337"/>
      <c r="U64" s="1337" t="s">
        <v>2169</v>
      </c>
      <c r="V64" s="1337"/>
      <c r="W64" s="1337"/>
      <c r="X64" s="1337"/>
      <c r="Y64" s="1344"/>
      <c r="Z64" s="1322"/>
      <c r="AA64" s="1329" t="s">
        <v>2170</v>
      </c>
      <c r="AB64" s="1322"/>
      <c r="AC64" s="1322"/>
      <c r="AD64" s="1322"/>
    </row>
    <row r="65" ht="18" customHeight="1">
      <c r="A65" s="1339"/>
      <c r="B65" s="1345">
        <v>48</v>
      </c>
      <c r="C65" s="1337"/>
      <c r="D65" s="1355"/>
      <c r="E65" s="1337"/>
      <c r="F65" s="1337"/>
      <c r="G65" s="1337"/>
      <c r="H65" s="1360"/>
      <c r="I65" s="1357">
        <f t="shared" si="62"/>
        <v>0</v>
      </c>
      <c r="J65" s="1357">
        <f t="shared" si="63"/>
        <v>0</v>
      </c>
      <c r="K65" s="1357">
        <f t="shared" si="64"/>
        <v>0</v>
      </c>
      <c r="L65" s="1343" t="str">
        <f t="shared" si="65"/>
        <v/>
      </c>
      <c r="M65" s="1343" t="str">
        <f t="shared" si="66"/>
        <v/>
      </c>
      <c r="N65" s="1343" t="str">
        <f t="shared" si="67"/>
        <v/>
      </c>
      <c r="O65" s="1358"/>
      <c r="P65" s="1358" t="s">
        <v>2083</v>
      </c>
      <c r="Q65" s="1358"/>
      <c r="R65" s="1358"/>
      <c r="S65" s="1358"/>
      <c r="T65" s="1337"/>
      <c r="U65" s="1337" t="s">
        <v>2171</v>
      </c>
      <c r="V65" s="1337"/>
      <c r="W65" s="1337"/>
      <c r="X65" s="1337"/>
      <c r="Y65" s="1344"/>
      <c r="Z65" s="1322"/>
      <c r="AA65" s="1329"/>
      <c r="AB65" s="1322"/>
      <c r="AC65" s="1322"/>
      <c r="AD65" s="1322"/>
    </row>
    <row r="66" ht="18" customHeight="1">
      <c r="A66" s="1339"/>
      <c r="B66" s="1345">
        <v>49</v>
      </c>
      <c r="C66" s="1337"/>
      <c r="D66" s="1355"/>
      <c r="E66" s="1337"/>
      <c r="F66" s="1337"/>
      <c r="G66" s="1337"/>
      <c r="H66" s="1360"/>
      <c r="I66" s="1357">
        <f t="shared" si="62"/>
        <v>0</v>
      </c>
      <c r="J66" s="1357">
        <f t="shared" si="63"/>
        <v>0</v>
      </c>
      <c r="K66" s="1357">
        <f t="shared" si="64"/>
        <v>0</v>
      </c>
      <c r="L66" s="1343" t="str">
        <f t="shared" si="65"/>
        <v/>
      </c>
      <c r="M66" s="1343" t="str">
        <f t="shared" si="66"/>
        <v/>
      </c>
      <c r="N66" s="1343" t="str">
        <f t="shared" si="67"/>
        <v/>
      </c>
      <c r="O66" s="1358"/>
      <c r="P66" s="1358" t="s">
        <v>2087</v>
      </c>
      <c r="Q66" s="1358"/>
      <c r="R66" s="1358"/>
      <c r="S66" s="1358"/>
      <c r="T66" s="1337"/>
      <c r="U66" s="1337" t="s">
        <v>2172</v>
      </c>
      <c r="V66" s="1337"/>
      <c r="W66" s="1337"/>
      <c r="X66" s="1337"/>
      <c r="Y66" s="1344"/>
      <c r="Z66" s="1322"/>
      <c r="AA66" s="1329"/>
      <c r="AB66" s="1322"/>
      <c r="AC66" s="1322"/>
      <c r="AD66" s="1322"/>
    </row>
    <row r="67" ht="27" customHeight="1">
      <c r="A67" s="1339"/>
      <c r="B67" s="1345">
        <v>50</v>
      </c>
      <c r="C67" s="1337"/>
      <c r="D67" s="1355"/>
      <c r="E67" s="1337"/>
      <c r="F67" s="1337"/>
      <c r="G67" s="1337"/>
      <c r="H67" s="1360"/>
      <c r="I67" s="1357">
        <f t="shared" si="62"/>
        <v>0</v>
      </c>
      <c r="J67" s="1357">
        <f t="shared" si="63"/>
        <v>0</v>
      </c>
      <c r="K67" s="1357">
        <f t="shared" si="64"/>
        <v>0</v>
      </c>
      <c r="L67" s="1343" t="str">
        <f t="shared" si="65"/>
        <v/>
      </c>
      <c r="M67" s="1343" t="str">
        <f t="shared" si="66"/>
        <v/>
      </c>
      <c r="N67" s="1343" t="str">
        <f t="shared" si="67"/>
        <v/>
      </c>
      <c r="O67" s="1358"/>
      <c r="P67" s="1358" t="s">
        <v>2173</v>
      </c>
      <c r="Q67" s="1358"/>
      <c r="R67" s="1358"/>
      <c r="S67" s="1358"/>
      <c r="T67" s="1337"/>
      <c r="U67" s="1337" t="s">
        <v>2174</v>
      </c>
      <c r="V67" s="1337"/>
      <c r="W67" s="1337"/>
      <c r="X67" s="1337"/>
      <c r="Y67" s="1344"/>
      <c r="Z67" s="1322"/>
      <c r="AA67" s="1329"/>
      <c r="AB67" s="1322"/>
      <c r="AC67" s="1322"/>
      <c r="AD67" s="1322"/>
    </row>
    <row r="68" ht="27" customHeight="1">
      <c r="A68" s="1339"/>
      <c r="B68" s="1345">
        <v>51</v>
      </c>
      <c r="C68" s="1337"/>
      <c r="D68" s="1355"/>
      <c r="E68" s="1337"/>
      <c r="F68" s="1337"/>
      <c r="G68" s="1337"/>
      <c r="H68" s="1360"/>
      <c r="I68" s="1357">
        <f t="shared" si="62"/>
        <v>0</v>
      </c>
      <c r="J68" s="1357">
        <f t="shared" si="63"/>
        <v>0</v>
      </c>
      <c r="K68" s="1357">
        <f t="shared" si="64"/>
        <v>0</v>
      </c>
      <c r="L68" s="1343" t="str">
        <f t="shared" si="65"/>
        <v/>
      </c>
      <c r="M68" s="1343" t="str">
        <f t="shared" si="66"/>
        <v/>
      </c>
      <c r="N68" s="1343" t="str">
        <f t="shared" si="67"/>
        <v/>
      </c>
      <c r="O68" s="1358"/>
      <c r="P68" s="1358" t="s">
        <v>2175</v>
      </c>
      <c r="Q68" s="1358"/>
      <c r="R68" s="1358"/>
      <c r="S68" s="1358"/>
      <c r="T68" s="1337"/>
      <c r="U68" s="1337" t="s">
        <v>2176</v>
      </c>
      <c r="V68" s="1337"/>
      <c r="W68" s="1337"/>
      <c r="X68" s="1337"/>
      <c r="Y68" s="1344"/>
      <c r="Z68" s="1322"/>
      <c r="AA68" s="1329"/>
      <c r="AB68" s="1322"/>
      <c r="AC68" s="1322"/>
      <c r="AD68" s="1322"/>
    </row>
    <row r="69" ht="9" customHeight="1">
      <c r="A69" s="1339"/>
      <c r="B69" s="1345">
        <v>52</v>
      </c>
      <c r="C69" s="1337"/>
      <c r="D69" s="1355" t="s">
        <v>2177</v>
      </c>
      <c r="E69" s="1337"/>
      <c r="F69" s="1337"/>
      <c r="G69" s="1337"/>
      <c r="H69" s="1360"/>
      <c r="I69" s="1357">
        <f t="shared" si="62"/>
        <v>0</v>
      </c>
      <c r="J69" s="1357">
        <f t="shared" si="63"/>
        <v>0</v>
      </c>
      <c r="K69" s="1357">
        <f t="shared" si="64"/>
        <v>0</v>
      </c>
      <c r="L69" s="1343" t="str">
        <f t="shared" si="65"/>
        <v/>
      </c>
      <c r="M69" s="1343" t="str">
        <f t="shared" si="66"/>
        <v/>
      </c>
      <c r="N69" s="1343" t="str">
        <f t="shared" si="67"/>
        <v/>
      </c>
      <c r="O69" s="1358"/>
      <c r="P69" s="1358" t="s">
        <v>150</v>
      </c>
      <c r="Q69" s="1358"/>
      <c r="R69" s="1358"/>
      <c r="S69" s="1358"/>
      <c r="T69" s="1337"/>
      <c r="U69" s="1337" t="s">
        <v>2178</v>
      </c>
      <c r="V69" s="1337"/>
      <c r="W69" s="1337"/>
      <c r="X69" s="1337"/>
      <c r="Y69" s="1344"/>
      <c r="Z69" s="1322"/>
      <c r="AA69" s="1329"/>
      <c r="AB69" s="1322"/>
      <c r="AC69" s="1322"/>
      <c r="AD69" s="1322"/>
    </row>
    <row r="70" ht="27" customHeight="1">
      <c r="A70" s="1339"/>
      <c r="B70" s="1345">
        <v>53</v>
      </c>
      <c r="C70" s="1337"/>
      <c r="D70" s="1355"/>
      <c r="E70" s="1337" t="s">
        <v>2162</v>
      </c>
      <c r="F70" s="1337"/>
      <c r="G70" s="1337"/>
      <c r="H70" s="1360"/>
      <c r="I70" s="1357">
        <f t="shared" si="62"/>
        <v>0</v>
      </c>
      <c r="J70" s="1357">
        <f t="shared" si="63"/>
        <v>0</v>
      </c>
      <c r="K70" s="1357">
        <f t="shared" si="64"/>
        <v>0</v>
      </c>
      <c r="L70" s="1343" t="str">
        <f t="shared" si="65"/>
        <v/>
      </c>
      <c r="M70" s="1343" t="str">
        <f t="shared" si="66"/>
        <v/>
      </c>
      <c r="N70" s="1343" t="str">
        <f t="shared" si="67"/>
        <v/>
      </c>
      <c r="O70" s="1358"/>
      <c r="P70" s="1358"/>
      <c r="Q70" s="1358" t="s">
        <v>94</v>
      </c>
      <c r="R70" s="1358"/>
      <c r="S70" s="1358"/>
      <c r="T70" s="1337"/>
      <c r="U70" s="1337"/>
      <c r="V70" s="1337" t="s">
        <v>2179</v>
      </c>
      <c r="W70" s="1337"/>
      <c r="X70" s="1337"/>
      <c r="Y70" s="1344"/>
      <c r="Z70" s="1322"/>
      <c r="AA70" s="1329"/>
      <c r="AB70" s="1322"/>
      <c r="AC70" s="1322"/>
      <c r="AD70" s="1322"/>
    </row>
    <row r="71" ht="36" customHeight="1">
      <c r="A71" s="1339"/>
      <c r="B71" s="1345">
        <v>54</v>
      </c>
      <c r="C71" s="1337"/>
      <c r="D71" s="1355"/>
      <c r="E71" s="1337" t="s">
        <v>2164</v>
      </c>
      <c r="F71" s="1337"/>
      <c r="G71" s="1337"/>
      <c r="H71" s="1360"/>
      <c r="I71" s="1357">
        <f t="shared" si="62"/>
        <v>0</v>
      </c>
      <c r="J71" s="1357">
        <f t="shared" si="63"/>
        <v>0</v>
      </c>
      <c r="K71" s="1357">
        <f t="shared" si="64"/>
        <v>0</v>
      </c>
      <c r="L71" s="1343" t="str">
        <f t="shared" si="65"/>
        <v/>
      </c>
      <c r="M71" s="1343" t="str">
        <f t="shared" si="66"/>
        <v/>
      </c>
      <c r="N71" s="1343" t="str">
        <f t="shared" si="67"/>
        <v/>
      </c>
      <c r="O71" s="1358"/>
      <c r="P71" s="1358"/>
      <c r="Q71" s="1358" t="s">
        <v>112</v>
      </c>
      <c r="R71" s="1358"/>
      <c r="S71" s="1358"/>
      <c r="T71" s="1337"/>
      <c r="U71" s="1337"/>
      <c r="V71" s="1337" t="s">
        <v>2180</v>
      </c>
      <c r="W71" s="1337"/>
      <c r="X71" s="1337"/>
      <c r="Y71" s="1344"/>
      <c r="Z71" s="1322"/>
      <c r="AA71" s="1329"/>
      <c r="AB71" s="1322"/>
      <c r="AC71" s="1322"/>
      <c r="AD71" s="1322"/>
    </row>
    <row r="72" ht="27" customHeight="1">
      <c r="A72" s="1339"/>
      <c r="B72" s="1345">
        <v>55</v>
      </c>
      <c r="C72" s="1337"/>
      <c r="D72" s="1355"/>
      <c r="E72" s="1337" t="s">
        <v>2166</v>
      </c>
      <c r="F72" s="1337"/>
      <c r="G72" s="1337"/>
      <c r="H72" s="1360"/>
      <c r="I72" s="1357">
        <f t="shared" si="62"/>
        <v>0</v>
      </c>
      <c r="J72" s="1357">
        <f t="shared" si="63"/>
        <v>0</v>
      </c>
      <c r="K72" s="1357">
        <f t="shared" si="64"/>
        <v>0</v>
      </c>
      <c r="L72" s="1343" t="str">
        <f t="shared" si="65"/>
        <v/>
      </c>
      <c r="M72" s="1343" t="str">
        <f t="shared" si="66"/>
        <v/>
      </c>
      <c r="N72" s="1343" t="str">
        <f t="shared" si="67"/>
        <v/>
      </c>
      <c r="O72" s="1358"/>
      <c r="P72" s="1358"/>
      <c r="Q72" s="1358" t="s">
        <v>148</v>
      </c>
      <c r="R72" s="1358"/>
      <c r="S72" s="1358"/>
      <c r="T72" s="1337"/>
      <c r="U72" s="1337"/>
      <c r="V72" s="1337" t="s">
        <v>2181</v>
      </c>
      <c r="W72" s="1337"/>
      <c r="X72" s="1337"/>
      <c r="Y72" s="1344"/>
      <c r="Z72" s="1322"/>
      <c r="AA72" s="1329"/>
      <c r="AB72" s="1322"/>
      <c r="AC72" s="1322"/>
      <c r="AD72" s="1322"/>
    </row>
    <row r="73" ht="36" customHeight="1">
      <c r="A73" s="1339"/>
      <c r="B73" s="1345">
        <v>56</v>
      </c>
      <c r="C73" s="1337"/>
      <c r="D73" s="1355"/>
      <c r="E73" s="1337" t="s">
        <v>2168</v>
      </c>
      <c r="F73" s="1337"/>
      <c r="G73" s="1337"/>
      <c r="H73" s="1360"/>
      <c r="I73" s="1357">
        <f t="shared" si="62"/>
        <v>0</v>
      </c>
      <c r="J73" s="1357">
        <f t="shared" si="63"/>
        <v>0</v>
      </c>
      <c r="K73" s="1357">
        <f t="shared" si="64"/>
        <v>0</v>
      </c>
      <c r="L73" s="1343" t="str">
        <f t="shared" si="65"/>
        <v/>
      </c>
      <c r="M73" s="1343" t="str">
        <f t="shared" si="66"/>
        <v/>
      </c>
      <c r="N73" s="1343" t="str">
        <f t="shared" si="67"/>
        <v/>
      </c>
      <c r="O73" s="1358"/>
      <c r="P73" s="1358"/>
      <c r="Q73" s="1358" t="s">
        <v>149</v>
      </c>
      <c r="R73" s="1358"/>
      <c r="S73" s="1358"/>
      <c r="T73" s="1337"/>
      <c r="U73" s="1337"/>
      <c r="V73" s="1337" t="s">
        <v>2182</v>
      </c>
      <c r="W73" s="1337"/>
      <c r="X73" s="1337"/>
      <c r="Y73" s="1344"/>
      <c r="Z73" s="1322"/>
      <c r="AA73" s="1329"/>
      <c r="AB73" s="1322"/>
      <c r="AC73" s="1322"/>
      <c r="AD73" s="1322"/>
    </row>
    <row r="74" ht="18" customHeight="1">
      <c r="A74" s="1339"/>
      <c r="B74" s="1345">
        <v>57</v>
      </c>
      <c r="C74" s="1337"/>
      <c r="D74" s="1355"/>
      <c r="E74" s="1337" t="s">
        <v>2177</v>
      </c>
      <c r="F74" s="1337"/>
      <c r="G74" s="1337"/>
      <c r="H74" s="1360"/>
      <c r="I74" s="1357">
        <f t="shared" si="62"/>
        <v>0</v>
      </c>
      <c r="J74" s="1357">
        <f t="shared" si="63"/>
        <v>0</v>
      </c>
      <c r="K74" s="1357">
        <f t="shared" si="64"/>
        <v>0</v>
      </c>
      <c r="L74" s="1343" t="str">
        <f t="shared" si="65"/>
        <v/>
      </c>
      <c r="M74" s="1343" t="str">
        <f t="shared" si="66"/>
        <v/>
      </c>
      <c r="N74" s="1343" t="str">
        <f t="shared" si="67"/>
        <v/>
      </c>
      <c r="O74" s="1358"/>
      <c r="P74" s="1358"/>
      <c r="Q74" s="1358" t="s">
        <v>150</v>
      </c>
      <c r="R74" s="1358"/>
      <c r="S74" s="1358"/>
      <c r="T74" s="1337"/>
      <c r="U74" s="1337"/>
      <c r="V74" s="1337" t="s">
        <v>2183</v>
      </c>
      <c r="W74" s="1337"/>
      <c r="X74" s="1337"/>
      <c r="Y74" s="1344"/>
      <c r="Z74" s="1322"/>
      <c r="AA74" s="1329"/>
      <c r="AB74" s="1322"/>
      <c r="AC74" s="1322"/>
      <c r="AD74" s="1322"/>
    </row>
    <row r="75" ht="18" customHeight="1">
      <c r="A75" s="1339"/>
      <c r="B75" s="1345">
        <v>58</v>
      </c>
      <c r="C75" s="1337"/>
      <c r="D75" s="1355"/>
      <c r="E75" s="1337"/>
      <c r="F75" s="1337" t="s">
        <v>2162</v>
      </c>
      <c r="G75" s="1337"/>
      <c r="H75" s="1360"/>
      <c r="I75" s="1357">
        <f t="shared" si="62"/>
        <v>0</v>
      </c>
      <c r="J75" s="1357">
        <f t="shared" si="63"/>
        <v>0</v>
      </c>
      <c r="K75" s="1357">
        <f t="shared" si="64"/>
        <v>0</v>
      </c>
      <c r="L75" s="1343" t="str">
        <f t="shared" si="65"/>
        <v/>
      </c>
      <c r="M75" s="1343" t="str">
        <f t="shared" si="66"/>
        <v/>
      </c>
      <c r="N75" s="1343" t="str">
        <f t="shared" si="67"/>
        <v/>
      </c>
      <c r="O75" s="1358"/>
      <c r="P75" s="1358"/>
      <c r="Q75" s="1358"/>
      <c r="R75" s="1358" t="s">
        <v>94</v>
      </c>
      <c r="S75" s="1358"/>
      <c r="T75" s="1337"/>
      <c r="U75" s="1337"/>
      <c r="V75" s="1337"/>
      <c r="W75" s="1337" t="s">
        <v>2184</v>
      </c>
      <c r="X75" s="1337"/>
      <c r="Y75" s="1344"/>
      <c r="Z75" s="1322"/>
      <c r="AA75" s="1329"/>
      <c r="AB75" s="1322"/>
      <c r="AC75" s="1322"/>
      <c r="AD75" s="1322"/>
    </row>
    <row r="76" ht="36" customHeight="1">
      <c r="A76" s="1339"/>
      <c r="B76" s="1345">
        <v>59</v>
      </c>
      <c r="C76" s="1337"/>
      <c r="D76" s="1355"/>
      <c r="E76" s="1337"/>
      <c r="F76" s="1337" t="s">
        <v>2164</v>
      </c>
      <c r="G76" s="1337"/>
      <c r="H76" s="1360"/>
      <c r="I76" s="1357">
        <f t="shared" si="62"/>
        <v>0</v>
      </c>
      <c r="J76" s="1357">
        <f t="shared" si="63"/>
        <v>0</v>
      </c>
      <c r="K76" s="1357">
        <f t="shared" si="64"/>
        <v>0</v>
      </c>
      <c r="L76" s="1343" t="str">
        <f t="shared" si="65"/>
        <v/>
      </c>
      <c r="M76" s="1343" t="str">
        <f t="shared" si="66"/>
        <v/>
      </c>
      <c r="N76" s="1343" t="str">
        <f t="shared" si="67"/>
        <v/>
      </c>
      <c r="O76" s="1358"/>
      <c r="P76" s="1358"/>
      <c r="Q76" s="1358"/>
      <c r="R76" s="1358" t="s">
        <v>112</v>
      </c>
      <c r="S76" s="1358"/>
      <c r="T76" s="1337"/>
      <c r="U76" s="1337"/>
      <c r="V76" s="1337"/>
      <c r="W76" s="1337" t="s">
        <v>2185</v>
      </c>
      <c r="X76" s="1337"/>
      <c r="Y76" s="1344"/>
      <c r="Z76" s="1322"/>
      <c r="AA76" s="1329"/>
      <c r="AB76" s="1322"/>
      <c r="AC76" s="1322"/>
      <c r="AD76" s="1322"/>
    </row>
    <row r="77" ht="18" customHeight="1">
      <c r="A77" s="1339"/>
      <c r="B77" s="1345">
        <v>60</v>
      </c>
      <c r="C77" s="1337"/>
      <c r="D77" s="1355"/>
      <c r="E77" s="1337"/>
      <c r="F77" s="1337" t="s">
        <v>2166</v>
      </c>
      <c r="G77" s="1337"/>
      <c r="H77" s="1360"/>
      <c r="I77" s="1357">
        <f t="shared" si="62"/>
        <v>0</v>
      </c>
      <c r="J77" s="1357">
        <f t="shared" si="63"/>
        <v>0</v>
      </c>
      <c r="K77" s="1357">
        <f t="shared" si="64"/>
        <v>0</v>
      </c>
      <c r="L77" s="1343" t="str">
        <f t="shared" si="65"/>
        <v/>
      </c>
      <c r="M77" s="1343" t="str">
        <f t="shared" si="66"/>
        <v/>
      </c>
      <c r="N77" s="1343" t="str">
        <f t="shared" si="67"/>
        <v/>
      </c>
      <c r="O77" s="1358"/>
      <c r="P77" s="1358"/>
      <c r="Q77" s="1358"/>
      <c r="R77" s="1358" t="s">
        <v>148</v>
      </c>
      <c r="S77" s="1358"/>
      <c r="T77" s="1337"/>
      <c r="U77" s="1337"/>
      <c r="V77" s="1337"/>
      <c r="W77" s="1337" t="s">
        <v>2186</v>
      </c>
      <c r="X77" s="1337"/>
      <c r="Y77" s="1344"/>
      <c r="Z77" s="1322"/>
      <c r="AA77" s="1329"/>
      <c r="AB77" s="1322"/>
      <c r="AC77" s="1322"/>
      <c r="AD77" s="1322"/>
    </row>
    <row r="78" ht="72" customHeight="1">
      <c r="A78" s="1339"/>
      <c r="B78" s="1345">
        <v>61</v>
      </c>
      <c r="C78" s="1337" t="s">
        <v>2162</v>
      </c>
      <c r="D78" s="1355"/>
      <c r="E78" s="1337"/>
      <c r="F78" s="1337"/>
      <c r="G78" s="1337"/>
      <c r="H78" s="1360"/>
      <c r="I78" s="1357" t="str">
        <f t="shared" si="62"/>
        <v>7</v>
      </c>
      <c r="J78" s="1357" t="str">
        <f t="shared" si="63"/>
        <v xml:space="preserve">Установленная тепловая мощность объектов основных фондов, используемых для теплоснабжения, в том числе по каждому источнику тепловой энергии</v>
      </c>
      <c r="K78" s="1357" t="str">
        <f t="shared" si="64"/>
        <v xml:space="preserve">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1343" t="str">
        <f t="shared" si="65"/>
        <v>7</v>
      </c>
      <c r="M78" s="1343" t="str">
        <f t="shared" si="66"/>
        <v xml:space="preserve">Установленная тепловая мощность объектов основных фондов, используемых для теплоснабжения, в том числе по каждому источнику тепловой энергии</v>
      </c>
      <c r="N78" s="1343" t="str">
        <f t="shared" si="67"/>
        <v xml:space="preserve">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1358" t="s">
        <v>94</v>
      </c>
      <c r="P78" s="1358"/>
      <c r="Q78" s="1358"/>
      <c r="R78" s="1358"/>
      <c r="S78" s="1358"/>
      <c r="T78" s="1337" t="s">
        <v>638</v>
      </c>
      <c r="U78" s="1337"/>
      <c r="V78" s="1337"/>
      <c r="W78" s="1337"/>
      <c r="X78" s="1337"/>
      <c r="Y78" s="1344"/>
      <c r="Z78" s="1322" t="s">
        <v>2187</v>
      </c>
      <c r="AA78" s="1329"/>
      <c r="AB78" s="1322"/>
      <c r="AC78" s="1322"/>
      <c r="AD78" s="1322"/>
    </row>
    <row r="79" ht="36" customHeight="1">
      <c r="A79" s="1339"/>
      <c r="B79" s="1345">
        <v>62</v>
      </c>
      <c r="C79" s="1337" t="s">
        <v>2164</v>
      </c>
      <c r="D79" s="1355"/>
      <c r="E79" s="1337"/>
      <c r="F79" s="1337"/>
      <c r="G79" s="1337"/>
      <c r="H79" s="1360"/>
      <c r="I79" s="1357" t="str">
        <f t="shared" si="62"/>
        <v>8</v>
      </c>
      <c r="J79" s="1357" t="str">
        <f t="shared" si="63"/>
        <v xml:space="preserve">Тепловая нагрузка по договорам, заключенным в рамках осуществления регулируемых видов деятельности</v>
      </c>
      <c r="K79" s="1357" t="str">
        <f t="shared" si="64"/>
        <v xml:space="preserve">Регулируемыми организациями указывается информация по договорам, заключенным в рамках осуществления регулируемых видов деятельности</v>
      </c>
      <c r="L79" s="1343" t="str">
        <f t="shared" si="65"/>
        <v>8</v>
      </c>
      <c r="M79" s="1343" t="str">
        <f t="shared" si="66"/>
        <v xml:space="preserve">Тепловая нагрузка по договорам, заключенным в рамках осуществления регулируемых видов деятельности</v>
      </c>
      <c r="N79" s="1343" t="str">
        <f t="shared" si="67"/>
        <v xml:space="preserve">Регулируемыми организациями указывается информация по договорам, заключенным в рамках осуществления регулируемых видов деятельности</v>
      </c>
      <c r="O79" s="1358" t="s">
        <v>112</v>
      </c>
      <c r="P79" s="1358"/>
      <c r="Q79" s="1358"/>
      <c r="R79" s="1358"/>
      <c r="S79" s="1358"/>
      <c r="T79" s="1337" t="s">
        <v>2188</v>
      </c>
      <c r="U79" s="1337"/>
      <c r="V79" s="1337"/>
      <c r="W79" s="1337"/>
      <c r="X79" s="1337"/>
      <c r="Y79" s="1344"/>
      <c r="Z79" s="1322" t="s">
        <v>2189</v>
      </c>
      <c r="AA79" s="1329"/>
      <c r="AB79" s="1322"/>
      <c r="AC79" s="1322"/>
      <c r="AD79" s="1322"/>
    </row>
    <row r="80" ht="45" customHeight="1">
      <c r="A80" s="1339"/>
      <c r="B80" s="1345">
        <v>63</v>
      </c>
      <c r="C80" s="1337" t="s">
        <v>2166</v>
      </c>
      <c r="D80" s="1355"/>
      <c r="E80" s="1337"/>
      <c r="F80" s="1337"/>
      <c r="G80" s="1337"/>
      <c r="H80" s="1360"/>
      <c r="I80" s="1357" t="str">
        <f t="shared" si="62"/>
        <v>9</v>
      </c>
      <c r="J80" s="1357" t="str">
        <f t="shared" si="63"/>
        <v xml:space="preserve">Объем вырабатываемой регулируемой организацией тепловой энергии в рамках осуществления регулируемых видов деятельности</v>
      </c>
      <c r="K80" s="1357" t="str">
        <f t="shared" si="64"/>
        <v xml:space="preserve">Регулируемыми организациями указывается информация тепловой энергии, выработанной в рамках осуществления регулируемых видов деятельности.</v>
      </c>
      <c r="L80" s="1343" t="str">
        <f t="shared" si="65"/>
        <v>9</v>
      </c>
      <c r="M80" s="1343" t="str">
        <f t="shared" si="66"/>
        <v xml:space="preserve">Объем вырабатываемой регулируемой организацией тепловой энергии в рамках осуществления регулируемых видов деятельности</v>
      </c>
      <c r="N80" s="1343" t="str">
        <f t="shared" si="67"/>
        <v xml:space="preserve">Регулируемыми организациями указывается информация тепловой энергии, выработанной в рамках осуществления регулируемых видов деятельности.</v>
      </c>
      <c r="O80" s="1358" t="s">
        <v>148</v>
      </c>
      <c r="P80" s="1358"/>
      <c r="Q80" s="1358"/>
      <c r="R80" s="1358"/>
      <c r="S80" s="1358"/>
      <c r="T80" s="1337" t="s">
        <v>2190</v>
      </c>
      <c r="U80" s="1337"/>
      <c r="V80" s="1337"/>
      <c r="W80" s="1337"/>
      <c r="X80" s="1337"/>
      <c r="Y80" s="1344"/>
      <c r="Z80" s="1322" t="s">
        <v>2191</v>
      </c>
      <c r="AA80" s="1329"/>
      <c r="AB80" s="1322"/>
      <c r="AC80" s="1322"/>
      <c r="AD80" s="1322"/>
    </row>
    <row r="81" ht="36" customHeight="1">
      <c r="A81" s="1339"/>
      <c r="B81" s="1345">
        <v>64</v>
      </c>
      <c r="C81" s="1337" t="s">
        <v>2168</v>
      </c>
      <c r="D81" s="1355"/>
      <c r="E81" s="1337"/>
      <c r="F81" s="1337"/>
      <c r="G81" s="1337"/>
      <c r="H81" s="1360"/>
      <c r="I81" s="1357" t="str">
        <f t="shared" si="62"/>
        <v>9.1</v>
      </c>
      <c r="J81" s="1357" t="str">
        <f t="shared" si="63"/>
        <v xml:space="preserve">Объем приобретаемой регулируемой организацией тепловой энергии в рамках осуществления регулируемых видов деятельности</v>
      </c>
      <c r="K81" s="1357" t="str">
        <f t="shared" si="64"/>
        <v xml:space="preserve">Информация указывается только едиными теплоснабжающими организациями.</v>
      </c>
      <c r="L81" s="1343" t="str">
        <f t="shared" si="65"/>
        <v>9.1</v>
      </c>
      <c r="M81" s="1343" t="str">
        <f t="shared" si="66"/>
        <v xml:space="preserve">Объем приобретаемой регулируемой организацией тепловой энергии в рамках осуществления регулируемых видов деятельности</v>
      </c>
      <c r="N81" s="1343" t="str">
        <f t="shared" si="67"/>
        <v xml:space="preserve">Информация указывается только едиными теплоснабжающими организациями.</v>
      </c>
      <c r="O81" s="1358" t="s">
        <v>2074</v>
      </c>
      <c r="P81" s="1358"/>
      <c r="Q81" s="1358"/>
      <c r="R81" s="1358"/>
      <c r="S81" s="1358"/>
      <c r="T81" s="1337" t="s">
        <v>2192</v>
      </c>
      <c r="U81" s="1337"/>
      <c r="V81" s="1337"/>
      <c r="W81" s="1337"/>
      <c r="X81" s="1337"/>
      <c r="Y81" s="1344"/>
      <c r="Z81" s="1322" t="s">
        <v>2193</v>
      </c>
      <c r="AA81" s="1329"/>
      <c r="AB81" s="1322"/>
      <c r="AC81" s="1322"/>
      <c r="AD81" s="1322"/>
    </row>
    <row r="82" ht="90" customHeight="1">
      <c r="A82" s="1339"/>
      <c r="B82" s="1345">
        <v>65</v>
      </c>
      <c r="C82" s="1337" t="s">
        <v>2177</v>
      </c>
      <c r="D82" s="1355"/>
      <c r="E82" s="1337"/>
      <c r="F82" s="1337"/>
      <c r="G82" s="1337"/>
      <c r="H82" s="1360"/>
      <c r="I82" s="1357" t="str">
        <f t="shared" ref="I82:I99" si="68">INDEX(TEMPLATE_NUMBER_POINT_FHD,B82,MATCH(TEMPLATE_SPHERE,TEMPLATE_SPHERE_LIST_FOR_NOTE,0))</f>
        <v>10</v>
      </c>
      <c r="J82" s="1357" t="str">
        <f t="shared" ref="J82:J99" si="69">INDEX(TEMPLATE_DATA_POINT_FHD,B82,MATCH(TEMPLATE_SPHERE,TEMPLATE_SPHERE_LIST_FOR_NOTE,0))</f>
        <v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357" t="str">
        <f t="shared" ref="K82:K99" si="70">INDEX(TEMPLATE_NOTE_POINT_FHD,B82,MATCH(TEMPLATE_SPHERE,TEMPLATE_SPHERE_LIST_FOR_NOTE,0))</f>
        <v xml:space="preserve">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1343" t="str">
        <f t="shared" ref="L82:L99" si="71">IF(I82=0,"",I82)</f>
        <v>10</v>
      </c>
      <c r="M82" s="1343" t="str">
        <f t="shared" ref="M82:M99" si="72">IF(J82=0,"",J82)</f>
        <v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1343" t="str">
        <f t="shared" ref="N82:N99" si="73">IF(K82=0,"",K82)</f>
        <v xml:space="preserve">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1358" t="s">
        <v>149</v>
      </c>
      <c r="P82" s="1358"/>
      <c r="Q82" s="1358"/>
      <c r="R82" s="1358"/>
      <c r="S82" s="1358"/>
      <c r="T82" s="1337" t="s">
        <v>2194</v>
      </c>
      <c r="U82" s="1337"/>
      <c r="V82" s="1337"/>
      <c r="W82" s="1337"/>
      <c r="X82" s="1337"/>
      <c r="Y82" s="1344"/>
      <c r="Z82" s="1322" t="s">
        <v>2195</v>
      </c>
      <c r="AA82" s="1329"/>
      <c r="AB82" s="1322"/>
      <c r="AC82" s="1322"/>
      <c r="AD82" s="1322"/>
    </row>
    <row r="83" ht="9" customHeight="1">
      <c r="A83" s="1339"/>
      <c r="B83" s="1345">
        <v>66</v>
      </c>
      <c r="C83" s="1337"/>
      <c r="D83" s="1355"/>
      <c r="E83" s="1337"/>
      <c r="F83" s="1337"/>
      <c r="G83" s="1337"/>
      <c r="H83" s="1360"/>
      <c r="I83" s="1357" t="str">
        <f t="shared" si="68"/>
        <v>10.1</v>
      </c>
      <c r="J83" s="1357" t="str">
        <f t="shared" si="69"/>
        <v xml:space="preserve">По приборам учёта </v>
      </c>
      <c r="K83" s="1357">
        <f t="shared" si="70"/>
        <v>0</v>
      </c>
      <c r="L83" s="1343" t="str">
        <f t="shared" si="71"/>
        <v>10.1</v>
      </c>
      <c r="M83" s="1343" t="str">
        <f t="shared" si="72"/>
        <v xml:space="preserve">По приборам учёта </v>
      </c>
      <c r="N83" s="1343" t="str">
        <f t="shared" si="73"/>
        <v/>
      </c>
      <c r="O83" s="1358" t="s">
        <v>2083</v>
      </c>
      <c r="P83" s="1358"/>
      <c r="Q83" s="1358"/>
      <c r="R83" s="1358"/>
      <c r="S83" s="1358"/>
      <c r="T83" s="1337" t="s">
        <v>2196</v>
      </c>
      <c r="U83" s="1337"/>
      <c r="V83" s="1337"/>
      <c r="W83" s="1337"/>
      <c r="X83" s="1337"/>
      <c r="Y83" s="1344"/>
      <c r="Z83" s="1322"/>
      <c r="AA83" s="1329"/>
      <c r="AB83" s="1322"/>
      <c r="AC83" s="1322"/>
      <c r="AD83" s="1322"/>
    </row>
    <row r="84" ht="54" customHeight="1">
      <c r="A84" s="1339"/>
      <c r="B84" s="1345">
        <v>67</v>
      </c>
      <c r="C84" s="1337"/>
      <c r="D84" s="1355"/>
      <c r="E84" s="1337"/>
      <c r="F84" s="1337"/>
      <c r="G84" s="1337"/>
      <c r="H84" s="1360"/>
      <c r="I84" s="1357" t="str">
        <f t="shared" si="68"/>
        <v>10.1.1</v>
      </c>
      <c r="J84" s="1357" t="str">
        <f t="shared" si="69"/>
        <v xml:space="preserve">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357">
        <f t="shared" si="70"/>
        <v>0</v>
      </c>
      <c r="L84" s="1343" t="str">
        <f t="shared" si="71"/>
        <v>10.1.1</v>
      </c>
      <c r="M84" s="1343" t="str">
        <f t="shared" si="72"/>
        <v xml:space="preserve">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1343" t="str">
        <f t="shared" si="73"/>
        <v/>
      </c>
      <c r="O84" s="1358" t="s">
        <v>2197</v>
      </c>
      <c r="P84" s="1358"/>
      <c r="Q84" s="1358"/>
      <c r="R84" s="1358"/>
      <c r="S84" s="1358"/>
      <c r="T84" s="1337" t="s">
        <v>2198</v>
      </c>
      <c r="U84" s="1337"/>
      <c r="V84" s="1337"/>
      <c r="W84" s="1337"/>
      <c r="X84" s="1337"/>
      <c r="Y84" s="1344"/>
      <c r="Z84" s="1322"/>
      <c r="AA84" s="1329"/>
      <c r="AB84" s="1322"/>
      <c r="AC84" s="1322"/>
      <c r="AD84" s="1322"/>
    </row>
    <row r="85" ht="9" customHeight="1">
      <c r="A85" s="1339"/>
      <c r="B85" s="1345">
        <v>68</v>
      </c>
      <c r="C85" s="1337"/>
      <c r="D85" s="1355"/>
      <c r="E85" s="1337"/>
      <c r="F85" s="1337"/>
      <c r="G85" s="1337"/>
      <c r="H85" s="1360"/>
      <c r="I85" s="1357" t="str">
        <f t="shared" si="68"/>
        <v>10.2</v>
      </c>
      <c r="J85" s="1357" t="str">
        <f t="shared" si="69"/>
        <v xml:space="preserve">Расчётным путём</v>
      </c>
      <c r="K85" s="1357">
        <f t="shared" si="70"/>
        <v>0</v>
      </c>
      <c r="L85" s="1343" t="str">
        <f t="shared" si="71"/>
        <v>10.2</v>
      </c>
      <c r="M85" s="1343" t="str">
        <f t="shared" si="72"/>
        <v xml:space="preserve">Расчётным путём</v>
      </c>
      <c r="N85" s="1343" t="str">
        <f t="shared" si="73"/>
        <v/>
      </c>
      <c r="O85" s="1358" t="s">
        <v>2087</v>
      </c>
      <c r="P85" s="1358"/>
      <c r="Q85" s="1358"/>
      <c r="R85" s="1358"/>
      <c r="S85" s="1358"/>
      <c r="T85" s="1337" t="s">
        <v>2199</v>
      </c>
      <c r="U85" s="1337"/>
      <c r="V85" s="1337"/>
      <c r="W85" s="1337"/>
      <c r="X85" s="1337"/>
      <c r="Y85" s="1344"/>
      <c r="Z85" s="1322"/>
      <c r="AA85" s="1329"/>
      <c r="AB85" s="1322"/>
      <c r="AC85" s="1322"/>
      <c r="AD85" s="1322"/>
    </row>
    <row r="86" ht="27" customHeight="1">
      <c r="A86" s="1339"/>
      <c r="B86" s="1345">
        <v>69</v>
      </c>
      <c r="C86" s="1337"/>
      <c r="D86" s="1355"/>
      <c r="E86" s="1337"/>
      <c r="F86" s="1337"/>
      <c r="G86" s="1337"/>
      <c r="H86" s="1360"/>
      <c r="I86" s="1357" t="str">
        <f t="shared" si="68"/>
        <v>10.3</v>
      </c>
      <c r="J86" s="1357" t="str">
        <f t="shared" si="69"/>
        <v xml:space="preserve">По нормативам потребления коммунальных услуг и нормативам потребления коммунальных ресурсов</v>
      </c>
      <c r="K86" s="1357">
        <f t="shared" si="70"/>
        <v>0</v>
      </c>
      <c r="L86" s="1343" t="str">
        <f t="shared" si="71"/>
        <v>10.3</v>
      </c>
      <c r="M86" s="1343" t="str">
        <f t="shared" si="72"/>
        <v xml:space="preserve">По нормативам потребления коммунальных услуг и нормативам потребления коммунальных ресурсов</v>
      </c>
      <c r="N86" s="1343" t="str">
        <f t="shared" si="73"/>
        <v/>
      </c>
      <c r="O86" s="1358" t="s">
        <v>2200</v>
      </c>
      <c r="P86" s="1358"/>
      <c r="Q86" s="1358"/>
      <c r="R86" s="1358"/>
      <c r="S86" s="1358"/>
      <c r="T86" s="1337" t="s">
        <v>2201</v>
      </c>
      <c r="U86" s="1337"/>
      <c r="V86" s="1337"/>
      <c r="W86" s="1337"/>
      <c r="X86" s="1337"/>
      <c r="Y86" s="1344"/>
      <c r="Z86" s="1322"/>
      <c r="AA86" s="1329"/>
      <c r="AB86" s="1322"/>
      <c r="AC86" s="1322"/>
      <c r="AD86" s="1322"/>
    </row>
    <row r="87" ht="36" customHeight="1">
      <c r="A87" s="1339"/>
      <c r="B87" s="1345">
        <v>70</v>
      </c>
      <c r="C87" s="1337" t="s">
        <v>2202</v>
      </c>
      <c r="D87" s="1355"/>
      <c r="E87" s="1337"/>
      <c r="F87" s="1337"/>
      <c r="G87" s="1337"/>
      <c r="H87" s="1360"/>
      <c r="I87" s="1357" t="str">
        <f t="shared" si="68"/>
        <v>11</v>
      </c>
      <c r="J87" s="1357" t="str">
        <f t="shared" si="69"/>
        <v xml:space="preserve">Нормативы технологических потерь при передаче тепловой энергии, теплоносителя по тепловым сетям, утвержденные уполномоченным органом</v>
      </c>
      <c r="K87" s="1357">
        <f t="shared" si="70"/>
        <v>0</v>
      </c>
      <c r="L87" s="1343" t="str">
        <f t="shared" si="71"/>
        <v>11</v>
      </c>
      <c r="M87" s="1343" t="str">
        <f t="shared" si="72"/>
        <v xml:space="preserve">Нормативы технологических потерь при передаче тепловой энергии, теплоносителя по тепловым сетям, утвержденные уполномоченным органом</v>
      </c>
      <c r="N87" s="1343" t="str">
        <f t="shared" si="73"/>
        <v/>
      </c>
      <c r="O87" s="1358" t="s">
        <v>150</v>
      </c>
      <c r="P87" s="1358"/>
      <c r="Q87" s="1358"/>
      <c r="R87" s="1358"/>
      <c r="S87" s="1358"/>
      <c r="T87" s="1337" t="s">
        <v>2203</v>
      </c>
      <c r="U87" s="1337"/>
      <c r="V87" s="1337"/>
      <c r="W87" s="1337"/>
      <c r="X87" s="1337"/>
      <c r="Y87" s="1344"/>
      <c r="Z87" s="1322"/>
      <c r="AA87" s="1329"/>
      <c r="AB87" s="1322"/>
      <c r="AC87" s="1322"/>
      <c r="AD87" s="1322"/>
    </row>
    <row r="88" ht="18" customHeight="1">
      <c r="A88" s="1339"/>
      <c r="B88" s="1345">
        <v>71</v>
      </c>
      <c r="C88" s="1337" t="s">
        <v>2204</v>
      </c>
      <c r="D88" s="1355"/>
      <c r="E88" s="1337"/>
      <c r="F88" s="1337"/>
      <c r="G88" s="1337"/>
      <c r="H88" s="1360"/>
      <c r="I88" s="1357" t="str">
        <f t="shared" si="68"/>
        <v>12</v>
      </c>
      <c r="J88" s="1357" t="str">
        <f t="shared" si="69"/>
        <v xml:space="preserve">Фактический объем потерь при передаче тепловой энергии</v>
      </c>
      <c r="K88" s="1357">
        <f t="shared" si="70"/>
        <v>0</v>
      </c>
      <c r="L88" s="1343" t="str">
        <f t="shared" si="71"/>
        <v>12</v>
      </c>
      <c r="M88" s="1343" t="str">
        <f t="shared" si="72"/>
        <v xml:space="preserve">Фактический объем потерь при передаче тепловой энергии</v>
      </c>
      <c r="N88" s="1343" t="str">
        <f t="shared" si="73"/>
        <v/>
      </c>
      <c r="O88" s="1358" t="s">
        <v>151</v>
      </c>
      <c r="P88" s="1358"/>
      <c r="Q88" s="1358"/>
      <c r="R88" s="1358"/>
      <c r="S88" s="1358"/>
      <c r="T88" s="1337" t="s">
        <v>670</v>
      </c>
      <c r="U88" s="1337"/>
      <c r="V88" s="1337"/>
      <c r="W88" s="1337"/>
      <c r="X88" s="1337"/>
      <c r="Y88" s="1344"/>
      <c r="Z88" s="1322"/>
      <c r="AA88" s="1329"/>
      <c r="AB88" s="1322"/>
      <c r="AC88" s="1322"/>
      <c r="AD88" s="1322"/>
    </row>
    <row r="89" ht="18" customHeight="1">
      <c r="A89" s="1339"/>
      <c r="B89" s="1345">
        <v>72</v>
      </c>
      <c r="C89" s="1337" t="s">
        <v>2205</v>
      </c>
      <c r="D89" s="1355" t="s">
        <v>2202</v>
      </c>
      <c r="E89" s="1337" t="s">
        <v>2202</v>
      </c>
      <c r="F89" s="1337" t="s">
        <v>2168</v>
      </c>
      <c r="G89" s="1337"/>
      <c r="H89" s="1360"/>
      <c r="I89" s="1357" t="str">
        <f t="shared" si="68"/>
        <v>13</v>
      </c>
      <c r="J89" s="1357" t="str">
        <f t="shared" si="69"/>
        <v xml:space="preserve">Среднесписочная численность основного производственного персонала</v>
      </c>
      <c r="K89" s="1357">
        <f t="shared" si="70"/>
        <v>0</v>
      </c>
      <c r="L89" s="1343" t="str">
        <f t="shared" si="71"/>
        <v>13</v>
      </c>
      <c r="M89" s="1343" t="str">
        <f t="shared" si="72"/>
        <v xml:space="preserve">Среднесписочная численность основного производственного персонала</v>
      </c>
      <c r="N89" s="1343" t="str">
        <f t="shared" si="73"/>
        <v/>
      </c>
      <c r="O89" s="1358" t="s">
        <v>152</v>
      </c>
      <c r="P89" s="1358" t="s">
        <v>151</v>
      </c>
      <c r="Q89" s="1358" t="s">
        <v>151</v>
      </c>
      <c r="R89" s="1358" t="s">
        <v>149</v>
      </c>
      <c r="S89" s="1358"/>
      <c r="T89" s="1337" t="s">
        <v>678</v>
      </c>
      <c r="U89" s="1337" t="s">
        <v>678</v>
      </c>
      <c r="V89" s="1337" t="s">
        <v>678</v>
      </c>
      <c r="W89" s="1337" t="s">
        <v>678</v>
      </c>
      <c r="X89" s="1337"/>
      <c r="Y89" s="1344"/>
      <c r="Z89" s="1322"/>
      <c r="AA89" s="1329"/>
      <c r="AB89" s="1322"/>
      <c r="AC89" s="1322"/>
      <c r="AD89" s="1322"/>
    </row>
    <row r="90" ht="27" customHeight="1">
      <c r="A90" s="1339"/>
      <c r="B90" s="1345">
        <v>73</v>
      </c>
      <c r="C90" s="1337" t="s">
        <v>2206</v>
      </c>
      <c r="D90" s="1355"/>
      <c r="E90" s="1337"/>
      <c r="F90" s="1337"/>
      <c r="G90" s="1337"/>
      <c r="H90" s="1360"/>
      <c r="I90" s="1357" t="str">
        <f t="shared" si="68"/>
        <v>14</v>
      </c>
      <c r="J90" s="1357" t="str">
        <f t="shared" si="69"/>
        <v xml:space="preserve">Среднесписочная численность административно-управленческого персонала</v>
      </c>
      <c r="K90" s="1357">
        <f t="shared" si="70"/>
        <v>0</v>
      </c>
      <c r="L90" s="1343" t="str">
        <f t="shared" si="71"/>
        <v>14</v>
      </c>
      <c r="M90" s="1343" t="str">
        <f t="shared" si="72"/>
        <v xml:space="preserve">Среднесписочная численность административно-управленческого персонала</v>
      </c>
      <c r="N90" s="1343" t="str">
        <f t="shared" si="73"/>
        <v/>
      </c>
      <c r="O90" s="1358" t="s">
        <v>153</v>
      </c>
      <c r="P90" s="1358"/>
      <c r="Q90" s="1358"/>
      <c r="R90" s="1358"/>
      <c r="S90" s="1358"/>
      <c r="T90" s="1337" t="s">
        <v>680</v>
      </c>
      <c r="U90" s="1337"/>
      <c r="V90" s="1337"/>
      <c r="W90" s="1337"/>
      <c r="X90" s="1337"/>
      <c r="Y90" s="1344"/>
      <c r="Z90" s="1322"/>
      <c r="AA90" s="1329"/>
      <c r="AB90" s="1322"/>
      <c r="AC90" s="1322"/>
      <c r="AD90" s="1322"/>
    </row>
    <row r="91" ht="18" customHeight="1">
      <c r="A91" s="1339"/>
      <c r="B91" s="1345">
        <v>74</v>
      </c>
      <c r="C91" s="1337"/>
      <c r="D91" s="1355" t="s">
        <v>2204</v>
      </c>
      <c r="E91" s="1337" t="s">
        <v>2204</v>
      </c>
      <c r="F91" s="1337"/>
      <c r="G91" s="1337"/>
      <c r="H91" s="1360"/>
      <c r="I91" s="1357">
        <f t="shared" si="68"/>
        <v>0</v>
      </c>
      <c r="J91" s="1357">
        <f t="shared" si="69"/>
        <v>0</v>
      </c>
      <c r="K91" s="1357">
        <f t="shared" si="70"/>
        <v>0</v>
      </c>
      <c r="L91" s="1343" t="str">
        <f t="shared" si="71"/>
        <v/>
      </c>
      <c r="M91" s="1343" t="str">
        <f t="shared" si="72"/>
        <v/>
      </c>
      <c r="N91" s="1343" t="str">
        <f t="shared" si="73"/>
        <v/>
      </c>
      <c r="O91" s="1358"/>
      <c r="P91" s="1358" t="s">
        <v>152</v>
      </c>
      <c r="Q91" s="1358" t="s">
        <v>152</v>
      </c>
      <c r="R91" s="1358"/>
      <c r="S91" s="1358"/>
      <c r="T91" s="1337"/>
      <c r="U91" s="1337" t="s">
        <v>2207</v>
      </c>
      <c r="V91" s="1337" t="s">
        <v>2207</v>
      </c>
      <c r="W91" s="1337"/>
      <c r="X91" s="1337"/>
      <c r="Y91" s="1344"/>
      <c r="Z91" s="1322"/>
      <c r="AA91" s="1329"/>
      <c r="AB91" s="1322"/>
      <c r="AC91" s="1322"/>
      <c r="AD91" s="1322"/>
    </row>
    <row r="92" ht="27" customHeight="1">
      <c r="A92" s="1339"/>
      <c r="B92" s="1345">
        <v>75</v>
      </c>
      <c r="C92" s="1337"/>
      <c r="D92" s="1355" t="s">
        <v>2205</v>
      </c>
      <c r="E92" s="1337"/>
      <c r="F92" s="1337"/>
      <c r="G92" s="1337"/>
      <c r="H92" s="1360"/>
      <c r="I92" s="1357">
        <f t="shared" si="68"/>
        <v>0</v>
      </c>
      <c r="J92" s="1357">
        <f t="shared" si="69"/>
        <v>0</v>
      </c>
      <c r="K92" s="1357">
        <f t="shared" si="70"/>
        <v>0</v>
      </c>
      <c r="L92" s="1343" t="str">
        <f t="shared" si="71"/>
        <v/>
      </c>
      <c r="M92" s="1343" t="str">
        <f t="shared" si="72"/>
        <v/>
      </c>
      <c r="N92" s="1343" t="str">
        <f t="shared" si="73"/>
        <v/>
      </c>
      <c r="O92" s="1358"/>
      <c r="P92" s="1358" t="s">
        <v>153</v>
      </c>
      <c r="Q92" s="1358"/>
      <c r="R92" s="1358"/>
      <c r="S92" s="1358"/>
      <c r="T92" s="1337"/>
      <c r="U92" s="1337" t="s">
        <v>2208</v>
      </c>
      <c r="V92" s="1337"/>
      <c r="W92" s="1337"/>
      <c r="X92" s="1337"/>
      <c r="Y92" s="1344"/>
      <c r="Z92" s="1322"/>
      <c r="AA92" s="1329" t="s">
        <v>2209</v>
      </c>
      <c r="AB92" s="1322"/>
      <c r="AC92" s="1322"/>
      <c r="AD92" s="1322"/>
    </row>
    <row r="93" ht="27" customHeight="1">
      <c r="A93" s="1339"/>
      <c r="B93" s="1345">
        <v>76</v>
      </c>
      <c r="C93" s="1337"/>
      <c r="D93" s="1355"/>
      <c r="E93" s="1337"/>
      <c r="F93" s="1337"/>
      <c r="G93" s="1337"/>
      <c r="H93" s="1360"/>
      <c r="I93" s="1357">
        <f t="shared" si="68"/>
        <v>0</v>
      </c>
      <c r="J93" s="1357">
        <f t="shared" si="69"/>
        <v>0</v>
      </c>
      <c r="K93" s="1357">
        <f t="shared" si="70"/>
        <v>0</v>
      </c>
      <c r="L93" s="1343" t="str">
        <f t="shared" si="71"/>
        <v/>
      </c>
      <c r="M93" s="1343" t="str">
        <f t="shared" si="72"/>
        <v/>
      </c>
      <c r="N93" s="1343" t="str">
        <f t="shared" si="73"/>
        <v/>
      </c>
      <c r="O93" s="1358"/>
      <c r="P93" s="1358" t="s">
        <v>2115</v>
      </c>
      <c r="Q93" s="1358"/>
      <c r="R93" s="1358"/>
      <c r="S93" s="1358"/>
      <c r="T93" s="1337"/>
      <c r="U93" s="1337" t="s">
        <v>2210</v>
      </c>
      <c r="V93" s="1337"/>
      <c r="W93" s="1337"/>
      <c r="X93" s="1337"/>
      <c r="Y93" s="1344"/>
      <c r="Z93" s="1322"/>
      <c r="AA93" s="1329" t="s">
        <v>2211</v>
      </c>
      <c r="AB93" s="1322"/>
      <c r="AC93" s="1322"/>
      <c r="AD93" s="1322"/>
    </row>
    <row r="94" ht="45" customHeight="1">
      <c r="A94" s="1339"/>
      <c r="B94" s="1345">
        <v>77</v>
      </c>
      <c r="C94" s="1337"/>
      <c r="D94" s="1355" t="s">
        <v>2206</v>
      </c>
      <c r="E94" s="1337"/>
      <c r="F94" s="1337"/>
      <c r="G94" s="1337"/>
      <c r="H94" s="1360"/>
      <c r="I94" s="1357">
        <f t="shared" si="68"/>
        <v>0</v>
      </c>
      <c r="J94" s="1357">
        <f t="shared" si="69"/>
        <v>0</v>
      </c>
      <c r="K94" s="1357">
        <f t="shared" si="70"/>
        <v>0</v>
      </c>
      <c r="L94" s="1343" t="str">
        <f t="shared" si="71"/>
        <v/>
      </c>
      <c r="M94" s="1343" t="str">
        <f t="shared" si="72"/>
        <v/>
      </c>
      <c r="N94" s="1343" t="str">
        <f t="shared" si="73"/>
        <v/>
      </c>
      <c r="O94" s="1358"/>
      <c r="P94" s="1358" t="s">
        <v>1469</v>
      </c>
      <c r="Q94" s="1358"/>
      <c r="R94" s="1358"/>
      <c r="S94" s="1358"/>
      <c r="T94" s="1337"/>
      <c r="U94" s="1337" t="s">
        <v>2212</v>
      </c>
      <c r="V94" s="1337"/>
      <c r="W94" s="1337"/>
      <c r="X94" s="1337"/>
      <c r="Y94" s="1344"/>
      <c r="Z94" s="1322"/>
      <c r="AA94" s="1329" t="s">
        <v>2213</v>
      </c>
      <c r="AB94" s="1322"/>
      <c r="AC94" s="1322"/>
      <c r="AD94" s="1322"/>
    </row>
    <row r="95" ht="99" customHeight="1">
      <c r="A95" s="1339"/>
      <c r="B95" s="1345">
        <v>78</v>
      </c>
      <c r="C95" s="1337" t="s">
        <v>2214</v>
      </c>
      <c r="D95" s="1355"/>
      <c r="E95" s="1337"/>
      <c r="F95" s="1337"/>
      <c r="G95" s="1337"/>
      <c r="H95" s="1360"/>
      <c r="I95" s="1357" t="str">
        <f t="shared" si="68"/>
        <v>15</v>
      </c>
      <c r="J95" s="1357" t="str">
        <f t="shared" si="69"/>
        <v xml:space="preserve">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357">
        <f t="shared" si="70"/>
        <v>0</v>
      </c>
      <c r="L95" s="1343" t="str">
        <f t="shared" si="71"/>
        <v>15</v>
      </c>
      <c r="M95" s="1343" t="str">
        <f t="shared" si="72"/>
        <v xml:space="preserve">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1343" t="str">
        <f t="shared" si="73"/>
        <v/>
      </c>
      <c r="O95" s="1358" t="s">
        <v>1469</v>
      </c>
      <c r="P95" s="1358"/>
      <c r="Q95" s="1358"/>
      <c r="R95" s="1358"/>
      <c r="S95" s="1358"/>
      <c r="T95" s="1337" t="s">
        <v>2215</v>
      </c>
      <c r="U95" s="1337"/>
      <c r="V95" s="1337"/>
      <c r="W95" s="1337"/>
      <c r="X95" s="1337"/>
      <c r="Y95" s="1344"/>
      <c r="Z95" s="1322"/>
      <c r="AA95" s="1329"/>
      <c r="AB95" s="1322"/>
      <c r="AC95" s="1322"/>
      <c r="AD95" s="1322"/>
    </row>
    <row r="96" ht="99" customHeight="1">
      <c r="A96" s="1339"/>
      <c r="B96" s="1345">
        <v>79</v>
      </c>
      <c r="C96" s="1337" t="s">
        <v>1152</v>
      </c>
      <c r="D96" s="1355"/>
      <c r="E96" s="1337"/>
      <c r="F96" s="1337"/>
      <c r="G96" s="1337"/>
      <c r="H96" s="1360"/>
      <c r="I96" s="1357" t="str">
        <f t="shared" si="68"/>
        <v>16</v>
      </c>
      <c r="J96" s="1357" t="str">
        <f t="shared" si="69"/>
        <v xml:space="preserve">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357" t="str">
        <f t="shared" si="70"/>
        <v xml:space="preserve">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1343" t="str">
        <f t="shared" si="71"/>
        <v>16</v>
      </c>
      <c r="M96" s="1343" t="str">
        <f t="shared" si="72"/>
        <v xml:space="preserve">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1343" t="str">
        <f t="shared" si="73"/>
        <v xml:space="preserve">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1358" t="s">
        <v>1475</v>
      </c>
      <c r="P96" s="1358"/>
      <c r="Q96" s="1358"/>
      <c r="R96" s="1358"/>
      <c r="S96" s="1358"/>
      <c r="T96" s="1337" t="s">
        <v>2216</v>
      </c>
      <c r="U96" s="1337"/>
      <c r="V96" s="1337"/>
      <c r="W96" s="1337"/>
      <c r="X96" s="1337"/>
      <c r="Y96" s="1344"/>
      <c r="Z96" s="1322" t="s">
        <v>2217</v>
      </c>
      <c r="AA96" s="1329"/>
      <c r="AB96" s="1322"/>
      <c r="AC96" s="1322"/>
      <c r="AD96" s="1322"/>
    </row>
    <row r="97" ht="63" customHeight="1">
      <c r="A97" s="1339"/>
      <c r="B97" s="1345">
        <v>80</v>
      </c>
      <c r="C97" s="1337" t="s">
        <v>2218</v>
      </c>
      <c r="D97" s="1355"/>
      <c r="E97" s="1337"/>
      <c r="F97" s="1337"/>
      <c r="G97" s="1337"/>
      <c r="H97" s="1360"/>
      <c r="I97" s="1357" t="str">
        <f t="shared" si="68"/>
        <v>17</v>
      </c>
      <c r="J97" s="1357" t="str">
        <f t="shared" si="69"/>
        <v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357" t="str">
        <f t="shared" si="70"/>
        <v xml:space="preserve">Регулируемыми организациями указывается информация с по договорам, заключенным в рамках осуществления регулируемой деятельности.</v>
      </c>
      <c r="L97" s="1343" t="str">
        <f t="shared" si="71"/>
        <v>17</v>
      </c>
      <c r="M97" s="1343" t="str">
        <f t="shared" si="72"/>
        <v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1343" t="str">
        <f t="shared" si="73"/>
        <v xml:space="preserve">Регулируемыми организациями указывается информация с по договорам, заключенным в рамках осуществления регулируемой деятельности.</v>
      </c>
      <c r="O97" s="1358" t="s">
        <v>1487</v>
      </c>
      <c r="P97" s="1358"/>
      <c r="Q97" s="1358"/>
      <c r="R97" s="1358"/>
      <c r="S97" s="1358"/>
      <c r="T97" s="1337" t="s">
        <v>2219</v>
      </c>
      <c r="U97" s="1337"/>
      <c r="V97" s="1337"/>
      <c r="W97" s="1337"/>
      <c r="X97" s="1337"/>
      <c r="Y97" s="1344"/>
      <c r="Z97" s="1322" t="s">
        <v>2220</v>
      </c>
      <c r="AA97" s="1329"/>
      <c r="AB97" s="1322"/>
      <c r="AC97" s="1322"/>
      <c r="AD97" s="1322"/>
    </row>
    <row r="98" ht="63" customHeight="1">
      <c r="A98" s="1339"/>
      <c r="B98" s="1345">
        <v>81</v>
      </c>
      <c r="C98" s="1337" t="s">
        <v>2221</v>
      </c>
      <c r="D98" s="1355"/>
      <c r="E98" s="1337"/>
      <c r="F98" s="1337"/>
      <c r="G98" s="1337"/>
      <c r="H98" s="1360"/>
      <c r="I98" s="1357" t="str">
        <f t="shared" si="68"/>
        <v>18</v>
      </c>
      <c r="J98" s="1357" t="str">
        <f t="shared" si="69"/>
        <v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357" t="str">
        <f t="shared" si="70"/>
        <v xml:space="preserve">Регулируемыми организациями указывается информация с по договорам, заключенным в рамках осуществления регулируемой деятельности.</v>
      </c>
      <c r="L98" s="1343" t="str">
        <f t="shared" si="71"/>
        <v>18</v>
      </c>
      <c r="M98" s="1343" t="str">
        <f t="shared" si="72"/>
        <v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1343" t="str">
        <f t="shared" si="73"/>
        <v xml:space="preserve">Регулируемыми организациями указывается информация с по договорам, заключенным в рамках осуществления регулируемой деятельности.</v>
      </c>
      <c r="O98" s="1358" t="s">
        <v>1501</v>
      </c>
      <c r="P98" s="1358"/>
      <c r="Q98" s="1358"/>
      <c r="R98" s="1358"/>
      <c r="S98" s="1358"/>
      <c r="T98" s="1337" t="s">
        <v>2222</v>
      </c>
      <c r="U98" s="1337"/>
      <c r="V98" s="1337"/>
      <c r="W98" s="1337"/>
      <c r="X98" s="1337"/>
      <c r="Y98" s="1344"/>
      <c r="Z98" s="1322" t="s">
        <v>2220</v>
      </c>
      <c r="AA98" s="1329"/>
      <c r="AB98" s="1322"/>
      <c r="AC98" s="1322"/>
      <c r="AD98" s="1322"/>
    </row>
    <row r="99" ht="90" customHeight="1">
      <c r="A99" s="1339"/>
      <c r="B99" s="1345">
        <v>82</v>
      </c>
      <c r="C99" s="1337" t="s">
        <v>2223</v>
      </c>
      <c r="D99" s="1355"/>
      <c r="E99" s="1337"/>
      <c r="F99" s="1337"/>
      <c r="G99" s="1337"/>
      <c r="H99" s="1360"/>
      <c r="I99" s="1357" t="str">
        <f t="shared" si="68"/>
        <v>19</v>
      </c>
      <c r="J99" s="1357" t="str">
        <f t="shared" si="69"/>
        <v xml:space="preserve">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357" t="str">
        <f t="shared" si="70"/>
        <v xml:space="preserve">Указывается ссылка на документ, предварительно загруженный в хранилище файлов ФГИС ЕИАС.</v>
      </c>
      <c r="L99" s="1343" t="str">
        <f t="shared" si="71"/>
        <v>19</v>
      </c>
      <c r="M99" s="1343" t="str">
        <f t="shared" si="72"/>
        <v xml:space="preserve">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1343" t="str">
        <f t="shared" si="73"/>
        <v xml:space="preserve">Указывается ссылка на документ, предварительно загруженный в хранилище файлов ФГИС ЕИАС.</v>
      </c>
      <c r="O99" s="1358" t="s">
        <v>1513</v>
      </c>
      <c r="P99" s="1358"/>
      <c r="Q99" s="1358"/>
      <c r="R99" s="1358"/>
      <c r="S99" s="1358"/>
      <c r="T99" s="1337" t="s">
        <v>2224</v>
      </c>
      <c r="U99" s="1337"/>
      <c r="V99" s="1337"/>
      <c r="W99" s="1337"/>
      <c r="X99" s="1337"/>
      <c r="Y99" s="1344"/>
      <c r="Z99" s="1322" t="s">
        <v>635</v>
      </c>
      <c r="AA99" s="1329"/>
      <c r="AB99" s="1322"/>
      <c r="AC99" s="1322"/>
      <c r="AD99" s="1322"/>
    </row>
    <row r="100" ht="27" customHeight="1">
      <c r="A100" s="1339"/>
      <c r="B100" s="1345">
        <v>83</v>
      </c>
      <c r="C100" s="1337"/>
      <c r="D100" s="1355"/>
      <c r="E100" s="1337"/>
      <c r="F100" s="1337"/>
      <c r="G100" s="1337"/>
      <c r="H100" s="1360"/>
      <c r="I100" s="1357" t="str">
        <f t="shared" ref="I100:I101" si="74">INDEX(TEMPLATE_NUMBER_POINT_FHD,B100,MATCH(TEMPLATE_SPHERE,TEMPLATE_SPHERE_LIST_FOR_NOTE,0))</f>
        <v>19.1</v>
      </c>
      <c r="J100" s="1357" t="str">
        <f t="shared" ref="J100:J101" si="75">INDEX(TEMPLATE_DATA_POINT_FHD,B100,MATCH(TEMPLATE_SPHERE,TEMPLATE_SPHERE_LIST_FOR_NOTE,0))</f>
        <v xml:space="preserve">Информация о показателях физического износа объектов теплоснабжения</v>
      </c>
      <c r="K100" s="1357" t="str">
        <f t="shared" ref="K100:K101" si="76">INDEX(TEMPLATE_NOTE_POINT_FHD,B100,MATCH(TEMPLATE_SPHERE,TEMPLATE_SPHERE_LIST_FOR_NOTE,0))</f>
        <v xml:space="preserve">Указывается ссылка на документ, предварительно загруженный в хранилище файлов ФГИС ЕИАС.</v>
      </c>
      <c r="L100" s="1343" t="str">
        <f t="shared" ref="L100:L101" si="77">IF(I100=0,"",I100)</f>
        <v>19.1</v>
      </c>
      <c r="M100" s="1343" t="str">
        <f t="shared" ref="M100:M101" si="78">IF(J100=0,"",J100)</f>
        <v xml:space="preserve">Информация о показателях физического износа объектов теплоснабжения</v>
      </c>
      <c r="N100" s="1343" t="str">
        <f t="shared" ref="N100:N101" si="79">IF(K100=0,"",K100)</f>
        <v xml:space="preserve">Указывается ссылка на документ, предварительно загруженный в хранилище файлов ФГИС ЕИАС.</v>
      </c>
      <c r="O100" s="1358" t="s">
        <v>2225</v>
      </c>
      <c r="P100" s="1358"/>
      <c r="Q100" s="1358"/>
      <c r="R100" s="1358"/>
      <c r="S100" s="1358"/>
      <c r="T100" s="1337" t="s">
        <v>2226</v>
      </c>
      <c r="U100" s="1337"/>
      <c r="V100" s="1337"/>
      <c r="W100" s="1337"/>
      <c r="X100" s="1337"/>
      <c r="Y100" s="1344"/>
      <c r="Z100" s="1322" t="s">
        <v>635</v>
      </c>
      <c r="AA100" s="1329"/>
      <c r="AB100" s="1322"/>
      <c r="AC100" s="1322"/>
      <c r="AD100" s="1322"/>
    </row>
    <row r="101" ht="27" customHeight="1">
      <c r="A101" s="1339"/>
      <c r="B101" s="1345">
        <v>84</v>
      </c>
      <c r="C101" s="1337"/>
      <c r="D101" s="1355"/>
      <c r="E101" s="1337"/>
      <c r="F101" s="1337"/>
      <c r="G101" s="1337"/>
      <c r="H101" s="1360"/>
      <c r="I101" s="1357" t="str">
        <f t="shared" si="74"/>
        <v>19.2</v>
      </c>
      <c r="J101" s="1357" t="str">
        <f t="shared" si="75"/>
        <v xml:space="preserve">Информация о показателях энергетической эффективности объектов теплоснабжения</v>
      </c>
      <c r="K101" s="1357" t="str">
        <f t="shared" si="76"/>
        <v xml:space="preserve">Указывается ссылка на документ, предварительно загруженный в хранилище файлов ФГИС ЕИАС.</v>
      </c>
      <c r="L101" s="1343" t="str">
        <f t="shared" si="77"/>
        <v>19.2</v>
      </c>
      <c r="M101" s="1343" t="str">
        <f t="shared" si="78"/>
        <v xml:space="preserve">Информация о показателях энергетической эффективности объектов теплоснабжения</v>
      </c>
      <c r="N101" s="1343" t="str">
        <f t="shared" si="79"/>
        <v xml:space="preserve">Указывается ссылка на документ, предварительно загруженный в хранилище файлов ФГИС ЕИАС.</v>
      </c>
      <c r="O101" s="1358" t="s">
        <v>2227</v>
      </c>
      <c r="P101" s="1358"/>
      <c r="Q101" s="1358"/>
      <c r="R101" s="1358"/>
      <c r="S101" s="1358"/>
      <c r="T101" s="1337" t="s">
        <v>2228</v>
      </c>
      <c r="U101" s="1337"/>
      <c r="V101" s="1337"/>
      <c r="W101" s="1337"/>
      <c r="X101" s="1337"/>
      <c r="Y101" s="1344"/>
      <c r="Z101" s="1322" t="s">
        <v>635</v>
      </c>
      <c r="AA101" s="1329"/>
      <c r="AB101" s="1322"/>
      <c r="AC101" s="1322"/>
      <c r="AD101" s="1322"/>
    </row>
    <row r="102" ht="9" customHeight="1">
      <c r="A102" s="1339"/>
      <c r="B102" s="1339"/>
      <c r="C102" s="1337"/>
      <c r="D102" s="1337"/>
      <c r="E102" s="1337"/>
      <c r="F102" s="1337"/>
      <c r="G102" s="1337"/>
      <c r="H102" s="1360"/>
      <c r="I102" s="1360"/>
      <c r="J102" s="1360"/>
      <c r="K102" s="1360"/>
      <c r="L102" s="1360"/>
      <c r="M102" s="1337"/>
      <c r="N102" s="1365"/>
      <c r="O102" s="1358"/>
      <c r="P102" s="1358"/>
      <c r="Q102" s="1358"/>
      <c r="R102" s="1358"/>
      <c r="S102" s="1337"/>
      <c r="T102" s="1337"/>
      <c r="U102" s="1337"/>
      <c r="V102" s="1337"/>
      <c r="W102" s="1337"/>
      <c r="X102" s="1337"/>
      <c r="Y102" s="1344"/>
      <c r="Z102" s="1322"/>
      <c r="AA102" s="1329"/>
      <c r="AB102" s="1322"/>
      <c r="AC102" s="1322"/>
      <c r="AD102" s="1322"/>
    </row>
    <row r="103" ht="9" customHeight="1">
      <c r="A103" s="1339"/>
      <c r="B103" s="1339"/>
      <c r="C103" s="1337"/>
      <c r="D103" s="1337"/>
      <c r="E103" s="1337"/>
      <c r="F103" s="1337"/>
      <c r="G103" s="1337"/>
      <c r="H103" s="1360"/>
      <c r="I103" s="1360"/>
      <c r="J103" s="1360"/>
      <c r="K103" s="1360"/>
      <c r="L103" s="1360"/>
      <c r="M103" s="1337"/>
      <c r="N103" s="1365"/>
      <c r="O103" s="1358"/>
      <c r="P103" s="1358"/>
      <c r="Q103" s="1358"/>
      <c r="R103" s="1358"/>
      <c r="S103" s="1337"/>
      <c r="T103" s="1337"/>
      <c r="U103" s="1337"/>
      <c r="V103" s="1337"/>
      <c r="W103" s="1337"/>
      <c r="X103" s="1337"/>
      <c r="Y103" s="1344"/>
      <c r="Z103" s="1322"/>
      <c r="AA103" s="1329"/>
      <c r="AB103" s="1322"/>
      <c r="AC103" s="1322"/>
      <c r="AD103" s="1322"/>
    </row>
    <row r="104" ht="9" customHeight="1">
      <c r="A104" s="1339"/>
      <c r="B104" s="1339"/>
      <c r="C104" s="1337"/>
      <c r="D104" s="1337"/>
      <c r="E104" s="1337"/>
      <c r="F104" s="1337"/>
      <c r="G104" s="1337"/>
      <c r="H104" s="1360"/>
      <c r="I104" s="1360"/>
      <c r="J104" s="1360"/>
      <c r="K104" s="1360"/>
      <c r="L104" s="1360"/>
      <c r="M104" s="1337"/>
      <c r="N104" s="1365"/>
      <c r="O104" s="1358"/>
      <c r="P104" s="1358"/>
      <c r="Q104" s="1358"/>
      <c r="R104" s="1358"/>
      <c r="S104" s="1337"/>
      <c r="T104" s="1337"/>
      <c r="U104" s="1337"/>
      <c r="V104" s="1337"/>
      <c r="W104" s="1337"/>
      <c r="X104" s="1337"/>
      <c r="Y104" s="1344"/>
      <c r="Z104" s="1322"/>
      <c r="AA104" s="1329"/>
      <c r="AB104" s="1322"/>
      <c r="AC104" s="1322"/>
      <c r="AD104" s="1322"/>
    </row>
    <row r="105" ht="9" customHeight="1">
      <c r="A105" s="1339"/>
      <c r="B105" s="1339"/>
      <c r="C105" s="1337"/>
      <c r="D105" s="1337"/>
      <c r="E105" s="1337"/>
      <c r="F105" s="1337"/>
      <c r="G105" s="1337"/>
      <c r="H105" s="1360"/>
      <c r="I105" s="1360"/>
      <c r="J105" s="1360"/>
      <c r="K105" s="1360"/>
      <c r="L105" s="1360"/>
      <c r="M105" s="1337"/>
      <c r="N105" s="1365"/>
      <c r="O105" s="1358"/>
      <c r="P105" s="1358"/>
      <c r="Q105" s="1358"/>
      <c r="R105" s="1358"/>
      <c r="S105" s="1337"/>
      <c r="T105" s="1337"/>
      <c r="U105" s="1337"/>
      <c r="V105" s="1337"/>
      <c r="W105" s="1337"/>
      <c r="X105" s="1337"/>
      <c r="Y105" s="1344"/>
      <c r="Z105" s="1322"/>
      <c r="AA105" s="1329"/>
      <c r="AB105" s="1322"/>
      <c r="AC105" s="1322"/>
      <c r="AD105" s="1322"/>
    </row>
    <row r="106" ht="9" customHeight="1">
      <c r="A106" s="1339"/>
      <c r="B106" s="1339"/>
      <c r="C106" s="1337"/>
      <c r="D106" s="1337"/>
      <c r="E106" s="1337"/>
      <c r="F106" s="1337"/>
      <c r="G106" s="1337"/>
      <c r="H106" s="1360"/>
      <c r="I106" s="1360"/>
      <c r="J106" s="1360"/>
      <c r="K106" s="1360"/>
      <c r="L106" s="1360"/>
      <c r="M106" s="1337"/>
      <c r="N106" s="1365"/>
      <c r="O106" s="1358"/>
      <c r="P106" s="1358"/>
      <c r="Q106" s="1358"/>
      <c r="R106" s="1358"/>
      <c r="S106" s="1337"/>
      <c r="T106" s="1337"/>
      <c r="U106" s="1337"/>
      <c r="V106" s="1337"/>
      <c r="W106" s="1337"/>
      <c r="X106" s="1337"/>
      <c r="Y106" s="1344"/>
      <c r="Z106" s="1322"/>
      <c r="AA106" s="1329"/>
      <c r="AB106" s="1322"/>
      <c r="AC106" s="1322"/>
      <c r="AD106" s="1322"/>
    </row>
    <row r="107" ht="9" customHeight="1">
      <c r="A107" s="1339"/>
      <c r="B107" s="1339"/>
      <c r="C107" s="1337"/>
      <c r="D107" s="1337"/>
      <c r="E107" s="1337"/>
      <c r="F107" s="1337"/>
      <c r="G107" s="1337"/>
      <c r="H107" s="1360"/>
      <c r="I107" s="1360"/>
      <c r="J107" s="1360"/>
      <c r="K107" s="1360"/>
      <c r="L107" s="1360"/>
      <c r="M107" s="1337"/>
      <c r="N107" s="1365"/>
      <c r="O107" s="1358"/>
      <c r="P107" s="1358"/>
      <c r="Q107" s="1358"/>
      <c r="R107" s="1358"/>
      <c r="S107" s="1337"/>
      <c r="T107" s="1337"/>
      <c r="U107" s="1337"/>
      <c r="V107" s="1337"/>
      <c r="W107" s="1337"/>
      <c r="X107" s="1337"/>
      <c r="Y107" s="1344"/>
      <c r="Z107" s="1322"/>
      <c r="AA107" s="1329"/>
      <c r="AB107" s="1322"/>
      <c r="AC107" s="1322"/>
      <c r="AD107" s="1322"/>
    </row>
    <row r="108" ht="9" customHeight="1">
      <c r="A108" s="1339"/>
      <c r="B108" s="1339"/>
      <c r="C108" s="1337"/>
      <c r="D108" s="1337"/>
      <c r="E108" s="1337"/>
      <c r="F108" s="1337"/>
      <c r="G108" s="1337"/>
      <c r="H108" s="1360"/>
      <c r="I108" s="1360"/>
      <c r="J108" s="1360"/>
      <c r="K108" s="1360"/>
      <c r="L108" s="1360"/>
      <c r="M108" s="1337"/>
      <c r="N108" s="1365"/>
      <c r="O108" s="1358"/>
      <c r="P108" s="1358"/>
      <c r="Q108" s="1358"/>
      <c r="R108" s="1358"/>
      <c r="S108" s="1337"/>
      <c r="T108" s="1337"/>
      <c r="U108" s="1337"/>
      <c r="V108" s="1337"/>
      <c r="W108" s="1337"/>
      <c r="X108" s="1337"/>
      <c r="Y108" s="1344"/>
      <c r="Z108" s="1322"/>
      <c r="AA108" s="1329"/>
      <c r="AB108" s="1322"/>
      <c r="AC108" s="1322"/>
      <c r="AD108" s="1322"/>
    </row>
    <row r="109" ht="9" customHeight="1">
      <c r="A109" s="1339"/>
      <c r="B109" s="1339"/>
      <c r="C109" s="1337"/>
      <c r="D109" s="1337"/>
      <c r="E109" s="1337"/>
      <c r="F109" s="1337"/>
      <c r="G109" s="1337"/>
      <c r="H109" s="1360"/>
      <c r="I109" s="1360"/>
      <c r="J109" s="1360"/>
      <c r="K109" s="1360"/>
      <c r="L109" s="1360"/>
      <c r="M109" s="1337"/>
      <c r="N109" s="1365"/>
      <c r="O109" s="1358"/>
      <c r="P109" s="1358"/>
      <c r="Q109" s="1358"/>
      <c r="R109" s="1358"/>
      <c r="S109" s="1337"/>
      <c r="T109" s="1337"/>
      <c r="U109" s="1337"/>
      <c r="V109" s="1337"/>
      <c r="W109" s="1337"/>
      <c r="X109" s="1337"/>
      <c r="Y109" s="1344"/>
      <c r="Z109" s="1322"/>
      <c r="AA109" s="1329"/>
      <c r="AB109" s="1322"/>
      <c r="AC109" s="1322"/>
      <c r="AD109" s="1322"/>
    </row>
    <row r="110" ht="9" customHeight="1">
      <c r="A110" s="1339"/>
      <c r="B110" s="1339"/>
      <c r="C110" s="1337"/>
      <c r="D110" s="1337"/>
      <c r="E110" s="1337"/>
      <c r="F110" s="1337"/>
      <c r="G110" s="1337"/>
      <c r="H110" s="1360"/>
      <c r="I110" s="1360"/>
      <c r="J110" s="1360"/>
      <c r="K110" s="1360"/>
      <c r="L110" s="1360"/>
      <c r="M110" s="1337"/>
      <c r="N110" s="1365"/>
      <c r="O110" s="1358"/>
      <c r="P110" s="1358"/>
      <c r="Q110" s="1358"/>
      <c r="R110" s="1358"/>
      <c r="S110" s="1337"/>
      <c r="T110" s="1337"/>
      <c r="U110" s="1337"/>
      <c r="V110" s="1337"/>
      <c r="W110" s="1337"/>
      <c r="X110" s="1337"/>
      <c r="Y110" s="1344"/>
      <c r="Z110" s="1322"/>
      <c r="AA110" s="1329"/>
      <c r="AB110" s="1322"/>
      <c r="AC110" s="1322"/>
      <c r="AD110" s="1322"/>
    </row>
    <row r="111" ht="9" customHeight="1">
      <c r="A111" s="1339"/>
      <c r="B111" s="1339"/>
      <c r="C111" s="1337"/>
      <c r="D111" s="1337"/>
      <c r="E111" s="1337"/>
      <c r="F111" s="1337"/>
      <c r="G111" s="1337"/>
      <c r="H111" s="1360"/>
      <c r="I111" s="1360"/>
      <c r="J111" s="1360"/>
      <c r="K111" s="1360"/>
      <c r="L111" s="1360"/>
      <c r="M111" s="1337"/>
      <c r="N111" s="1365"/>
      <c r="O111" s="1358"/>
      <c r="P111" s="1358"/>
      <c r="Q111" s="1358"/>
      <c r="R111" s="1358"/>
      <c r="S111" s="1337"/>
      <c r="T111" s="1337"/>
      <c r="U111" s="1337"/>
      <c r="V111" s="1337"/>
      <c r="W111" s="1337"/>
      <c r="X111" s="1337"/>
      <c r="Y111" s="1344"/>
      <c r="Z111" s="1322"/>
      <c r="AA111" s="1329"/>
      <c r="AB111" s="1322"/>
      <c r="AC111" s="1322"/>
      <c r="AD111" s="1322"/>
    </row>
    <row r="112" ht="9" customHeight="1">
      <c r="A112" s="1339"/>
      <c r="B112" s="1339"/>
      <c r="C112" s="1337"/>
      <c r="D112" s="1337"/>
      <c r="E112" s="1337"/>
      <c r="F112" s="1337"/>
      <c r="G112" s="1337"/>
      <c r="H112" s="1360"/>
      <c r="I112" s="1360"/>
      <c r="J112" s="1360"/>
      <c r="K112" s="1360"/>
      <c r="L112" s="1360"/>
      <c r="M112" s="1337"/>
      <c r="N112" s="1365"/>
      <c r="O112" s="1358"/>
      <c r="P112" s="1358"/>
      <c r="Q112" s="1358"/>
      <c r="R112" s="1358"/>
      <c r="S112" s="1337"/>
      <c r="T112" s="1337"/>
      <c r="U112" s="1337"/>
      <c r="V112" s="1337"/>
      <c r="W112" s="1337"/>
      <c r="X112" s="1337"/>
      <c r="Y112" s="1344"/>
      <c r="Z112" s="1322"/>
      <c r="AA112" s="1329"/>
      <c r="AB112" s="1322"/>
      <c r="AC112" s="1322"/>
      <c r="AD112" s="1322"/>
    </row>
    <row r="113" ht="9" customHeight="1">
      <c r="A113" s="1339"/>
      <c r="B113" s="1339"/>
      <c r="C113" s="1337"/>
      <c r="D113" s="1337"/>
      <c r="E113" s="1337"/>
      <c r="F113" s="1337"/>
      <c r="G113" s="1337"/>
      <c r="H113" s="1360"/>
      <c r="I113" s="1360"/>
      <c r="J113" s="1360"/>
      <c r="K113" s="1360"/>
      <c r="L113" s="1360"/>
      <c r="M113" s="1337"/>
      <c r="N113" s="1365"/>
      <c r="O113" s="1358"/>
      <c r="P113" s="1358"/>
      <c r="Q113" s="1358"/>
      <c r="R113" s="1358"/>
      <c r="S113" s="1337"/>
      <c r="T113" s="1337"/>
      <c r="U113" s="1337"/>
      <c r="V113" s="1337"/>
      <c r="W113" s="1337"/>
      <c r="X113" s="1337"/>
      <c r="Y113" s="1344"/>
      <c r="Z113" s="1322"/>
      <c r="AA113" s="1329"/>
      <c r="AB113" s="1322"/>
      <c r="AC113" s="1322"/>
      <c r="AD113" s="1322"/>
    </row>
    <row r="114" ht="9" customHeight="1">
      <c r="A114" s="1339"/>
      <c r="B114" s="1339"/>
      <c r="C114" s="1337"/>
      <c r="D114" s="1337"/>
      <c r="E114" s="1337"/>
      <c r="F114" s="1337"/>
      <c r="G114" s="1337"/>
      <c r="H114" s="1360"/>
      <c r="I114" s="1360"/>
      <c r="J114" s="1360"/>
      <c r="K114" s="1360"/>
      <c r="L114" s="1360"/>
      <c r="M114" s="1337"/>
      <c r="N114" s="1365"/>
      <c r="O114" s="1358"/>
      <c r="P114" s="1358"/>
      <c r="Q114" s="1358"/>
      <c r="R114" s="1358"/>
      <c r="S114" s="1337"/>
      <c r="T114" s="1337"/>
      <c r="U114" s="1337"/>
      <c r="V114" s="1337"/>
      <c r="W114" s="1337"/>
      <c r="X114" s="1337"/>
      <c r="Y114" s="1344"/>
      <c r="Z114" s="1322"/>
      <c r="AA114" s="1329"/>
      <c r="AB114" s="1322"/>
      <c r="AC114" s="1322"/>
      <c r="AD114" s="1322"/>
    </row>
    <row r="115" ht="9" customHeight="1">
      <c r="A115" s="1339"/>
      <c r="B115" s="1339"/>
      <c r="C115" s="1337"/>
      <c r="D115" s="1337"/>
      <c r="E115" s="1337"/>
      <c r="F115" s="1337"/>
      <c r="G115" s="1337"/>
      <c r="H115" s="1360"/>
      <c r="I115" s="1360"/>
      <c r="J115" s="1360"/>
      <c r="K115" s="1360"/>
      <c r="L115" s="1360"/>
      <c r="M115" s="1337"/>
      <c r="N115" s="1365"/>
      <c r="O115" s="1358"/>
      <c r="P115" s="1358"/>
      <c r="Q115" s="1358"/>
      <c r="R115" s="1358"/>
      <c r="S115" s="1337"/>
      <c r="T115" s="1337"/>
      <c r="U115" s="1337"/>
      <c r="V115" s="1337"/>
      <c r="W115" s="1337"/>
      <c r="X115" s="1337"/>
      <c r="Y115" s="1344"/>
      <c r="Z115" s="1322"/>
      <c r="AA115" s="1329"/>
      <c r="AB115" s="1322"/>
      <c r="AC115" s="1322"/>
      <c r="AD115" s="1322"/>
    </row>
    <row r="116" ht="9" customHeight="1">
      <c r="A116" s="1339"/>
      <c r="B116" s="1339"/>
      <c r="C116" s="1337"/>
      <c r="D116" s="1337"/>
      <c r="E116" s="1337"/>
      <c r="F116" s="1337"/>
      <c r="G116" s="1337"/>
      <c r="H116" s="1360"/>
      <c r="I116" s="1360"/>
      <c r="J116" s="1360"/>
      <c r="K116" s="1360"/>
      <c r="L116" s="1360"/>
      <c r="M116" s="1337"/>
      <c r="N116" s="1365"/>
      <c r="O116" s="1358"/>
      <c r="P116" s="1358"/>
      <c r="Q116" s="1358"/>
      <c r="R116" s="1358"/>
      <c r="S116" s="1337"/>
      <c r="T116" s="1337"/>
      <c r="U116" s="1337"/>
      <c r="V116" s="1337"/>
      <c r="W116" s="1337"/>
      <c r="X116" s="1337"/>
      <c r="Y116" s="1344"/>
      <c r="Z116" s="1322"/>
      <c r="AA116" s="1329"/>
      <c r="AB116" s="1322"/>
      <c r="AC116" s="1322"/>
      <c r="AD116" s="1322"/>
    </row>
    <row r="117" ht="9" customHeight="1">
      <c r="A117" s="1339"/>
      <c r="B117" s="1339"/>
      <c r="C117" s="1337"/>
      <c r="D117" s="1337"/>
      <c r="E117" s="1337"/>
      <c r="F117" s="1337"/>
      <c r="G117" s="1337"/>
      <c r="H117" s="1360"/>
      <c r="I117" s="1360"/>
      <c r="J117" s="1360"/>
      <c r="K117" s="1360"/>
      <c r="L117" s="1360"/>
      <c r="M117" s="1337"/>
      <c r="N117" s="1365"/>
      <c r="O117" s="1358"/>
      <c r="P117" s="1358"/>
      <c r="Q117" s="1358"/>
      <c r="R117" s="1358"/>
      <c r="S117" s="1337"/>
      <c r="T117" s="1337"/>
      <c r="U117" s="1337"/>
      <c r="V117" s="1337"/>
      <c r="W117" s="1337"/>
      <c r="X117" s="1337"/>
      <c r="Y117" s="1344"/>
      <c r="Z117" s="1322"/>
      <c r="AA117" s="1329"/>
      <c r="AB117" s="1322"/>
      <c r="AC117" s="1322"/>
      <c r="AD117" s="1322"/>
    </row>
    <row r="118" ht="9" customHeight="1">
      <c r="A118" s="1339"/>
      <c r="B118" s="1339"/>
      <c r="C118" s="1337"/>
      <c r="D118" s="1337"/>
      <c r="E118" s="1337"/>
      <c r="F118" s="1337"/>
      <c r="G118" s="1337"/>
      <c r="H118" s="1360"/>
      <c r="I118" s="1360"/>
      <c r="J118" s="1360"/>
      <c r="K118" s="1360"/>
      <c r="L118" s="1360"/>
      <c r="M118" s="1337"/>
      <c r="N118" s="1365"/>
      <c r="O118" s="1358"/>
      <c r="P118" s="1358"/>
      <c r="Q118" s="1358"/>
      <c r="R118" s="1358"/>
      <c r="S118" s="1337"/>
      <c r="T118" s="1337"/>
      <c r="U118" s="1337"/>
      <c r="V118" s="1337"/>
      <c r="W118" s="1337"/>
      <c r="X118" s="1337"/>
      <c r="Y118" s="1344"/>
      <c r="Z118" s="1322"/>
      <c r="AA118" s="1329"/>
      <c r="AB118" s="1322"/>
      <c r="AC118" s="1322"/>
      <c r="AD118" s="1322"/>
    </row>
    <row r="119" ht="9" customHeight="1">
      <c r="A119" s="1339"/>
      <c r="B119" s="1339"/>
      <c r="C119" s="1337"/>
      <c r="D119" s="1337"/>
      <c r="E119" s="1337"/>
      <c r="F119" s="1337"/>
      <c r="G119" s="1337"/>
      <c r="H119" s="1360"/>
      <c r="I119" s="1360"/>
      <c r="J119" s="1360"/>
      <c r="K119" s="1360"/>
      <c r="L119" s="1360"/>
      <c r="M119" s="1337"/>
      <c r="N119" s="1365"/>
      <c r="O119" s="1358"/>
      <c r="P119" s="1358"/>
      <c r="Q119" s="1358"/>
      <c r="R119" s="1358"/>
      <c r="S119" s="1337"/>
      <c r="T119" s="1337"/>
      <c r="U119" s="1337"/>
      <c r="V119" s="1337"/>
      <c r="W119" s="1337"/>
      <c r="X119" s="1337"/>
      <c r="Y119" s="1344"/>
      <c r="Z119" s="1322"/>
      <c r="AA119" s="1329"/>
      <c r="AB119" s="1322"/>
      <c r="AC119" s="1322"/>
      <c r="AD119" s="1322"/>
    </row>
    <row r="120" ht="9" customHeight="1">
      <c r="A120" s="1339"/>
      <c r="B120" s="1339"/>
      <c r="C120" s="1337"/>
      <c r="D120" s="1337"/>
      <c r="E120" s="1337"/>
      <c r="F120" s="1337"/>
      <c r="G120" s="1337"/>
      <c r="H120" s="1360"/>
      <c r="I120" s="1360"/>
      <c r="J120" s="1360"/>
      <c r="K120" s="1360"/>
      <c r="L120" s="1360"/>
      <c r="M120" s="1337"/>
      <c r="N120" s="1365"/>
      <c r="O120" s="1358"/>
      <c r="P120" s="1358"/>
      <c r="Q120" s="1358"/>
      <c r="R120" s="1358"/>
      <c r="S120" s="1337"/>
      <c r="T120" s="1337"/>
      <c r="U120" s="1337"/>
      <c r="V120" s="1337"/>
      <c r="W120" s="1337"/>
      <c r="X120" s="1337"/>
      <c r="Y120" s="1344"/>
      <c r="Z120" s="1322"/>
      <c r="AA120" s="1329"/>
      <c r="AB120" s="1322"/>
      <c r="AC120" s="1322"/>
      <c r="AD120" s="1322"/>
    </row>
    <row r="121" ht="9" customHeight="1">
      <c r="A121" s="1339"/>
      <c r="B121" s="1339"/>
      <c r="C121" s="1337"/>
      <c r="D121" s="1337"/>
      <c r="E121" s="1337"/>
      <c r="F121" s="1337"/>
      <c r="G121" s="1337"/>
      <c r="H121" s="1360"/>
      <c r="I121" s="1360"/>
      <c r="J121" s="1360"/>
      <c r="K121" s="1360"/>
      <c r="L121" s="1360"/>
      <c r="M121" s="1337"/>
      <c r="N121" s="1365"/>
      <c r="O121" s="1358"/>
      <c r="P121" s="1358"/>
      <c r="Q121" s="1358"/>
      <c r="R121" s="1358"/>
      <c r="S121" s="1337"/>
      <c r="T121" s="1337"/>
      <c r="U121" s="1337"/>
      <c r="V121" s="1337"/>
      <c r="W121" s="1337"/>
      <c r="X121" s="1337"/>
      <c r="Y121" s="1344"/>
      <c r="Z121" s="1322"/>
      <c r="AA121" s="1329"/>
      <c r="AB121" s="1322"/>
      <c r="AC121" s="1322"/>
      <c r="AD121" s="1322"/>
    </row>
    <row r="122" ht="9" customHeight="1">
      <c r="A122" s="1339"/>
      <c r="B122" s="1339"/>
      <c r="C122" s="1337"/>
      <c r="D122" s="1337"/>
      <c r="E122" s="1337"/>
      <c r="F122" s="1337"/>
      <c r="G122" s="1337"/>
      <c r="H122" s="1360"/>
      <c r="I122" s="1360"/>
      <c r="J122" s="1360"/>
      <c r="K122" s="1360"/>
      <c r="L122" s="1360"/>
      <c r="M122" s="1337"/>
      <c r="N122" s="1365"/>
      <c r="O122" s="1358"/>
      <c r="P122" s="1358"/>
      <c r="Q122" s="1358"/>
      <c r="R122" s="1358"/>
      <c r="S122" s="1337"/>
      <c r="T122" s="1337"/>
      <c r="U122" s="1337"/>
      <c r="V122" s="1337"/>
      <c r="W122" s="1337"/>
      <c r="X122" s="1337"/>
      <c r="Y122" s="1344"/>
      <c r="Z122" s="1322"/>
      <c r="AA122" s="1329"/>
      <c r="AB122" s="1322"/>
      <c r="AC122" s="1322"/>
      <c r="AD122" s="1322"/>
    </row>
    <row r="123" ht="9" customHeight="1">
      <c r="A123" s="1339"/>
      <c r="B123" s="1339"/>
      <c r="C123" s="1337"/>
      <c r="D123" s="1337"/>
      <c r="E123" s="1337"/>
      <c r="F123" s="1337"/>
      <c r="G123" s="1337"/>
      <c r="H123" s="1360"/>
      <c r="I123" s="1360"/>
      <c r="J123" s="1360"/>
      <c r="K123" s="1360"/>
      <c r="L123" s="1360"/>
      <c r="M123" s="1337"/>
      <c r="N123" s="1365"/>
      <c r="O123" s="1358"/>
      <c r="P123" s="1358"/>
      <c r="Q123" s="1358"/>
      <c r="R123" s="1358"/>
      <c r="S123" s="1337"/>
      <c r="T123" s="1337"/>
      <c r="U123" s="1337"/>
      <c r="V123" s="1337"/>
      <c r="W123" s="1337"/>
      <c r="X123" s="1337"/>
      <c r="Y123" s="1344"/>
      <c r="Z123" s="1322"/>
      <c r="AA123" s="1329"/>
      <c r="AB123" s="1322"/>
      <c r="AC123" s="1322"/>
      <c r="AD123" s="1322"/>
    </row>
    <row r="124" ht="9" customHeight="1">
      <c r="A124" s="1339"/>
      <c r="B124" s="1339"/>
      <c r="C124" s="1337"/>
      <c r="D124" s="1337"/>
      <c r="E124" s="1337"/>
      <c r="F124" s="1337"/>
      <c r="G124" s="1337"/>
      <c r="H124" s="1360"/>
      <c r="I124" s="1360"/>
      <c r="J124" s="1360"/>
      <c r="K124" s="1360"/>
      <c r="L124" s="1360"/>
      <c r="M124" s="1337"/>
      <c r="N124" s="1365"/>
      <c r="O124" s="1358"/>
      <c r="P124" s="1358"/>
      <c r="Q124" s="1358"/>
      <c r="R124" s="1358"/>
      <c r="S124" s="1337"/>
      <c r="T124" s="1337"/>
      <c r="U124" s="1337"/>
      <c r="V124" s="1337"/>
      <c r="W124" s="1337"/>
      <c r="X124" s="1337"/>
      <c r="Y124" s="1344"/>
      <c r="Z124" s="1322"/>
      <c r="AA124" s="1329"/>
      <c r="AB124" s="1322"/>
      <c r="AC124" s="1322"/>
      <c r="AD124" s="1322"/>
    </row>
    <row r="125" ht="9" customHeight="1">
      <c r="A125" s="1339"/>
      <c r="B125" s="1339"/>
      <c r="C125" s="1337"/>
      <c r="D125" s="1337"/>
      <c r="E125" s="1337"/>
      <c r="F125" s="1337"/>
      <c r="G125" s="1337"/>
      <c r="H125" s="1360"/>
      <c r="I125" s="1360"/>
      <c r="J125" s="1360"/>
      <c r="K125" s="1360"/>
      <c r="L125" s="1360"/>
      <c r="M125" s="1337"/>
      <c r="N125" s="1365"/>
      <c r="O125" s="1358"/>
      <c r="P125" s="1358"/>
      <c r="Q125" s="1358"/>
      <c r="R125" s="1358"/>
      <c r="S125" s="1337"/>
      <c r="T125" s="1337"/>
      <c r="U125" s="1337"/>
      <c r="V125" s="1337"/>
      <c r="W125" s="1337"/>
      <c r="X125" s="1337"/>
      <c r="Y125" s="1344"/>
      <c r="Z125" s="1322"/>
      <c r="AA125" s="1329"/>
      <c r="AB125" s="1322"/>
      <c r="AC125" s="1322"/>
      <c r="AD125" s="1322"/>
    </row>
    <row r="126" ht="9" customHeight="1">
      <c r="A126" s="1339"/>
      <c r="B126" s="1339"/>
      <c r="C126" s="1337"/>
      <c r="D126" s="1337"/>
      <c r="E126" s="1337"/>
      <c r="F126" s="1337"/>
      <c r="G126" s="1337"/>
      <c r="H126" s="1360"/>
      <c r="I126" s="1360"/>
      <c r="J126" s="1360"/>
      <c r="K126" s="1360"/>
      <c r="L126" s="1360"/>
      <c r="M126" s="1337"/>
      <c r="N126" s="1365"/>
      <c r="O126" s="1358"/>
      <c r="P126" s="1358"/>
      <c r="Q126" s="1358"/>
      <c r="R126" s="1358"/>
      <c r="S126" s="1337"/>
      <c r="T126" s="1337"/>
      <c r="U126" s="1337"/>
      <c r="V126" s="1337"/>
      <c r="W126" s="1337"/>
      <c r="X126" s="1337"/>
      <c r="Y126" s="1344"/>
      <c r="Z126" s="1322"/>
      <c r="AA126" s="1329"/>
      <c r="AB126" s="1322"/>
      <c r="AC126" s="1322"/>
      <c r="AD126" s="1322"/>
    </row>
    <row r="127" ht="9" customHeight="1">
      <c r="A127" s="1339"/>
      <c r="B127" s="1339"/>
      <c r="C127" s="1337"/>
      <c r="D127" s="1337"/>
      <c r="E127" s="1337"/>
      <c r="F127" s="1337"/>
      <c r="G127" s="1337"/>
      <c r="H127" s="1360"/>
      <c r="I127" s="1360"/>
      <c r="J127" s="1360"/>
      <c r="K127" s="1360"/>
      <c r="L127" s="1360"/>
      <c r="M127" s="1337"/>
      <c r="N127" s="1365"/>
      <c r="O127" s="1358"/>
      <c r="P127" s="1358"/>
      <c r="Q127" s="1358"/>
      <c r="R127" s="1358"/>
      <c r="S127" s="1337"/>
      <c r="T127" s="1337"/>
      <c r="U127" s="1337"/>
      <c r="V127" s="1337"/>
      <c r="W127" s="1337"/>
      <c r="X127" s="1337"/>
      <c r="Y127" s="1344"/>
      <c r="Z127" s="1322"/>
      <c r="AA127" s="1329"/>
      <c r="AB127" s="1322"/>
      <c r="AC127" s="1322"/>
      <c r="AD127" s="1322"/>
    </row>
    <row r="128" ht="9" customHeight="1">
      <c r="A128" s="1339"/>
      <c r="B128" s="1339"/>
      <c r="C128" s="1337"/>
      <c r="D128" s="1337"/>
      <c r="E128" s="1337"/>
      <c r="F128" s="1337"/>
      <c r="G128" s="1337"/>
      <c r="H128" s="1360"/>
      <c r="I128" s="1360"/>
      <c r="J128" s="1360"/>
      <c r="K128" s="1360"/>
      <c r="L128" s="1360"/>
      <c r="M128" s="1337"/>
      <c r="N128" s="1365"/>
      <c r="O128" s="1358"/>
      <c r="P128" s="1358"/>
      <c r="Q128" s="1358"/>
      <c r="R128" s="1358"/>
      <c r="S128" s="1337"/>
      <c r="T128" s="1337"/>
      <c r="U128" s="1337"/>
      <c r="V128" s="1337"/>
      <c r="W128" s="1337"/>
      <c r="X128" s="1337"/>
      <c r="Y128" s="1344"/>
      <c r="Z128" s="1322"/>
      <c r="AA128" s="1329"/>
      <c r="AB128" s="1322"/>
      <c r="AC128" s="1322"/>
      <c r="AD128" s="1322"/>
    </row>
    <row r="129" ht="9" customHeight="1">
      <c r="A129" s="1339"/>
      <c r="B129" s="1339"/>
      <c r="C129" s="1337"/>
      <c r="D129" s="1337"/>
      <c r="E129" s="1337"/>
      <c r="F129" s="1337"/>
      <c r="G129" s="1337"/>
      <c r="H129" s="1360"/>
      <c r="I129" s="1360"/>
      <c r="J129" s="1360"/>
      <c r="K129" s="1360"/>
      <c r="L129" s="1360"/>
      <c r="M129" s="1337"/>
      <c r="N129" s="1365"/>
      <c r="O129" s="1358"/>
      <c r="P129" s="1358"/>
      <c r="Q129" s="1358"/>
      <c r="R129" s="1358"/>
      <c r="S129" s="1337"/>
      <c r="T129" s="1337"/>
      <c r="U129" s="1337"/>
      <c r="V129" s="1337"/>
      <c r="W129" s="1337"/>
      <c r="X129" s="1337"/>
      <c r="Y129" s="1344"/>
      <c r="Z129" s="1322"/>
      <c r="AA129" s="1329"/>
      <c r="AB129" s="1322"/>
      <c r="AC129" s="1322"/>
      <c r="AD129" s="1322"/>
    </row>
    <row r="130" ht="9" customHeight="1">
      <c r="A130" s="1339"/>
      <c r="B130" s="1339"/>
      <c r="C130" s="1337"/>
      <c r="D130" s="1337"/>
      <c r="E130" s="1337"/>
      <c r="F130" s="1337"/>
      <c r="G130" s="1337"/>
      <c r="H130" s="1360"/>
      <c r="I130" s="1360"/>
      <c r="J130" s="1360"/>
      <c r="K130" s="1360"/>
      <c r="L130" s="1360"/>
      <c r="M130" s="1337"/>
      <c r="N130" s="1365"/>
      <c r="O130" s="1366"/>
      <c r="P130" s="1366"/>
      <c r="Q130" s="1366"/>
      <c r="R130" s="1366"/>
      <c r="S130" s="1337"/>
      <c r="T130" s="1337"/>
      <c r="U130" s="1337"/>
      <c r="V130" s="1337"/>
      <c r="W130" s="1337"/>
      <c r="X130" s="1337"/>
      <c r="Y130" s="1344"/>
      <c r="Z130" s="1322"/>
      <c r="AA130" s="1329"/>
      <c r="AB130" s="1322"/>
      <c r="AC130" s="1322"/>
      <c r="AD130" s="1322"/>
    </row>
    <row r="131" ht="9" customHeight="1">
      <c r="A131" s="1339"/>
      <c r="B131" s="1339"/>
      <c r="C131" s="1337"/>
      <c r="D131" s="1337"/>
      <c r="E131" s="1337"/>
      <c r="F131" s="1337"/>
      <c r="G131" s="1337"/>
      <c r="H131" s="1360"/>
      <c r="I131" s="1360"/>
      <c r="J131" s="1360"/>
      <c r="K131" s="1360"/>
      <c r="L131" s="1360"/>
      <c r="M131" s="1337"/>
      <c r="N131" s="1365"/>
      <c r="O131" s="1367"/>
      <c r="P131" s="1367"/>
      <c r="Q131" s="1367"/>
      <c r="R131" s="1367"/>
      <c r="S131" s="1337"/>
      <c r="T131" s="1337"/>
      <c r="U131" s="1337"/>
      <c r="V131" s="1337"/>
      <c r="W131" s="1337"/>
      <c r="X131" s="1337"/>
      <c r="Y131" s="1344"/>
      <c r="Z131" s="1322"/>
      <c r="AA131" s="1329"/>
      <c r="AB131" s="1322"/>
      <c r="AC131" s="1322"/>
      <c r="AD131" s="1322"/>
    </row>
    <row r="132" ht="9" customHeight="1">
      <c r="A132" s="1339"/>
      <c r="B132" s="1339"/>
      <c r="C132" s="1337"/>
      <c r="D132" s="1337"/>
      <c r="E132" s="1337"/>
      <c r="F132" s="1337"/>
      <c r="G132" s="1337"/>
      <c r="H132" s="1360"/>
      <c r="I132" s="1360"/>
      <c r="J132" s="1360"/>
      <c r="K132" s="1360"/>
      <c r="L132" s="1360"/>
      <c r="M132" s="1337"/>
      <c r="N132" s="1365"/>
      <c r="O132" s="1366"/>
      <c r="P132" s="1366"/>
      <c r="Q132" s="1366"/>
      <c r="R132" s="1366"/>
      <c r="S132" s="1337"/>
      <c r="T132" s="1337"/>
      <c r="U132" s="1337"/>
      <c r="V132" s="1337"/>
      <c r="W132" s="1337"/>
      <c r="X132" s="1337"/>
      <c r="Y132" s="1344"/>
      <c r="Z132" s="1322"/>
      <c r="AA132" s="1329"/>
      <c r="AB132" s="1322"/>
      <c r="AC132" s="1322"/>
      <c r="AD132" s="1322"/>
    </row>
    <row r="133" ht="9" customHeight="1">
      <c r="A133" s="1339"/>
      <c r="B133" s="1339"/>
      <c r="C133" s="1337"/>
      <c r="D133" s="1337"/>
      <c r="E133" s="1337"/>
      <c r="F133" s="1337"/>
      <c r="G133" s="1337"/>
      <c r="H133" s="1360"/>
      <c r="I133" s="1360"/>
      <c r="J133" s="1360"/>
      <c r="K133" s="1360"/>
      <c r="L133" s="1360"/>
      <c r="M133" s="1337"/>
      <c r="N133" s="1365"/>
      <c r="O133" s="1367"/>
      <c r="P133" s="1367"/>
      <c r="Q133" s="1367"/>
      <c r="R133" s="1367"/>
      <c r="S133" s="1337"/>
      <c r="T133" s="1337"/>
      <c r="U133" s="1337"/>
      <c r="V133" s="1337"/>
      <c r="W133" s="1337"/>
      <c r="X133" s="1337"/>
      <c r="Y133" s="1344"/>
      <c r="Z133" s="1322"/>
      <c r="AA133" s="1329"/>
      <c r="AB133" s="1322"/>
      <c r="AC133" s="1322"/>
      <c r="AD133" s="1322"/>
    </row>
    <row r="134" ht="9" customHeight="1">
      <c r="A134" s="1339"/>
      <c r="B134" s="1339"/>
      <c r="C134" s="1337"/>
      <c r="D134" s="1337"/>
      <c r="E134" s="1337"/>
      <c r="F134" s="1337"/>
      <c r="G134" s="1337"/>
      <c r="H134" s="1360"/>
      <c r="I134" s="1360"/>
      <c r="J134" s="1360"/>
      <c r="K134" s="1360"/>
      <c r="L134" s="1360"/>
      <c r="M134" s="1337"/>
      <c r="N134" s="1365"/>
      <c r="O134" s="1358"/>
      <c r="P134" s="1358"/>
      <c r="Q134" s="1358"/>
      <c r="R134" s="1358"/>
      <c r="S134" s="1337"/>
      <c r="T134" s="1337"/>
      <c r="U134" s="1337"/>
      <c r="V134" s="1337"/>
      <c r="W134" s="1337"/>
      <c r="X134" s="1337"/>
      <c r="Y134" s="1344"/>
      <c r="Z134" s="1322"/>
      <c r="AA134" s="1329"/>
      <c r="AB134" s="1322"/>
      <c r="AC134" s="1322"/>
      <c r="AD134" s="1322"/>
    </row>
    <row r="135" ht="9" customHeight="1">
      <c r="A135" s="1339"/>
      <c r="B135" s="1339"/>
      <c r="C135" s="1337"/>
      <c r="D135" s="1337"/>
      <c r="E135" s="1337"/>
      <c r="F135" s="1337"/>
      <c r="G135" s="1337"/>
      <c r="H135" s="1360"/>
      <c r="I135" s="1360"/>
      <c r="J135" s="1360"/>
      <c r="K135" s="1360"/>
      <c r="L135" s="1360"/>
      <c r="M135" s="1337"/>
      <c r="N135" s="1365"/>
      <c r="O135" s="1358"/>
      <c r="P135" s="1358"/>
      <c r="Q135" s="1358"/>
      <c r="R135" s="1358"/>
      <c r="S135" s="1337"/>
      <c r="T135" s="1337"/>
      <c r="U135" s="1337"/>
      <c r="V135" s="1337"/>
      <c r="W135" s="1337"/>
      <c r="X135" s="1337"/>
      <c r="Y135" s="1344"/>
      <c r="Z135" s="1322"/>
      <c r="AA135" s="1329"/>
      <c r="AB135" s="1322"/>
      <c r="AC135" s="1322"/>
      <c r="AD135" s="1322"/>
    </row>
    <row r="136" ht="9" customHeight="1">
      <c r="A136" s="1339"/>
      <c r="B136" s="1339"/>
      <c r="C136" s="1337"/>
      <c r="D136" s="1337"/>
      <c r="E136" s="1337"/>
      <c r="F136" s="1337"/>
      <c r="G136" s="1337"/>
      <c r="H136" s="1360"/>
      <c r="I136" s="1360"/>
      <c r="J136" s="1360"/>
      <c r="K136" s="1360"/>
      <c r="L136" s="1360"/>
      <c r="M136" s="1337"/>
      <c r="N136" s="1365"/>
      <c r="O136" s="1358"/>
      <c r="P136" s="1358"/>
      <c r="Q136" s="1358"/>
      <c r="R136" s="1358"/>
      <c r="S136" s="1337"/>
      <c r="T136" s="1337"/>
      <c r="U136" s="1337"/>
      <c r="V136" s="1337"/>
      <c r="W136" s="1337"/>
      <c r="X136" s="1337"/>
      <c r="Y136" s="1344"/>
      <c r="Z136" s="1322"/>
      <c r="AA136" s="1329"/>
      <c r="AB136" s="1322"/>
      <c r="AC136" s="1322"/>
      <c r="AD136" s="1322"/>
    </row>
    <row r="137" ht="9" customHeight="1">
      <c r="A137" s="1339"/>
      <c r="B137" s="1339"/>
      <c r="C137" s="1337"/>
      <c r="D137" s="1337"/>
      <c r="E137" s="1337"/>
      <c r="F137" s="1337"/>
      <c r="G137" s="1337"/>
      <c r="H137" s="1360"/>
      <c r="I137" s="1360"/>
      <c r="J137" s="1360"/>
      <c r="K137" s="1360"/>
      <c r="L137" s="1360"/>
      <c r="M137" s="1337"/>
      <c r="N137" s="1365"/>
      <c r="O137" s="1368"/>
      <c r="P137" s="1368"/>
      <c r="Q137" s="1368"/>
      <c r="R137" s="1368"/>
      <c r="S137" s="1337"/>
      <c r="T137" s="1337"/>
      <c r="U137" s="1337"/>
      <c r="V137" s="1337"/>
      <c r="W137" s="1337"/>
      <c r="X137" s="1337"/>
      <c r="Y137" s="1344"/>
      <c r="Z137" s="1322"/>
      <c r="AA137" s="1329"/>
      <c r="AB137" s="1322"/>
      <c r="AC137" s="1322"/>
      <c r="AD137" s="1322"/>
    </row>
    <row r="138" ht="9" customHeight="1">
      <c r="A138" s="1339"/>
      <c r="B138" s="1339"/>
      <c r="C138" s="1337"/>
      <c r="D138" s="1337"/>
      <c r="E138" s="1337"/>
      <c r="F138" s="1337"/>
      <c r="G138" s="1337"/>
      <c r="H138" s="1360"/>
      <c r="I138" s="1360"/>
      <c r="J138" s="1360"/>
      <c r="K138" s="1360"/>
      <c r="L138" s="1360"/>
      <c r="M138" s="1337"/>
      <c r="N138" s="1365"/>
      <c r="O138" s="1361"/>
      <c r="P138" s="1361"/>
      <c r="Q138" s="1361"/>
      <c r="R138" s="1361"/>
      <c r="S138" s="1337"/>
      <c r="T138" s="1337"/>
      <c r="U138" s="1337"/>
      <c r="V138" s="1337"/>
      <c r="W138" s="1337"/>
      <c r="X138" s="1337"/>
      <c r="Y138" s="1344"/>
      <c r="Z138" s="1322"/>
      <c r="AA138" s="1329"/>
      <c r="AB138" s="1322"/>
      <c r="AC138" s="1322"/>
      <c r="AD138" s="1322"/>
    </row>
    <row r="139" ht="9" customHeight="1">
      <c r="A139" s="1339"/>
      <c r="B139" s="1339"/>
      <c r="C139" s="1337"/>
      <c r="D139" s="1337"/>
      <c r="E139" s="1337"/>
      <c r="F139" s="1337"/>
      <c r="G139" s="1337"/>
      <c r="H139" s="1360"/>
      <c r="I139" s="1360"/>
      <c r="J139" s="1360"/>
      <c r="K139" s="1360"/>
      <c r="L139" s="1360"/>
      <c r="M139" s="1337"/>
      <c r="N139" s="1365"/>
      <c r="O139" s="1337"/>
      <c r="P139" s="1337"/>
      <c r="Q139" s="1337"/>
      <c r="R139" s="1337"/>
      <c r="S139" s="1337"/>
      <c r="T139" s="1337"/>
      <c r="U139" s="1337"/>
      <c r="V139" s="1337"/>
      <c r="W139" s="1337"/>
      <c r="X139" s="1337"/>
      <c r="Y139" s="1344"/>
      <c r="Z139" s="1322"/>
      <c r="AA139" s="1329"/>
      <c r="AB139" s="1322"/>
      <c r="AC139" s="1322"/>
      <c r="AD139" s="1322"/>
    </row>
    <row r="140" ht="9" customHeight="1">
      <c r="A140" s="1339"/>
      <c r="B140" s="1339"/>
      <c r="C140" s="1337"/>
      <c r="D140" s="1337"/>
      <c r="E140" s="1337"/>
      <c r="F140" s="1337"/>
      <c r="G140" s="1337"/>
      <c r="H140" s="1360"/>
      <c r="I140" s="1360"/>
      <c r="J140" s="1360"/>
      <c r="K140" s="1360"/>
      <c r="L140" s="1360"/>
      <c r="M140" s="1337"/>
      <c r="N140" s="1365"/>
      <c r="O140" s="1337"/>
      <c r="P140" s="1337"/>
      <c r="Q140" s="1337"/>
      <c r="R140" s="1337"/>
      <c r="S140" s="1337"/>
      <c r="T140" s="1337"/>
      <c r="U140" s="1337"/>
      <c r="V140" s="1337"/>
      <c r="W140" s="1337"/>
      <c r="X140" s="1337"/>
      <c r="Y140" s="1344"/>
      <c r="Z140" s="1322"/>
      <c r="AA140" s="1329"/>
      <c r="AB140" s="1322"/>
      <c r="AC140" s="1322"/>
      <c r="AD140" s="1322"/>
    </row>
    <row r="141" ht="9" customHeight="1">
      <c r="A141" s="1339"/>
      <c r="B141" s="1339"/>
      <c r="C141" s="1337"/>
      <c r="D141" s="1337"/>
      <c r="E141" s="1337"/>
      <c r="F141" s="1337"/>
      <c r="G141" s="1337"/>
      <c r="H141" s="1360"/>
      <c r="I141" s="1360"/>
      <c r="J141" s="1360"/>
      <c r="K141" s="1360"/>
      <c r="L141" s="1360"/>
      <c r="M141" s="1337"/>
      <c r="N141" s="1365"/>
      <c r="O141" s="1337"/>
      <c r="P141" s="1337"/>
      <c r="Q141" s="1337"/>
      <c r="R141" s="1337"/>
      <c r="S141" s="1337"/>
      <c r="T141" s="1337"/>
      <c r="U141" s="1337"/>
      <c r="V141" s="1337"/>
      <c r="W141" s="1337"/>
      <c r="X141" s="1337"/>
      <c r="Y141" s="1344"/>
      <c r="Z141" s="1322"/>
      <c r="AA141" s="1329"/>
      <c r="AB141" s="1322"/>
      <c r="AC141" s="1322"/>
      <c r="AD141" s="1322"/>
    </row>
    <row r="142" ht="9" customHeight="1">
      <c r="A142" s="1339"/>
      <c r="B142" s="1339"/>
      <c r="C142" s="1337"/>
      <c r="D142" s="1337"/>
      <c r="E142" s="1337"/>
      <c r="F142" s="1337"/>
      <c r="G142" s="1337"/>
      <c r="H142" s="1360"/>
      <c r="I142" s="1360"/>
      <c r="J142" s="1360"/>
      <c r="K142" s="1360"/>
      <c r="L142" s="1360"/>
      <c r="M142" s="1337"/>
      <c r="N142" s="1365"/>
      <c r="O142" s="1337"/>
      <c r="P142" s="1337"/>
      <c r="Q142" s="1337"/>
      <c r="R142" s="1337"/>
      <c r="S142" s="1337"/>
      <c r="T142" s="1337"/>
      <c r="U142" s="1337"/>
      <c r="V142" s="1337"/>
      <c r="W142" s="1337"/>
      <c r="X142" s="1337"/>
      <c r="Y142" s="1344"/>
      <c r="Z142" s="1322"/>
      <c r="AA142" s="1329"/>
      <c r="AB142" s="1322"/>
      <c r="AC142" s="1322"/>
      <c r="AD142" s="1322"/>
    </row>
    <row r="143" ht="9" customHeight="1">
      <c r="A143" s="1339"/>
      <c r="B143" s="1339"/>
      <c r="C143" s="1337"/>
      <c r="D143" s="1337"/>
      <c r="E143" s="1337"/>
      <c r="F143" s="1337"/>
      <c r="G143" s="1337"/>
      <c r="H143" s="1360"/>
      <c r="I143" s="1360"/>
      <c r="J143" s="1360"/>
      <c r="K143" s="1360"/>
      <c r="L143" s="1360"/>
      <c r="M143" s="1337"/>
      <c r="N143" s="1365"/>
      <c r="O143" s="1337"/>
      <c r="P143" s="1337"/>
      <c r="Q143" s="1337"/>
      <c r="R143" s="1337"/>
      <c r="S143" s="1337"/>
      <c r="T143" s="1337"/>
      <c r="U143" s="1337"/>
      <c r="V143" s="1337"/>
      <c r="W143" s="1337"/>
      <c r="X143" s="1337"/>
      <c r="Y143" s="1344"/>
      <c r="Z143" s="1322"/>
      <c r="AA143" s="1329"/>
      <c r="AB143" s="1322"/>
      <c r="AC143" s="1322"/>
      <c r="AD143" s="1322"/>
    </row>
    <row r="144" ht="9" customHeight="1">
      <c r="A144" s="1339"/>
      <c r="B144" s="1339"/>
      <c r="C144" s="1337"/>
      <c r="D144" s="1337"/>
      <c r="E144" s="1337"/>
      <c r="F144" s="1337"/>
      <c r="G144" s="1337"/>
      <c r="H144" s="1360"/>
      <c r="I144" s="1360"/>
      <c r="J144" s="1360"/>
      <c r="K144" s="1360"/>
      <c r="L144" s="1360"/>
      <c r="M144" s="1337"/>
      <c r="N144" s="1365"/>
      <c r="O144" s="1337"/>
      <c r="P144" s="1337"/>
      <c r="Q144" s="1337"/>
      <c r="R144" s="1337"/>
      <c r="S144" s="1337"/>
      <c r="T144" s="1337"/>
      <c r="U144" s="1337"/>
      <c r="V144" s="1337"/>
      <c r="W144" s="1337"/>
      <c r="X144" s="1337"/>
      <c r="Y144" s="1344"/>
      <c r="Z144" s="1322"/>
      <c r="AA144" s="1329"/>
      <c r="AB144" s="1322"/>
      <c r="AC144" s="1322"/>
      <c r="AD144" s="1322"/>
    </row>
    <row r="145" ht="9" customHeight="1">
      <c r="A145" s="1339"/>
      <c r="B145" s="1339"/>
      <c r="C145" s="1337"/>
      <c r="D145" s="1337"/>
      <c r="E145" s="1337"/>
      <c r="F145" s="1337"/>
      <c r="G145" s="1337"/>
      <c r="H145" s="1360"/>
      <c r="I145" s="1360"/>
      <c r="J145" s="1360"/>
      <c r="K145" s="1360"/>
      <c r="L145" s="1360"/>
      <c r="M145" s="1337"/>
      <c r="N145" s="1365"/>
      <c r="O145" s="1337"/>
      <c r="P145" s="1337"/>
      <c r="Q145" s="1337"/>
      <c r="R145" s="1337"/>
      <c r="S145" s="1337"/>
      <c r="T145" s="1337"/>
      <c r="U145" s="1337"/>
      <c r="V145" s="1337"/>
      <c r="W145" s="1337"/>
      <c r="X145" s="1337"/>
      <c r="Y145" s="1344"/>
      <c r="Z145" s="1322"/>
      <c r="AA145" s="1329"/>
      <c r="AB145" s="1322"/>
      <c r="AC145" s="1322"/>
      <c r="AD145" s="1322"/>
    </row>
    <row r="146" ht="9" customHeight="1">
      <c r="A146" s="1339"/>
      <c r="B146" s="1339"/>
      <c r="C146" s="1337"/>
      <c r="D146" s="1337"/>
      <c r="E146" s="1337"/>
      <c r="F146" s="1337"/>
      <c r="G146" s="1337"/>
      <c r="H146" s="1360"/>
      <c r="I146" s="1360"/>
      <c r="J146" s="1360"/>
      <c r="K146" s="1360"/>
      <c r="L146" s="1360"/>
      <c r="M146" s="1337"/>
      <c r="N146" s="1365"/>
      <c r="O146" s="1337"/>
      <c r="P146" s="1337"/>
      <c r="Q146" s="1337"/>
      <c r="R146" s="1337"/>
      <c r="S146" s="1337"/>
      <c r="T146" s="1337"/>
      <c r="U146" s="1337"/>
      <c r="V146" s="1337"/>
      <c r="W146" s="1337"/>
      <c r="X146" s="1337"/>
      <c r="Y146" s="1344"/>
      <c r="Z146" s="1322"/>
      <c r="AA146" s="1329"/>
      <c r="AB146" s="1322"/>
      <c r="AC146" s="1322"/>
      <c r="AD146" s="1322"/>
    </row>
    <row r="147" ht="9" customHeight="1">
      <c r="A147" s="1339"/>
      <c r="B147" s="1339"/>
      <c r="C147" s="1339"/>
      <c r="D147" s="1339"/>
      <c r="E147" s="1339"/>
      <c r="F147" s="1339"/>
      <c r="G147" s="1339"/>
      <c r="H147" s="1339"/>
      <c r="I147" s="1339"/>
      <c r="J147" s="1339"/>
      <c r="K147" s="1339"/>
      <c r="L147" s="1339"/>
      <c r="M147" s="1339"/>
      <c r="N147" s="1339"/>
      <c r="O147" s="1339"/>
      <c r="P147" s="1339"/>
      <c r="Q147" s="1339"/>
      <c r="R147" s="1339"/>
      <c r="S147" s="1339"/>
      <c r="T147" s="1339"/>
      <c r="U147" s="1339"/>
      <c r="V147" s="1339"/>
      <c r="W147" s="1339"/>
      <c r="X147" s="1339"/>
      <c r="Y147" s="1339"/>
      <c r="Z147" s="1339"/>
      <c r="AA147" s="1339"/>
      <c r="AB147" s="1339"/>
      <c r="AC147" s="1339"/>
      <c r="AD147" s="1339"/>
    </row>
    <row r="148" ht="90" customHeight="1">
      <c r="A148" s="1339" t="s">
        <v>1667</v>
      </c>
      <c r="B148" s="1339"/>
      <c r="C148" s="1337" t="s">
        <v>2229</v>
      </c>
      <c r="D148" s="1337" t="s">
        <v>1569</v>
      </c>
      <c r="E148" s="1337" t="s">
        <v>1669</v>
      </c>
      <c r="F148" s="1337" t="s">
        <v>2230</v>
      </c>
      <c r="G148" s="1337"/>
      <c r="H148" s="1337"/>
      <c r="I148" s="1369"/>
      <c r="J148" s="1369"/>
      <c r="K148" s="1369"/>
      <c r="L148" s="1369"/>
      <c r="M148" s="1370" t="str">
        <f>IF(TEMPLATE_SPHERE="HEAT",T148,IF(TEMPLATE_SPHERE="TKO",X148,U148))</f>
        <v xml:space="preserve">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1350"/>
      <c r="O148" s="1337"/>
      <c r="P148" s="1343"/>
      <c r="Q148" s="1343"/>
      <c r="R148" s="1343"/>
      <c r="S148" s="1337"/>
      <c r="T148" s="1337" t="s">
        <v>2231</v>
      </c>
      <c r="U148" s="1343"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 xml:space="preserve">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1343"/>
      <c r="W148" s="1343"/>
      <c r="X148" s="1337" t="s">
        <v>2232</v>
      </c>
      <c r="Y148" s="1344"/>
      <c r="Z148" s="1322"/>
      <c r="AA148" s="1329"/>
      <c r="AB148" s="1322"/>
      <c r="AC148" s="1322"/>
      <c r="AD148" s="1322"/>
    </row>
    <row r="149" ht="9" customHeight="1">
      <c r="A149" s="1339"/>
      <c r="B149" s="1339"/>
      <c r="C149" s="1339"/>
      <c r="D149" s="1339"/>
      <c r="E149" s="1339"/>
      <c r="F149" s="1339"/>
      <c r="G149" s="1339"/>
      <c r="H149" s="1339"/>
      <c r="I149" s="1339"/>
      <c r="J149" s="1339"/>
      <c r="K149" s="1339"/>
      <c r="L149" s="1339"/>
      <c r="M149" s="1339"/>
      <c r="N149" s="1339"/>
      <c r="O149" s="1339"/>
      <c r="P149" s="1339"/>
      <c r="Q149" s="1339"/>
      <c r="R149" s="1339"/>
      <c r="S149" s="1339"/>
      <c r="T149" s="1339"/>
      <c r="U149" s="1339"/>
      <c r="V149" s="1339"/>
      <c r="W149" s="1339"/>
      <c r="X149" s="1339"/>
      <c r="Y149" s="1339"/>
      <c r="Z149" s="1339"/>
      <c r="AA149" s="1339"/>
      <c r="AB149" s="1339"/>
      <c r="AC149" s="1339"/>
      <c r="AD149" s="1339"/>
    </row>
    <row r="150" ht="9" customHeight="1">
      <c r="A150" s="1339" t="s">
        <v>1671</v>
      </c>
      <c r="B150" s="1339"/>
      <c r="C150" s="1337"/>
      <c r="D150" s="1337"/>
      <c r="E150" s="1337"/>
      <c r="F150" s="1337"/>
      <c r="G150" s="1337"/>
      <c r="H150" s="1337"/>
      <c r="I150" s="1337"/>
      <c r="J150" s="1337"/>
      <c r="K150" s="1337"/>
      <c r="L150" s="1337"/>
      <c r="M150" s="1337"/>
      <c r="N150" s="1337"/>
      <c r="O150" s="1337"/>
      <c r="P150" s="1337"/>
      <c r="Q150" s="1337"/>
      <c r="R150" s="1337"/>
      <c r="S150" s="1337"/>
      <c r="T150" s="1337"/>
      <c r="U150" s="1337"/>
      <c r="V150" s="1337"/>
      <c r="W150" s="1337"/>
      <c r="X150" s="1337"/>
      <c r="Y150" s="1344"/>
      <c r="Z150" s="1322"/>
      <c r="AA150" s="1329"/>
      <c r="AB150" s="1322"/>
      <c r="AC150" s="1322"/>
      <c r="AD150" s="1322"/>
    </row>
    <row r="151" ht="9" customHeight="1">
      <c r="A151" s="1339"/>
      <c r="B151" s="1339"/>
      <c r="C151" s="1339"/>
      <c r="D151" s="1339"/>
      <c r="E151" s="1339"/>
      <c r="F151" s="1339"/>
      <c r="G151" s="1339"/>
      <c r="H151" s="1339"/>
      <c r="I151" s="1339"/>
      <c r="J151" s="1339"/>
      <c r="K151" s="1339"/>
      <c r="L151" s="1339"/>
      <c r="M151" s="1339"/>
      <c r="N151" s="1339"/>
      <c r="O151" s="1339"/>
      <c r="P151" s="1339"/>
      <c r="Q151" s="1339"/>
      <c r="R151" s="1339"/>
      <c r="S151" s="1339"/>
      <c r="T151" s="1339"/>
      <c r="U151" s="1339"/>
      <c r="V151" s="1339"/>
      <c r="W151" s="1339"/>
      <c r="X151" s="1339"/>
      <c r="Y151" s="1339"/>
      <c r="Z151" s="1339"/>
      <c r="AA151" s="1339"/>
      <c r="AB151" s="1339"/>
      <c r="AC151" s="1339"/>
      <c r="AD151" s="1339"/>
    </row>
    <row r="152" ht="9" customHeight="1">
      <c r="A152" s="1339" t="s">
        <v>1674</v>
      </c>
      <c r="B152" s="1339"/>
      <c r="C152" s="1337"/>
      <c r="D152" s="1337"/>
      <c r="E152" s="1337"/>
      <c r="F152" s="1337"/>
      <c r="G152" s="1337"/>
      <c r="H152" s="1337"/>
      <c r="I152" s="1337"/>
      <c r="J152" s="1337"/>
      <c r="K152" s="1337"/>
      <c r="L152" s="1337"/>
      <c r="M152" s="1337"/>
      <c r="N152" s="1337"/>
      <c r="O152" s="1337"/>
      <c r="P152" s="1337"/>
      <c r="Q152" s="1337"/>
      <c r="R152" s="1337"/>
      <c r="S152" s="1337"/>
      <c r="T152" s="1337"/>
      <c r="U152" s="1337"/>
      <c r="V152" s="1337"/>
      <c r="W152" s="1337"/>
      <c r="X152" s="1337"/>
      <c r="Y152" s="1344"/>
      <c r="Z152" s="1322"/>
      <c r="AA152" s="1329"/>
      <c r="AB152" s="1322"/>
      <c r="AC152" s="1322"/>
      <c r="AD152" s="1322"/>
    </row>
    <row r="153" ht="9" customHeight="1">
      <c r="A153" s="1339"/>
      <c r="B153" s="1339"/>
      <c r="C153" s="1339"/>
      <c r="D153" s="1339"/>
      <c r="E153" s="1339"/>
      <c r="F153" s="1339"/>
      <c r="G153" s="1339"/>
      <c r="H153" s="1339"/>
      <c r="I153" s="1339"/>
      <c r="J153" s="1339"/>
      <c r="K153" s="1339"/>
      <c r="L153" s="1339"/>
      <c r="M153" s="1339"/>
      <c r="N153" s="1339"/>
      <c r="O153" s="1339"/>
      <c r="P153" s="1339"/>
      <c r="Q153" s="1339"/>
      <c r="R153" s="1339"/>
      <c r="S153" s="1339"/>
      <c r="T153" s="1339"/>
      <c r="U153" s="1339"/>
      <c r="V153" s="1339"/>
      <c r="W153" s="1339"/>
      <c r="X153" s="1339"/>
      <c r="Y153" s="1339"/>
      <c r="Z153" s="1339"/>
      <c r="AA153" s="1339"/>
      <c r="AB153" s="1339"/>
      <c r="AC153" s="1339"/>
      <c r="AD153" s="1339"/>
    </row>
    <row r="154" ht="9" customHeight="1">
      <c r="A154" s="1339" t="s">
        <v>1678</v>
      </c>
      <c r="B154" s="1339"/>
      <c r="C154" s="1337"/>
      <c r="D154" s="1337"/>
      <c r="E154" s="1337"/>
      <c r="F154" s="1337"/>
      <c r="G154" s="1337"/>
      <c r="H154" s="1337"/>
      <c r="I154" s="1337"/>
      <c r="J154" s="1337"/>
      <c r="K154" s="1337"/>
      <c r="L154" s="1337"/>
      <c r="M154" s="1337"/>
      <c r="N154" s="1337"/>
      <c r="O154" s="1337"/>
      <c r="P154" s="1337"/>
      <c r="Q154" s="1337"/>
      <c r="R154" s="1337"/>
      <c r="S154" s="1337"/>
      <c r="T154" s="1337"/>
      <c r="U154" s="1337"/>
      <c r="V154" s="1337"/>
      <c r="W154" s="1337"/>
      <c r="X154" s="1337"/>
      <c r="Y154" s="1344"/>
      <c r="Z154" s="1322"/>
      <c r="AA154" s="1329"/>
      <c r="AB154" s="1322"/>
      <c r="AC154" s="1322"/>
      <c r="AD154" s="1322"/>
    </row>
  </sheetData>
  <sheetProtection autoFilter="0" deleteColumns="1" deleteRows="1" formatCells="1" formatColumns="1" formatRows="1" insertColumns="1" insertHyperlinks="1" insertRows="1" objects="0" pivotTables="1" scenarios="0" selectLockedCells="0" selectUnlockedCells="0" sheet="1" sort="1"/>
  <mergeCells count="12">
    <mergeCell ref="O1:S1"/>
    <mergeCell ref="T1:X1"/>
    <mergeCell ref="Z1:AD1"/>
    <mergeCell ref="C3:F3"/>
    <mergeCell ref="A11:A15"/>
    <mergeCell ref="C11:C16"/>
    <mergeCell ref="D11:D16"/>
    <mergeCell ref="E11:E16"/>
    <mergeCell ref="F11:F16"/>
    <mergeCell ref="G11:G16"/>
    <mergeCell ref="H13:H14"/>
    <mergeCell ref="H15:H16"/>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legacyDrawing r:id="rId3"/>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topLeftCell="I4" zoomScale="100" workbookViewId="0">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2.28125"/>
    <col customWidth="1" hidden="1" min="6" max="8" style="61" width="12.28125"/>
    <col customWidth="1" min="9" max="9" style="60" width="3.00390625"/>
    <col customWidth="1" min="10" max="11" style="487" width="3.00390625"/>
    <col customWidth="1" min="12" max="12" style="86" width="12.00390625"/>
    <col customWidth="1" min="13" max="13" style="50" width="31.00390625"/>
    <col customWidth="1" min="14" max="14" style="50" width="1.00390625"/>
    <col customWidth="1" min="15" max="18" style="50" width="24.00390625"/>
    <col customWidth="1" min="19" max="19" style="50" width="11.00390625"/>
    <col customWidth="1" min="20" max="20" style="50" width="3.7109375"/>
    <col customWidth="1" min="21" max="21" style="50" width="11.00390625"/>
    <col customWidth="1" min="22" max="22" style="50" width="8.57421875"/>
    <col customWidth="1" min="23" max="23" style="50" width="4.00390625"/>
    <col customWidth="1" min="24" max="24" style="50" width="115.00390625"/>
    <col customWidth="1" min="25" max="29" style="57" width="10.00390625"/>
    <col hidden="1" min="30" max="30" style="50" width="10.57421875"/>
  </cols>
  <sheetData>
    <row r="1" ht="22.5" hidden="1" customHeight="1">
      <c r="R1" s="50"/>
      <c r="S1" s="50"/>
      <c r="AD1" s="50" t="s">
        <v>14</v>
      </c>
    </row>
    <row r="2" ht="14.25" hidden="1" customHeight="1">
      <c r="V2" s="50"/>
      <c r="AD2" s="50">
        <v>0</v>
      </c>
    </row>
    <row r="3" ht="14.25" hidden="1" customHeight="1">
      <c r="AD3" s="50">
        <v>0</v>
      </c>
    </row>
    <row r="4" ht="14.65" customHeight="1">
      <c r="J4" s="548"/>
      <c r="K4" s="548"/>
      <c r="L4" s="549"/>
      <c r="M4" s="91"/>
      <c r="N4" s="91"/>
      <c r="O4" s="50"/>
      <c r="P4" s="50"/>
      <c r="Q4" s="50"/>
      <c r="R4" s="50"/>
      <c r="S4" s="50"/>
      <c r="T4" s="50"/>
      <c r="U4" s="50"/>
      <c r="V4" s="50"/>
      <c r="AD4" s="50">
        <v>14</v>
      </c>
    </row>
    <row r="5" ht="67.200000000000003" customHeight="1">
      <c r="J5" s="548"/>
      <c r="K5" s="548"/>
      <c r="L5" s="1371" t="s">
        <v>2233</v>
      </c>
      <c r="M5" s="1371"/>
      <c r="N5" s="1371"/>
      <c r="O5" s="1371"/>
      <c r="P5" s="1371"/>
      <c r="Q5" s="1371"/>
      <c r="R5" s="1371"/>
      <c r="S5" s="1371"/>
      <c r="T5" s="1371"/>
      <c r="U5" s="1371"/>
      <c r="V5" s="240"/>
      <c r="AD5" s="50">
        <v>64</v>
      </c>
    </row>
    <row r="6" ht="14.65" customHeight="1">
      <c r="J6" s="548"/>
      <c r="K6" s="548"/>
      <c r="L6" s="1372" t="str">
        <f>IF(org=0,"Не определено",org)</f>
        <v xml:space="preserve">АО "ДГК"</v>
      </c>
      <c r="M6" s="1372"/>
      <c r="N6" s="1372"/>
      <c r="O6" s="1372"/>
      <c r="P6" s="1372"/>
      <c r="Q6" s="1372"/>
      <c r="R6" s="1372"/>
      <c r="S6" s="1372"/>
      <c r="T6" s="1372"/>
      <c r="U6" s="1372"/>
      <c r="V6" s="240"/>
      <c r="AD6" s="50">
        <v>14</v>
      </c>
    </row>
    <row r="7" ht="14.65" customHeight="1">
      <c r="J7" s="548"/>
      <c r="K7" s="548"/>
      <c r="L7" s="549"/>
      <c r="M7" s="91"/>
      <c r="N7" s="91"/>
      <c r="O7" s="550"/>
      <c r="P7" s="550"/>
      <c r="Q7" s="550"/>
      <c r="R7" s="550"/>
      <c r="S7" s="550"/>
      <c r="T7" s="550"/>
      <c r="U7" s="550"/>
      <c r="V7" s="550"/>
      <c r="W7" s="50"/>
      <c r="AD7" s="50">
        <v>14</v>
      </c>
    </row>
    <row r="8" s="184" customFormat="1" ht="48.25" customHeight="1">
      <c r="A8" s="151"/>
      <c r="B8" s="151"/>
      <c r="C8" s="151"/>
      <c r="D8" s="151"/>
      <c r="E8" s="151"/>
      <c r="F8" s="151"/>
      <c r="G8" s="151"/>
      <c r="H8" s="151"/>
      <c r="L8" s="1028"/>
      <c r="M8" s="551" t="s">
        <v>42</v>
      </c>
      <c r="N8" s="1012"/>
      <c r="O8" s="553" t="str">
        <f>IF(TITLE_NAME_OR_PR_CHANGE="",IF(TITLE_NAME_OR_PR="","",TITLE_NAME_OR_PR),TITLE_NAME_OR_PR_CHANGE)</f>
        <v/>
      </c>
      <c r="P8" s="553"/>
      <c r="Q8" s="553"/>
      <c r="R8" s="553"/>
      <c r="S8" s="553"/>
      <c r="T8" s="553"/>
      <c r="U8" s="553"/>
      <c r="V8" s="50"/>
      <c r="W8" s="50"/>
      <c r="X8" s="554"/>
      <c r="Y8" s="129"/>
      <c r="Z8" s="129"/>
      <c r="AA8" s="129"/>
      <c r="AB8" s="129"/>
      <c r="AC8" s="129"/>
      <c r="AD8" s="184">
        <v>46</v>
      </c>
    </row>
    <row r="9" s="184" customFormat="1" ht="24" customHeight="1">
      <c r="A9" s="151"/>
      <c r="B9" s="151"/>
      <c r="C9" s="151"/>
      <c r="D9" s="151"/>
      <c r="E9" s="151"/>
      <c r="F9" s="151"/>
      <c r="G9" s="151"/>
      <c r="H9" s="151"/>
      <c r="L9" s="1028"/>
      <c r="M9" s="551" t="s">
        <v>425</v>
      </c>
      <c r="N9" s="1012"/>
      <c r="O9" s="553">
        <f>IF(TITLE_DATE_CHANGE_PERIOD="",IF(TITLE_DATE_PR="","",TITLE_DATE_PR),TITLE_DATE_CHANGE_PERIOD)</f>
        <v>46226.428171296298</v>
      </c>
      <c r="P9" s="553"/>
      <c r="Q9" s="553"/>
      <c r="R9" s="553"/>
      <c r="S9" s="553"/>
      <c r="T9" s="553"/>
      <c r="U9" s="553"/>
      <c r="V9" s="50"/>
      <c r="W9" s="50"/>
      <c r="X9" s="554"/>
      <c r="Y9" s="129"/>
      <c r="Z9" s="129"/>
      <c r="AA9" s="129"/>
      <c r="AB9" s="129"/>
      <c r="AC9" s="129"/>
      <c r="AD9" s="184">
        <v>23</v>
      </c>
    </row>
    <row r="10" s="184" customFormat="1" ht="24" customHeight="1">
      <c r="A10" s="151"/>
      <c r="B10" s="151"/>
      <c r="C10" s="151"/>
      <c r="D10" s="151"/>
      <c r="E10" s="151"/>
      <c r="F10" s="151"/>
      <c r="G10" s="151"/>
      <c r="H10" s="151"/>
      <c r="L10" s="86"/>
      <c r="M10" s="551" t="s">
        <v>426</v>
      </c>
      <c r="N10" s="1012"/>
      <c r="O10" s="553" t="str">
        <f>IF(TITLE_NUMBER_PR_CHANGE="",IF(TITLE_NUMBER_PR="","",TITLE_NUMBER_PR),TITLE_NUMBER_PR_CHANGE)</f>
        <v>Исх-260/1397</v>
      </c>
      <c r="P10" s="553"/>
      <c r="Q10" s="553"/>
      <c r="R10" s="553"/>
      <c r="S10" s="553"/>
      <c r="T10" s="553"/>
      <c r="U10" s="553"/>
      <c r="V10" s="50"/>
      <c r="W10" s="50"/>
      <c r="X10" s="554"/>
      <c r="Y10" s="129"/>
      <c r="Z10" s="129"/>
      <c r="AA10" s="129"/>
      <c r="AB10" s="129"/>
      <c r="AC10" s="129"/>
      <c r="AD10" s="184">
        <v>23</v>
      </c>
    </row>
    <row r="11" s="184" customFormat="1" ht="24" customHeight="1">
      <c r="A11" s="151"/>
      <c r="B11" s="151"/>
      <c r="C11" s="151"/>
      <c r="D11" s="151"/>
      <c r="E11" s="151"/>
      <c r="F11" s="151"/>
      <c r="G11" s="151"/>
      <c r="H11" s="151"/>
      <c r="L11" s="86"/>
      <c r="M11" s="551" t="s">
        <v>43</v>
      </c>
      <c r="N11" s="1012"/>
      <c r="O11" s="553" t="str">
        <f>IF(TITLE_IST_PUB_CHANGE="",IF(TITLE_IST_PUB="","",TITLE_IST_PUB),TITLE_IST_PUB_CHANGE)</f>
        <v/>
      </c>
      <c r="P11" s="553"/>
      <c r="Q11" s="553"/>
      <c r="R11" s="553"/>
      <c r="S11" s="553"/>
      <c r="T11" s="553"/>
      <c r="U11" s="553"/>
      <c r="V11" s="50"/>
      <c r="W11" s="50"/>
      <c r="X11" s="554"/>
      <c r="Y11" s="129"/>
      <c r="Z11" s="129"/>
      <c r="AA11" s="129"/>
      <c r="AB11" s="129"/>
      <c r="AC11" s="129"/>
      <c r="AD11" s="184">
        <v>23</v>
      </c>
    </row>
    <row r="12" s="184" customFormat="1" ht="11.25" hidden="1" customHeight="1">
      <c r="A12" s="151"/>
      <c r="B12" s="151"/>
      <c r="C12" s="151"/>
      <c r="D12" s="151"/>
      <c r="E12" s="151"/>
      <c r="F12" s="151"/>
      <c r="G12" s="151"/>
      <c r="H12" s="151"/>
      <c r="L12" s="140"/>
      <c r="M12" s="140"/>
      <c r="N12" s="140"/>
      <c r="O12" s="50"/>
      <c r="P12" s="50"/>
      <c r="Q12" s="50"/>
      <c r="R12" s="50"/>
      <c r="S12" s="50"/>
      <c r="T12" s="50"/>
      <c r="U12" s="50"/>
      <c r="V12" s="57" t="s">
        <v>429</v>
      </c>
      <c r="Y12" s="129"/>
      <c r="Z12" s="129"/>
      <c r="AA12" s="129"/>
      <c r="AB12" s="129"/>
      <c r="AC12" s="129"/>
      <c r="AD12" s="184">
        <v>0</v>
      </c>
    </row>
    <row r="13" ht="14.65" customHeight="1">
      <c r="J13" s="548"/>
      <c r="K13" s="548"/>
      <c r="L13" s="549"/>
      <c r="M13" s="91"/>
      <c r="N13" s="556"/>
      <c r="O13" s="557"/>
      <c r="P13" s="557"/>
      <c r="Q13" s="557"/>
      <c r="R13" s="557"/>
      <c r="S13" s="557"/>
      <c r="T13" s="557"/>
      <c r="U13" s="557"/>
      <c r="V13" s="557"/>
      <c r="AD13" s="50">
        <v>14</v>
      </c>
    </row>
    <row r="14" ht="14.65" customHeight="1">
      <c r="J14" s="548"/>
      <c r="K14" s="548"/>
      <c r="L14" s="157" t="s">
        <v>305</v>
      </c>
      <c r="M14" s="157"/>
      <c r="N14" s="157"/>
      <c r="O14" s="157"/>
      <c r="P14" s="157"/>
      <c r="Q14" s="157"/>
      <c r="R14" s="157"/>
      <c r="S14" s="157"/>
      <c r="T14" s="157"/>
      <c r="U14" s="157"/>
      <c r="V14" s="157"/>
      <c r="W14" s="157"/>
      <c r="X14" s="157" t="s">
        <v>306</v>
      </c>
      <c r="AD14" s="50">
        <v>14</v>
      </c>
    </row>
    <row r="15" ht="14.65" customHeight="1">
      <c r="J15" s="548"/>
      <c r="K15" s="548"/>
      <c r="L15" s="493" t="s">
        <v>89</v>
      </c>
      <c r="M15" s="358" t="s">
        <v>430</v>
      </c>
      <c r="N15" s="558"/>
      <c r="O15" s="559" t="s">
        <v>2234</v>
      </c>
      <c r="P15" s="560"/>
      <c r="Q15" s="560"/>
      <c r="R15" s="560"/>
      <c r="S15" s="560"/>
      <c r="T15" s="560"/>
      <c r="U15" s="561"/>
      <c r="V15" s="562" t="s">
        <v>432</v>
      </c>
      <c r="W15" s="563" t="s">
        <v>1149</v>
      </c>
      <c r="X15" s="157"/>
      <c r="AD15" s="50">
        <v>14</v>
      </c>
    </row>
    <row r="16" ht="35.649999999999999" customHeight="1">
      <c r="J16" s="548"/>
      <c r="K16" s="548"/>
      <c r="L16" s="493"/>
      <c r="M16" s="358"/>
      <c r="N16" s="564"/>
      <c r="O16" s="320" t="s">
        <v>435</v>
      </c>
      <c r="P16" s="320" t="s">
        <v>436</v>
      </c>
      <c r="Q16" s="73" t="s">
        <v>437</v>
      </c>
      <c r="R16" s="72"/>
      <c r="S16" s="73" t="s">
        <v>450</v>
      </c>
      <c r="T16" s="145"/>
      <c r="U16" s="72"/>
      <c r="V16" s="566"/>
      <c r="W16" s="567"/>
      <c r="X16" s="157"/>
      <c r="AD16" s="50">
        <v>34</v>
      </c>
    </row>
    <row r="17" ht="35.649999999999999" customHeight="1">
      <c r="A17" s="151" t="s">
        <v>134</v>
      </c>
      <c r="B17" s="151" t="s">
        <v>135</v>
      </c>
      <c r="C17" s="151" t="s">
        <v>136</v>
      </c>
      <c r="D17" s="151" t="s">
        <v>137</v>
      </c>
      <c r="E17" s="151"/>
      <c r="J17" s="548"/>
      <c r="K17" s="548"/>
      <c r="L17" s="493"/>
      <c r="M17" s="358"/>
      <c r="N17" s="568"/>
      <c r="O17" s="162"/>
      <c r="P17" s="162"/>
      <c r="Q17" s="246" t="s">
        <v>446</v>
      </c>
      <c r="R17" s="246" t="s">
        <v>447</v>
      </c>
      <c r="S17" s="246" t="s">
        <v>448</v>
      </c>
      <c r="T17" s="424" t="s">
        <v>449</v>
      </c>
      <c r="U17" s="426"/>
      <c r="V17" s="570"/>
      <c r="W17" s="571"/>
      <c r="X17" s="157"/>
      <c r="AD17" s="50">
        <v>34</v>
      </c>
    </row>
    <row r="18" s="131" customFormat="1" ht="11.5" customHeight="1">
      <c r="A18" s="151"/>
      <c r="B18" s="151"/>
      <c r="C18" s="151"/>
      <c r="D18" s="151"/>
      <c r="E18" s="151"/>
      <c r="F18" s="61"/>
      <c r="G18" s="61"/>
      <c r="H18" s="61"/>
      <c r="I18" s="572"/>
      <c r="J18" s="573"/>
      <c r="K18" s="574">
        <v>1</v>
      </c>
      <c r="L18" s="575" t="s">
        <v>109</v>
      </c>
      <c r="M18" s="576" t="s">
        <v>110</v>
      </c>
      <c r="N18" s="577" t="str">
        <f ca="1">OFFSET(N18,0,-1)</f>
        <v>2</v>
      </c>
      <c r="O18" s="578">
        <f ca="1">OFFSET(O18,0,-1)+1</f>
        <v>3</v>
      </c>
      <c r="P18" s="578"/>
      <c r="Q18" s="578">
        <f ca="1">OFFSET(Q18,0,-1)+1</f>
        <v>1</v>
      </c>
      <c r="R18" s="578">
        <f ca="1">OFFSET(R18,0,-1)+1</f>
        <v>2</v>
      </c>
      <c r="S18" s="578">
        <f ca="1">OFFSET(S18,0,-1)+1</f>
        <v>3</v>
      </c>
      <c r="T18" s="578">
        <f ca="1">OFFSET(T18,0,-1)+1</f>
        <v>4</v>
      </c>
      <c r="U18" s="578"/>
      <c r="V18" s="578">
        <f ca="1">OFFSET(V18,0,-2)+1</f>
        <v>5</v>
      </c>
      <c r="W18" s="577">
        <f ca="1">OFFSET(W18,0,-1)</f>
        <v>5</v>
      </c>
      <c r="X18" s="578">
        <f ca="1">OFFSET(X18,0,-1)+1</f>
        <v>6</v>
      </c>
      <c r="Y18" s="57"/>
      <c r="Z18" s="57"/>
      <c r="AA18" s="57"/>
      <c r="AB18" s="57"/>
      <c r="AC18" s="57"/>
      <c r="AD18" s="131">
        <v>11</v>
      </c>
    </row>
    <row r="19" ht="21" customHeight="1">
      <c r="A19" s="488" t="s">
        <v>168</v>
      </c>
      <c r="B19" s="488" t="s">
        <v>169</v>
      </c>
      <c r="C19" s="488" t="s">
        <v>170</v>
      </c>
      <c r="D19" s="488" t="s">
        <v>171</v>
      </c>
      <c r="E19" s="488"/>
      <c r="F19" s="491"/>
      <c r="G19" s="491"/>
      <c r="H19" s="491"/>
      <c r="I19" s="60"/>
      <c r="J19" s="143"/>
      <c r="K19" s="492"/>
      <c r="L19" s="493">
        <f>INDEX(PT_DIFFERENTIATION_NUM_NTAR,MATCH(A19,PT_DIFFERENTIATION_NTAR_ID,0))</f>
        <v>0</v>
      </c>
      <c r="M19" s="494" t="s">
        <v>123</v>
      </c>
      <c r="N19" s="495"/>
      <c r="O19" s="1373" t="str">
        <f>INDEX(PT_DIFFERENTIATION_NTAR,MATCH(A19,PT_DIFFERENTIATION_NTAR_ID,0))</f>
        <v/>
      </c>
      <c r="P19" s="1373"/>
      <c r="Q19" s="1373"/>
      <c r="R19" s="1373"/>
      <c r="S19" s="1373"/>
      <c r="T19" s="1373"/>
      <c r="U19" s="1373"/>
      <c r="V19" s="1373"/>
      <c r="W19" s="1373"/>
      <c r="X19" s="499" t="s">
        <v>401</v>
      </c>
      <c r="Z19" s="129"/>
      <c r="AA19" s="129" t="str">
        <f t="shared" ref="AA19:AA32" si="80">IF(M19="","",M19)</f>
        <v xml:space="preserve">Наименование тарифа</v>
      </c>
      <c r="AB19" s="129"/>
      <c r="AC19" s="129"/>
      <c r="AD19" s="50">
        <v>20</v>
      </c>
    </row>
    <row r="20" ht="21" customHeight="1">
      <c r="A20" s="488" t="s">
        <v>168</v>
      </c>
      <c r="B20" s="488" t="s">
        <v>169</v>
      </c>
      <c r="C20" s="488" t="s">
        <v>170</v>
      </c>
      <c r="D20" s="488" t="s">
        <v>171</v>
      </c>
      <c r="E20" s="488"/>
      <c r="F20" s="491"/>
      <c r="G20" s="491"/>
      <c r="H20" s="491"/>
      <c r="I20" s="51"/>
      <c r="J20" s="501"/>
      <c r="K20" s="502"/>
      <c r="L20" s="493" t="str">
        <f>INDEX(PT_DIFFERENTIATION_NUM_TER,MATCH(B19,PT_DIFFERENTIATION_TER_ID,0))</f>
        <v>.</v>
      </c>
      <c r="M20" s="503" t="s">
        <v>402</v>
      </c>
      <c r="N20" s="495"/>
      <c r="O20" s="1373" t="str">
        <f>INDEX(PT_DIFFERENTIATION_TER,MATCH(B19,PT_DIFFERENTIATION_TER_ID,0))</f>
        <v/>
      </c>
      <c r="P20" s="1373"/>
      <c r="Q20" s="1373"/>
      <c r="R20" s="1373"/>
      <c r="S20" s="1373"/>
      <c r="T20" s="1373"/>
      <c r="U20" s="1373"/>
      <c r="V20" s="1373"/>
      <c r="W20" s="1373"/>
      <c r="X20" s="499" t="s">
        <v>403</v>
      </c>
      <c r="Z20" s="129"/>
      <c r="AA20" s="129" t="str">
        <f t="shared" si="80"/>
        <v xml:space="preserve">Территория действия тарифа</v>
      </c>
      <c r="AB20" s="129"/>
      <c r="AC20" s="129"/>
      <c r="AD20" s="50">
        <v>20</v>
      </c>
    </row>
    <row r="21" ht="24" customHeight="1">
      <c r="A21" s="488" t="s">
        <v>168</v>
      </c>
      <c r="B21" s="488" t="s">
        <v>169</v>
      </c>
      <c r="C21" s="488" t="s">
        <v>170</v>
      </c>
      <c r="D21" s="488" t="s">
        <v>171</v>
      </c>
      <c r="E21" s="488"/>
      <c r="F21" s="491"/>
      <c r="G21" s="491"/>
      <c r="H21" s="491"/>
      <c r="I21" s="504"/>
      <c r="J21" s="501"/>
      <c r="K21" s="502"/>
      <c r="L21" s="493" t="str">
        <f>INDEX(PT_DIFFERENTIATION_NUM_CS,MATCH(C19,PT_DIFFERENTIATION_CS_ID,0))</f>
        <v>..</v>
      </c>
      <c r="M21" s="505" t="s">
        <v>404</v>
      </c>
      <c r="N21" s="495"/>
      <c r="O21" s="1373" t="str">
        <f>INDEX(PT_DIFFERENTIATION_CS,MATCH(C19,PT_DIFFERENTIATION_CS_ID,0))</f>
        <v/>
      </c>
      <c r="P21" s="1373"/>
      <c r="Q21" s="1373"/>
      <c r="R21" s="1373"/>
      <c r="S21" s="1373"/>
      <c r="T21" s="1373"/>
      <c r="U21" s="1373"/>
      <c r="V21" s="1373"/>
      <c r="W21" s="1373"/>
      <c r="X21" s="499" t="s">
        <v>405</v>
      </c>
      <c r="Z21" s="129"/>
      <c r="AA21" s="129" t="str">
        <f t="shared" si="80"/>
        <v xml:space="preserve">Наименование системы теплоснабжения </v>
      </c>
      <c r="AB21" s="129"/>
      <c r="AC21" s="129"/>
      <c r="AD21" s="50">
        <v>23</v>
      </c>
    </row>
    <row r="22" ht="21" customHeight="1">
      <c r="A22" s="488" t="s">
        <v>168</v>
      </c>
      <c r="B22" s="488" t="s">
        <v>169</v>
      </c>
      <c r="C22" s="488" t="s">
        <v>170</v>
      </c>
      <c r="D22" s="488" t="s">
        <v>171</v>
      </c>
      <c r="E22" s="488"/>
      <c r="F22" s="491"/>
      <c r="G22" s="491"/>
      <c r="H22" s="491"/>
      <c r="I22" s="504"/>
      <c r="J22" s="501"/>
      <c r="K22" s="502"/>
      <c r="L22" s="493" t="str">
        <f>INDEX(PT_DIFFERENTIATION_NUM_IST_TE,MATCH(D19,PT_DIFFERENTIATION_IST_TE_ID,0))</f>
        <v>...</v>
      </c>
      <c r="M22" s="506" t="s">
        <v>406</v>
      </c>
      <c r="N22" s="495"/>
      <c r="O22" s="1373" t="str">
        <f>INDEX(PT_DIFFERENTIATION_IST_TE,MATCH(D19,PT_DIFFERENTIATION_IST_TE_ID,0))</f>
        <v/>
      </c>
      <c r="P22" s="1373"/>
      <c r="Q22" s="1373"/>
      <c r="R22" s="1373"/>
      <c r="S22" s="1373"/>
      <c r="T22" s="1373"/>
      <c r="U22" s="1373"/>
      <c r="V22" s="1373"/>
      <c r="W22" s="1373"/>
      <c r="X22" s="499" t="s">
        <v>407</v>
      </c>
      <c r="Z22" s="129"/>
      <c r="AA22" s="129" t="str">
        <f t="shared" si="80"/>
        <v xml:space="preserve">Источник тепловой энергии  </v>
      </c>
      <c r="AB22" s="129"/>
      <c r="AC22" s="129"/>
      <c r="AD22" s="50">
        <v>20</v>
      </c>
    </row>
    <row r="23" ht="96.75" customHeight="1">
      <c r="A23" s="488" t="s">
        <v>168</v>
      </c>
      <c r="B23" s="488" t="s">
        <v>169</v>
      </c>
      <c r="C23" s="488" t="s">
        <v>170</v>
      </c>
      <c r="D23" s="488" t="s">
        <v>171</v>
      </c>
      <c r="E23" s="488"/>
      <c r="F23" s="113" t="str">
        <f>L22&amp;".1"</f>
        <v>....1</v>
      </c>
      <c r="I23" s="132">
        <v>1</v>
      </c>
      <c r="J23" s="132"/>
      <c r="K23" s="508"/>
      <c r="L23" s="493" t="str">
        <f>$F$23</f>
        <v>....1</v>
      </c>
      <c r="M23" s="509" t="s">
        <v>409</v>
      </c>
      <c r="N23" s="495"/>
      <c r="O23" s="616"/>
      <c r="P23" s="616"/>
      <c r="Q23" s="616"/>
      <c r="R23" s="616"/>
      <c r="S23" s="616"/>
      <c r="T23" s="616"/>
      <c r="U23" s="616"/>
      <c r="V23" s="616"/>
      <c r="W23" s="616"/>
      <c r="X23" s="499" t="s">
        <v>410</v>
      </c>
      <c r="Z23" s="129"/>
      <c r="AA23" s="129" t="str">
        <f t="shared" si="80"/>
        <v xml:space="preserve">Схема подключения теплопотребляющей установки к коллектору источника тепловой энергии</v>
      </c>
      <c r="AB23" s="129"/>
      <c r="AC23" s="129"/>
      <c r="AD23" s="50">
        <v>92</v>
      </c>
    </row>
    <row r="24" ht="86.25" customHeight="1">
      <c r="A24" s="488" t="s">
        <v>168</v>
      </c>
      <c r="B24" s="488" t="s">
        <v>169</v>
      </c>
      <c r="C24" s="488" t="s">
        <v>170</v>
      </c>
      <c r="D24" s="488" t="s">
        <v>171</v>
      </c>
      <c r="E24" s="488"/>
      <c r="F24" s="113"/>
      <c r="G24" s="113" t="str">
        <f>F23&amp;".1"</f>
        <v>....1.1</v>
      </c>
      <c r="I24" s="132"/>
      <c r="J24" s="132">
        <v>1</v>
      </c>
      <c r="K24" s="513"/>
      <c r="L24" s="493" t="str">
        <f>$G$24</f>
        <v>....1.1</v>
      </c>
      <c r="M24" s="514" t="s">
        <v>412</v>
      </c>
      <c r="N24" s="495"/>
      <c r="O24" s="440"/>
      <c r="P24" s="510"/>
      <c r="Q24" s="510"/>
      <c r="R24" s="510"/>
      <c r="S24" s="510"/>
      <c r="T24" s="510"/>
      <c r="U24" s="510"/>
      <c r="V24" s="510"/>
      <c r="W24" s="511"/>
      <c r="X24" s="499" t="s">
        <v>413</v>
      </c>
      <c r="Z24" s="129"/>
      <c r="AA24" s="129" t="str">
        <f t="shared" si="80"/>
        <v xml:space="preserve">Группа потребителей</v>
      </c>
      <c r="AB24" s="129"/>
      <c r="AC24" s="129"/>
      <c r="AD24" s="50">
        <v>82</v>
      </c>
    </row>
    <row r="25" ht="11.5" customHeight="1">
      <c r="A25" s="488" t="s">
        <v>168</v>
      </c>
      <c r="B25" s="488" t="s">
        <v>169</v>
      </c>
      <c r="C25" s="488" t="s">
        <v>170</v>
      </c>
      <c r="D25" s="488" t="s">
        <v>171</v>
      </c>
      <c r="E25" s="488"/>
      <c r="F25" s="113"/>
      <c r="G25" s="113"/>
      <c r="H25" s="113" t="str">
        <f>G24&amp;".1"</f>
        <v>....1.1.1</v>
      </c>
      <c r="I25" s="132"/>
      <c r="J25" s="132"/>
      <c r="K25" s="513">
        <v>1</v>
      </c>
      <c r="L25" s="493" t="str">
        <f>$H$25</f>
        <v>....1.1.1</v>
      </c>
      <c r="M25" s="515"/>
      <c r="N25" s="495"/>
      <c r="O25" s="516"/>
      <c r="P25" s="517"/>
      <c r="Q25" s="516"/>
      <c r="R25" s="518"/>
      <c r="S25" s="519"/>
      <c r="T25" s="224" t="s">
        <v>67</v>
      </c>
      <c r="U25" s="519"/>
      <c r="V25" s="224" t="s">
        <v>19</v>
      </c>
      <c r="W25" s="517"/>
      <c r="X25" s="520" t="s">
        <v>415</v>
      </c>
      <c r="Y25" s="57" t="e">
        <f>STRCHECKDATE(O26:W26)</f>
        <v>#NAME?</v>
      </c>
      <c r="Z25" s="129"/>
      <c r="AA25" s="129" t="str">
        <f t="shared" si="80"/>
        <v/>
      </c>
      <c r="AB25" s="129"/>
      <c r="AC25" s="129"/>
      <c r="AD25" s="50">
        <v>11</v>
      </c>
    </row>
    <row r="26" ht="11.5" customHeight="1">
      <c r="A26" s="488" t="s">
        <v>168</v>
      </c>
      <c r="B26" s="488" t="s">
        <v>169</v>
      </c>
      <c r="C26" s="488" t="s">
        <v>170</v>
      </c>
      <c r="D26" s="488" t="s">
        <v>171</v>
      </c>
      <c r="E26" s="488"/>
      <c r="F26" s="113"/>
      <c r="G26" s="113"/>
      <c r="H26" s="113"/>
      <c r="I26" s="132"/>
      <c r="J26" s="132"/>
      <c r="K26" s="513"/>
      <c r="L26" s="467"/>
      <c r="M26" s="495"/>
      <c r="N26" s="495"/>
      <c r="O26" s="517"/>
      <c r="P26" s="517"/>
      <c r="Q26" s="517"/>
      <c r="R26" s="521" t="str">
        <f>S25&amp;"-"&amp;U25</f>
        <v>-</v>
      </c>
      <c r="S26" s="522"/>
      <c r="T26" s="224"/>
      <c r="U26" s="522"/>
      <c r="V26" s="224"/>
      <c r="W26" s="517"/>
      <c r="X26" s="523"/>
      <c r="Z26" s="129"/>
      <c r="AA26" s="129" t="str">
        <f t="shared" si="80"/>
        <v/>
      </c>
      <c r="AB26" s="129"/>
      <c r="AC26" s="129"/>
      <c r="AD26" s="50">
        <v>11</v>
      </c>
    </row>
    <row r="27" ht="15.75" customHeight="1">
      <c r="A27" s="488" t="s">
        <v>168</v>
      </c>
      <c r="B27" s="488" t="s">
        <v>169</v>
      </c>
      <c r="C27" s="488" t="s">
        <v>170</v>
      </c>
      <c r="D27" s="488" t="s">
        <v>171</v>
      </c>
      <c r="E27" s="488"/>
      <c r="F27" s="113"/>
      <c r="G27" s="113"/>
      <c r="I27" s="132"/>
      <c r="J27" s="132"/>
      <c r="K27" s="508"/>
      <c r="L27" s="524"/>
      <c r="M27" s="525" t="s">
        <v>416</v>
      </c>
      <c r="N27" s="214"/>
      <c r="O27" s="214"/>
      <c r="P27" s="214"/>
      <c r="Q27" s="214"/>
      <c r="R27" s="214"/>
      <c r="S27" s="214"/>
      <c r="T27" s="214"/>
      <c r="U27" s="214"/>
      <c r="V27" s="214"/>
      <c r="W27" s="526"/>
      <c r="X27" s="527"/>
      <c r="Z27" s="129"/>
      <c r="AA27" s="129" t="str">
        <f t="shared" si="80"/>
        <v xml:space="preserve">Добавить вид теплоносителя (параметры теплоносителя)</v>
      </c>
      <c r="AB27" s="129"/>
      <c r="AC27" s="129"/>
      <c r="AD27" s="50">
        <v>15</v>
      </c>
    </row>
    <row r="28" ht="15.75" customHeight="1">
      <c r="A28" s="488" t="s">
        <v>168</v>
      </c>
      <c r="B28" s="488" t="s">
        <v>169</v>
      </c>
      <c r="C28" s="488" t="s">
        <v>170</v>
      </c>
      <c r="D28" s="488" t="s">
        <v>171</v>
      </c>
      <c r="E28" s="488"/>
      <c r="F28" s="113"/>
      <c r="I28" s="132"/>
      <c r="J28" s="132"/>
      <c r="K28" s="508"/>
      <c r="L28" s="524"/>
      <c r="M28" s="528" t="s">
        <v>417</v>
      </c>
      <c r="N28" s="214"/>
      <c r="O28" s="214"/>
      <c r="P28" s="214"/>
      <c r="Q28" s="214"/>
      <c r="R28" s="214"/>
      <c r="S28" s="214"/>
      <c r="T28" s="214"/>
      <c r="U28" s="214"/>
      <c r="V28" s="529"/>
      <c r="W28" s="214"/>
      <c r="X28" s="530"/>
      <c r="Z28" s="129"/>
      <c r="AA28" s="129" t="str">
        <f t="shared" si="80"/>
        <v xml:space="preserve">Добавить группу потребителей</v>
      </c>
      <c r="AB28" s="129"/>
      <c r="AC28" s="129"/>
      <c r="AD28" s="50">
        <v>15</v>
      </c>
    </row>
    <row r="29" ht="14.65" customHeight="1">
      <c r="A29" s="488" t="s">
        <v>168</v>
      </c>
      <c r="B29" s="488" t="s">
        <v>169</v>
      </c>
      <c r="C29" s="488" t="s">
        <v>170</v>
      </c>
      <c r="D29" s="488" t="s">
        <v>171</v>
      </c>
      <c r="E29" s="488"/>
      <c r="F29" s="491"/>
      <c r="G29" s="491"/>
      <c r="H29" s="53"/>
      <c r="I29" s="143"/>
      <c r="J29" s="531"/>
      <c r="K29" s="492"/>
      <c r="L29" s="524"/>
      <c r="M29" s="532" t="s">
        <v>418</v>
      </c>
      <c r="N29" s="214"/>
      <c r="O29" s="214"/>
      <c r="P29" s="214"/>
      <c r="Q29" s="214"/>
      <c r="R29" s="214"/>
      <c r="S29" s="214"/>
      <c r="T29" s="214"/>
      <c r="U29" s="214"/>
      <c r="V29" s="529"/>
      <c r="W29" s="214"/>
      <c r="X29" s="530"/>
      <c r="Z29" s="129"/>
      <c r="AA29" s="129" t="str">
        <f t="shared" si="80"/>
        <v xml:space="preserve">Добавить схему подключения</v>
      </c>
      <c r="AB29" s="129"/>
      <c r="AC29" s="129"/>
      <c r="AD29" s="50">
        <v>14</v>
      </c>
    </row>
    <row r="30" ht="14.65" customHeight="1">
      <c r="A30" s="488" t="s">
        <v>168</v>
      </c>
      <c r="B30" s="488" t="s">
        <v>169</v>
      </c>
      <c r="C30" s="488" t="s">
        <v>170</v>
      </c>
      <c r="D30" s="488"/>
      <c r="E30" s="488" t="s">
        <v>590</v>
      </c>
      <c r="F30" s="491"/>
      <c r="G30" s="491"/>
      <c r="H30" s="53"/>
      <c r="I30" s="143"/>
      <c r="J30" s="531"/>
      <c r="K30" s="492"/>
      <c r="L30" s="1374"/>
      <c r="M30" s="1375"/>
      <c r="N30" s="1376"/>
      <c r="O30" s="1376"/>
      <c r="P30" s="1376"/>
      <c r="Q30" s="1376"/>
      <c r="R30" s="1376"/>
      <c r="S30" s="1376"/>
      <c r="T30" s="1376"/>
      <c r="U30" s="1376"/>
      <c r="V30" s="1377"/>
      <c r="W30" s="1376"/>
      <c r="X30" s="1378"/>
      <c r="Z30" s="129"/>
      <c r="AA30" s="129" t="str">
        <f t="shared" si="80"/>
        <v/>
      </c>
      <c r="AB30" s="129"/>
      <c r="AC30" s="129"/>
      <c r="AD30" s="50">
        <v>14</v>
      </c>
    </row>
    <row r="31" ht="14.65" customHeight="1">
      <c r="A31" s="488" t="s">
        <v>168</v>
      </c>
      <c r="B31" s="488" t="s">
        <v>169</v>
      </c>
      <c r="C31" s="488"/>
      <c r="D31" s="488"/>
      <c r="E31" s="488" t="s">
        <v>2235</v>
      </c>
      <c r="F31" s="665"/>
      <c r="G31" s="665"/>
      <c r="H31" s="53"/>
      <c r="I31" s="307"/>
      <c r="J31" s="531"/>
      <c r="K31" s="1285"/>
      <c r="L31" s="1374"/>
      <c r="M31" s="1379"/>
      <c r="N31" s="1376"/>
      <c r="O31" s="1376"/>
      <c r="P31" s="1376"/>
      <c r="Q31" s="1376"/>
      <c r="R31" s="1376"/>
      <c r="S31" s="1376"/>
      <c r="T31" s="1376"/>
      <c r="U31" s="1376"/>
      <c r="V31" s="1377"/>
      <c r="W31" s="1376"/>
      <c r="X31" s="1378"/>
      <c r="Z31" s="129"/>
      <c r="AA31" s="129" t="str">
        <f t="shared" si="80"/>
        <v/>
      </c>
      <c r="AB31" s="129"/>
      <c r="AC31" s="129"/>
      <c r="AD31" s="50">
        <v>14</v>
      </c>
    </row>
    <row r="32" ht="14.65" customHeight="1">
      <c r="A32" s="488" t="s">
        <v>2236</v>
      </c>
      <c r="B32" s="488"/>
      <c r="C32" s="488"/>
      <c r="D32" s="488"/>
      <c r="E32" s="488" t="s">
        <v>104</v>
      </c>
      <c r="F32" s="665"/>
      <c r="G32" s="665"/>
      <c r="H32" s="53"/>
      <c r="I32" s="143"/>
      <c r="J32" s="531"/>
      <c r="K32" s="492"/>
      <c r="L32" s="1374"/>
      <c r="M32" s="1380"/>
      <c r="N32" s="1376"/>
      <c r="O32" s="1376"/>
      <c r="P32" s="1376"/>
      <c r="Q32" s="1376"/>
      <c r="R32" s="1376"/>
      <c r="S32" s="1376"/>
      <c r="T32" s="1376"/>
      <c r="U32" s="1376"/>
      <c r="V32" s="1377"/>
      <c r="W32" s="1376"/>
      <c r="X32" s="1378"/>
      <c r="Z32" s="129"/>
      <c r="AA32" s="129" t="str">
        <f t="shared" si="80"/>
        <v/>
      </c>
      <c r="AB32" s="129"/>
      <c r="AC32" s="129"/>
      <c r="AD32" s="50">
        <v>14</v>
      </c>
    </row>
    <row r="33" s="63" customFormat="1" ht="11.5" customHeight="1">
      <c r="A33" s="488"/>
      <c r="B33" s="488"/>
      <c r="C33" s="488"/>
      <c r="D33" s="488"/>
      <c r="E33" s="488" t="s">
        <v>214</v>
      </c>
      <c r="F33" s="665"/>
      <c r="G33" s="1381"/>
      <c r="H33" s="53"/>
      <c r="L33" s="1382"/>
      <c r="M33" s="1383"/>
      <c r="N33" s="1376"/>
      <c r="O33" s="1376"/>
      <c r="P33" s="1376"/>
      <c r="Q33" s="1376"/>
      <c r="R33" s="1376"/>
      <c r="S33" s="1376"/>
      <c r="T33" s="1376"/>
      <c r="U33" s="1376"/>
      <c r="V33" s="1377"/>
      <c r="W33" s="1376"/>
      <c r="X33" s="1378"/>
      <c r="Y33" s="167"/>
      <c r="Z33" s="167"/>
      <c r="AA33" s="167"/>
      <c r="AB33" s="167"/>
      <c r="AC33" s="167"/>
      <c r="AD33" s="63">
        <v>11</v>
      </c>
    </row>
    <row r="34" ht="11.5" customHeight="1">
      <c r="F34" s="53"/>
      <c r="G34" s="53"/>
      <c r="H34" s="53"/>
      <c r="I34" s="50"/>
      <c r="J34" s="50"/>
      <c r="K34" s="50"/>
      <c r="Y34" s="50"/>
      <c r="Z34" s="50"/>
      <c r="AA34" s="50"/>
      <c r="AB34" s="50"/>
      <c r="AC34" s="50"/>
      <c r="AD34" s="50">
        <v>11</v>
      </c>
    </row>
    <row r="35" ht="28.5" customHeight="1">
      <c r="H35" s="53"/>
      <c r="L35" s="583" t="s">
        <v>808</v>
      </c>
      <c r="M35" s="583" t="s">
        <v>2237</v>
      </c>
      <c r="N35" s="583"/>
      <c r="O35" s="583"/>
      <c r="P35" s="583"/>
      <c r="Q35" s="583"/>
      <c r="R35" s="583"/>
      <c r="S35" s="583"/>
      <c r="T35" s="583"/>
      <c r="U35" s="583"/>
      <c r="V35" s="583"/>
      <c r="W35" s="583"/>
      <c r="X35" s="583"/>
      <c r="AD35" s="50">
        <v>27</v>
      </c>
    </row>
    <row r="36" ht="109.2" customHeight="1">
      <c r="H36" s="53"/>
      <c r="I36" s="60"/>
      <c r="M36" s="583" t="s">
        <v>2238</v>
      </c>
      <c r="N36" s="583"/>
      <c r="O36" s="583"/>
      <c r="P36" s="583"/>
      <c r="Q36" s="583"/>
      <c r="R36" s="583"/>
      <c r="S36" s="583"/>
      <c r="T36" s="583"/>
      <c r="U36" s="583"/>
      <c r="V36" s="583"/>
      <c r="W36" s="583"/>
      <c r="X36" s="583"/>
      <c r="AD36" s="50">
        <v>104</v>
      </c>
    </row>
    <row r="37" ht="14.65" customHeight="1">
      <c r="H37" s="53"/>
      <c r="AD37" s="50">
        <v>14</v>
      </c>
    </row>
    <row r="38" ht="14.65" customHeight="1">
      <c r="H38" s="53"/>
      <c r="AD38" s="50">
        <v>14</v>
      </c>
    </row>
    <row r="39" ht="14.65" customHeight="1">
      <c r="H39" s="53"/>
      <c r="AD39" s="50">
        <v>14</v>
      </c>
    </row>
    <row r="40" ht="14.65" customHeight="1">
      <c r="H40" s="53"/>
      <c r="AD40" s="50">
        <v>14</v>
      </c>
    </row>
    <row r="41" ht="22.5" hidden="1" customHeight="1">
      <c r="A41" s="53" t="s">
        <v>83</v>
      </c>
      <c r="B41" s="53">
        <v>0</v>
      </c>
      <c r="C41" s="53">
        <v>0</v>
      </c>
      <c r="D41" s="53">
        <v>0</v>
      </c>
      <c r="E41" s="53">
        <v>0</v>
      </c>
      <c r="F41" s="61">
        <v>0</v>
      </c>
      <c r="G41" s="61">
        <v>0</v>
      </c>
      <c r="H41" s="61">
        <v>0</v>
      </c>
      <c r="I41" s="60">
        <v>3</v>
      </c>
      <c r="J41" s="487">
        <v>3</v>
      </c>
      <c r="K41" s="487">
        <v>3</v>
      </c>
      <c r="L41" s="86">
        <v>12</v>
      </c>
      <c r="M41" s="50">
        <v>31</v>
      </c>
      <c r="N41" s="50">
        <v>1</v>
      </c>
      <c r="O41" s="50">
        <v>24</v>
      </c>
      <c r="P41" s="50">
        <v>24</v>
      </c>
      <c r="Q41" s="50">
        <v>24</v>
      </c>
      <c r="R41" s="50">
        <v>24</v>
      </c>
      <c r="S41" s="50">
        <v>11</v>
      </c>
      <c r="T41" s="50">
        <v>3</v>
      </c>
      <c r="U41" s="50">
        <v>11</v>
      </c>
      <c r="V41" s="50">
        <v>8</v>
      </c>
      <c r="W41" s="50">
        <v>4</v>
      </c>
      <c r="X41" s="50">
        <v>115</v>
      </c>
      <c r="Y41" s="57">
        <v>10</v>
      </c>
      <c r="Z41" s="57">
        <v>10</v>
      </c>
      <c r="AA41" s="57">
        <v>10</v>
      </c>
      <c r="AB41" s="57">
        <v>10</v>
      </c>
      <c r="AC41" s="57">
        <v>10</v>
      </c>
      <c r="AD41" s="50">
        <v>23</v>
      </c>
    </row>
  </sheetData>
  <sheetProtection autoFilter="0" deleteColumns="1" deleteRows="1" formatCells="1" formatColumns="0" formatRows="0" insertColumns="1" insertHyperlinks="1" insertRows="1" objects="0" pivotTables="1" scenarios="0" selectLockedCells="0" selectUnlockedCells="0" sheet="1" sort="1"/>
  <mergeCells count="39">
    <mergeCell ref="L5:U5"/>
    <mergeCell ref="L6:U6"/>
    <mergeCell ref="O8:U8"/>
    <mergeCell ref="O9:U9"/>
    <mergeCell ref="O10:U10"/>
    <mergeCell ref="O11:U11"/>
    <mergeCell ref="L12:M12"/>
    <mergeCell ref="O13:V13"/>
    <mergeCell ref="L14:W14"/>
    <mergeCell ref="X14:X17"/>
    <mergeCell ref="L15:L17"/>
    <mergeCell ref="M15:M17"/>
    <mergeCell ref="O15:U15"/>
    <mergeCell ref="V15:V17"/>
    <mergeCell ref="W15:W17"/>
    <mergeCell ref="O16:O17"/>
    <mergeCell ref="P16:P17"/>
    <mergeCell ref="Q16:R16"/>
    <mergeCell ref="S16:U16"/>
    <mergeCell ref="T17:U17"/>
    <mergeCell ref="T18:U18"/>
    <mergeCell ref="O19:W19"/>
    <mergeCell ref="O20:W20"/>
    <mergeCell ref="O21:W21"/>
    <mergeCell ref="O22:W22"/>
    <mergeCell ref="F23:F28"/>
    <mergeCell ref="I23:I28"/>
    <mergeCell ref="O23:W23"/>
    <mergeCell ref="G24:G27"/>
    <mergeCell ref="J24:J27"/>
    <mergeCell ref="O24:W24"/>
    <mergeCell ref="H25:H26"/>
    <mergeCell ref="S25:S26"/>
    <mergeCell ref="T25:T26"/>
    <mergeCell ref="U25:U26"/>
    <mergeCell ref="V25:V26"/>
    <mergeCell ref="X25:X27"/>
    <mergeCell ref="M35:X35"/>
    <mergeCell ref="M36:X36"/>
  </mergeCells>
  <dataValidations count="4" disablePrompts="0">
    <dataValidation sqref="L131099:X131105 L196635:X196641 L262171:X262177 L327707:X327713 L393243:X393249 L458779:X458785 L524315:X524321 L589851:X589857 L655387:X655393 L720923:X720929 L786459:X786465 L851995:X852001 L917531:X917537 L983067:X983073 L65563:X65569" type="none" allowBlank="1" errorStyle="stop" imeMode="noControl" operator="between" showDropDown="0" showErrorMessage="0" showInputMessage="0"/>
    <dataValidation sqref="R26 R65562 R131098 R196634 R262170 R327706 R393242 R458778 R524314 R589850 R655386 R720922 R786458 R851994 R917530 R983066" type="none" allowBlank="1" errorStyle="stop" imeMode="noControl" operator="between" promptTitle="checkPeriodRange" showDropDown="0" showErrorMessage="0" showInputMessage="0"/>
    <dataValidation sqref="T65561 T131097 T196633 T262169 T327705 T393241 T458777 T524313 T589849 T655385 T720921 T786457 T851993 T917529 T983065 V589849 V655385 V720921 V786457 V851993 V917529 V983065 V65561 V131097 V458777 V196633 V262169 V327705 V393241 V25 T25 V524313"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S65561 S131097 S196633 S262169 S327705 S393241 S458777 S524313 S589849 S655385 S720921 S786457 S851993 S917529 S983065 U65561 U131097 U196633 U262169 U327705 U393241 U458777 U524313 U589849 U655385 U720921 U786457 U851993 U917529 U983065 U25 S25"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5800A2-0006-4A0E-8367-0081001E00FB}" type="list" allowBlank="1" error="Выберите значение из списка" errorStyle="stop" errorTitle="Ошибка" imeMode="noControl" operator="between" showDropDown="0" showErrorMessage="1" showInputMessage="1">
          <x14:formula1>
            <xm:f>kind_of_heat_transfer</xm:f>
          </x14:formula1>
          <xm:sqref>M65561 M131097 M196633 M262169 M327705 M393241 M458777 M524313 M589849 M655385 M720921 M786457 M851993 M917529 M983065</xm:sqref>
        </x14:dataValidation>
        <x14:dataValidation xr:uid="{005700EA-0077-48ED-A5F6-0047003200A8}"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O983064:W983064 O65560:W65560 O131096:W131096 O196632:W196632 O262168:W262168 O327704:W327704 O393240:W393240 O458776:W458776 O524312:W524312 O589848:W589848 O655384:W655384 O720920:W720920 O786456:W786456 O851992:W851992 O917528:W917528</xm:sqref>
        </x14:dataValidation>
        <x14:dataValidation xr:uid="{006800B5-0060-4723-AC09-0046001500C1}" type="textLength" allowBlank="1" error="Допускается ввод не более 900 символов!" errorStyle="stop" errorTitle="Ошибка" imeMode="noControl" operator="lessThanOrEqual" showDropDown="0" showErrorMessage="1" showInputMessage="1">
          <x14:formula1>
            <xm:f>900</xm:f>
          </x14:formula1>
          <xm:sqref>X65555:X65562 X131091:X131098 X196627:X196634 X262163:X262170 X327699:X327706 X393235:X393242 X458771:X458778 X524307:X524314 X589843:X589850 X655379:X655386 X720915:X720922 X786451:X786458 X851987:X851994 X917523:X917530 X983059:X983066</xm:sqref>
        </x14:dataValidation>
        <x14:dataValidation xr:uid="{00A90055-0009-41AE-B60E-000B00FB00C0}" type="list" allowBlank="1" error="Выберите значение из списка" errorStyle="stop" errorTitle="Ошибка" imeMode="noControl" operator="between" showDropDown="0" showErrorMessage="1" showInputMessage="1">
          <x14:formula1>
            <xm:f>kind_of_scheme_in</xm:f>
          </x14:formula1>
          <xm:sqref>O983063:P983063 O65559:P65559 O131095:P131095 O196631:P196631 O262167:P262167 O327703:P327703 O393239:P393239 O458775:P458775 O524311:P524311 O589847:P589847 O655383:P655383 O720919:P720919 O786455:P786455 O851991:P851991 O917527:P917527</xm:sqref>
        </x14:dataValidation>
      </x14:dataValidations>
    </ext>
  </extLst>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topLeftCell="A1" zoomScale="100" workbookViewId="0">
      <selection activeCell="A1" activeCellId="0" sqref="A1"/>
    </sheetView>
  </sheetViews>
  <sheetFormatPr defaultRowHeight="11.25" customHeight="1"/>
  <sheetData/>
  <sheetProtection autoFilter="0" deleteColumns="1" deleteRows="1" formatCells="1" formatColumns="1" formatRows="1" insertColumns="1" insertHyperlinks="1" insertRows="1" objects="0" pivotTables="1" scenarios="0" selectLockedCells="0" selectUnlockedCells="0" sheet="1" sort="1"/>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topLeftCell="A1" zoomScale="100" workbookViewId="0">
      <selection activeCell="A1" activeCellId="0" sqref="A1"/>
    </sheetView>
  </sheetViews>
  <sheetFormatPr defaultRowHeight="11.25" customHeight="1"/>
  <sheetData/>
  <sheetProtection autoFilter="0" deleteColumns="1" deleteRows="1" formatCells="1" formatColumns="1" formatRows="1" insertColumns="1" insertHyperlinks="1" insertRows="1" objects="0" pivotTables="1" scenarios="0" selectLockedCells="0" selectUnlockedCells="0" sheet="1" sort="1"/>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topLeftCell="A1" zoomScale="100" workbookViewId="0">
      <selection activeCell="A1" activeCellId="0" sqref="A1"/>
    </sheetView>
  </sheetViews>
  <sheetFormatPr defaultRowHeight="11.25" customHeight="1"/>
  <sheetData/>
  <sheetProtection autoFilter="0" deleteColumns="1" deleteRows="1" formatCells="1" formatColumns="1" formatRows="1" insertColumns="1" insertHyperlinks="1" insertRows="1" objects="0" pivotTables="1" scenarios="0" selectLockedCells="0" selectUnlockedCells="0" sheet="1" sort="1"/>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topLeftCell="A1" zoomScale="100" workbookViewId="0">
      <selection activeCell="A1" activeCellId="0" sqref="A1"/>
    </sheetView>
  </sheetViews>
  <sheetFormatPr defaultRowHeight="11.25" customHeight="1"/>
  <sheetData/>
  <sheetProtection autoFilter="0" deleteColumns="1" deleteRows="1" formatCells="1" formatColumns="1" formatRows="1" insertColumns="1" insertHyperlinks="1" insertRows="1" objects="0" pivotTables="1" scenarios="0" selectLockedCells="0" selectUnlockedCells="0" sheet="1" sort="1"/>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topLeftCell="A1" zoomScale="100" workbookViewId="0">
      <selection activeCell="A1" activeCellId="0" sqref="A1"/>
    </sheetView>
  </sheetViews>
  <sheetFormatPr defaultRowHeight="11.25" customHeight="1"/>
  <sheetData/>
  <sheetProtection autoFilter="0" deleteColumns="1" deleteRows="1" formatCells="1" formatColumns="1" formatRows="1" insertColumns="1" insertHyperlinks="1" insertRows="1" objects="0" pivotTables="1" scenarios="0" selectLockedCells="0" selectUnlockedCells="0" sheet="1" sort="1"/>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3" tint="0.59999999999999998"/>
    <outlinePr applyStyles="0" summaryBelow="1" summaryRight="1" showOutlineSymbols="1"/>
    <pageSetUpPr autoPageBreaks="1" fitToPage="0"/>
  </sheetPr>
  <sheetViews>
    <sheetView showGridLines="0" zoomScale="90" workbookViewId="0">
      <pane xSplit="5" ySplit="12" topLeftCell="F13" activePane="bottomRight" state="frozen"/>
      <selection activeCell="A1" activeCellId="0" sqref="A1"/>
    </sheetView>
  </sheetViews>
  <sheetFormatPr defaultColWidth="9.140625" defaultRowHeight="11.25" customHeight="1"/>
  <cols>
    <col customWidth="1" hidden="1" min="1" max="1" style="344" width="15.00390625"/>
    <col customWidth="1" hidden="1" min="2" max="2" style="345" width="15.00390625"/>
    <col customWidth="1" min="3" max="3" style="346" width="3.00390625"/>
    <col customWidth="1" min="4" max="4" style="347" width="6.00390625"/>
    <col customWidth="1" min="5" max="5" style="346" width="52.00390625"/>
    <col customWidth="1" min="6" max="6" style="346" width="48.00390625"/>
    <col customWidth="1" min="7" max="7" style="346" width="121.00390625"/>
    <col customWidth="1" min="8" max="8" style="346" width="8.00390625"/>
    <col customWidth="1" min="9" max="9" style="346" width="64.00390625"/>
    <col hidden="1" min="10" max="10" style="346" width="9.140625"/>
  </cols>
  <sheetData>
    <row r="1" ht="11.25" hidden="1" customHeight="1">
      <c r="A1" s="344" t="s">
        <v>304</v>
      </c>
      <c r="J1" s="346" t="s">
        <v>14</v>
      </c>
    </row>
    <row r="2" ht="11.25" hidden="1" customHeight="1">
      <c r="J2" s="346">
        <v>0</v>
      </c>
    </row>
    <row r="3" s="348" customFormat="1" ht="11.5" customHeight="1">
      <c r="A3" s="344"/>
      <c r="B3" s="345"/>
      <c r="D3" s="349"/>
      <c r="J3" s="348">
        <v>11</v>
      </c>
    </row>
    <row r="4" ht="27.300000000000001" customHeight="1">
      <c r="D4" s="236" t="str">
        <f>ORG_INFO_NAME_FORM</f>
        <v xml:space="preserve">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37"/>
      <c r="F4" s="238"/>
      <c r="I4" s="350"/>
      <c r="J4" s="346">
        <v>26</v>
      </c>
    </row>
    <row r="5" ht="18" customHeight="1">
      <c r="D5" s="316" t="str">
        <f>IF(org=0,"Не определено",org)</f>
        <v xml:space="preserve">АО "ДГК"</v>
      </c>
      <c r="E5" s="316"/>
      <c r="F5" s="316"/>
      <c r="I5" s="350"/>
      <c r="J5" s="346">
        <v>17</v>
      </c>
    </row>
    <row r="6" s="348" customFormat="1" ht="11.5" customHeight="1">
      <c r="A6" s="344"/>
      <c r="B6" s="345"/>
      <c r="D6" s="351"/>
      <c r="E6" s="351"/>
      <c r="F6" s="352"/>
      <c r="G6" s="351"/>
      <c r="J6" s="348">
        <v>11</v>
      </c>
    </row>
    <row r="7" ht="11.25" hidden="1" customHeight="1">
      <c r="A7" s="91"/>
      <c r="B7" s="353"/>
      <c r="C7" s="91"/>
      <c r="D7" s="83"/>
      <c r="E7" s="354"/>
      <c r="F7" s="354"/>
      <c r="J7" s="346">
        <v>0</v>
      </c>
    </row>
    <row r="8" ht="11.5" customHeight="1">
      <c r="A8" s="91"/>
      <c r="B8" s="353"/>
      <c r="C8" s="91"/>
      <c r="D8" s="355" t="s">
        <v>305</v>
      </c>
      <c r="E8" s="356"/>
      <c r="F8" s="356"/>
      <c r="G8" s="357" t="s">
        <v>306</v>
      </c>
      <c r="J8" s="346">
        <v>11</v>
      </c>
    </row>
    <row r="9" ht="11.5" customHeight="1">
      <c r="A9" s="91"/>
      <c r="B9" s="353"/>
      <c r="C9" s="91"/>
      <c r="D9" s="356" t="s">
        <v>89</v>
      </c>
      <c r="E9" s="357" t="s">
        <v>307</v>
      </c>
      <c r="F9" s="357" t="s">
        <v>308</v>
      </c>
      <c r="G9" s="358"/>
      <c r="J9" s="346">
        <v>11</v>
      </c>
    </row>
    <row r="10" ht="12" hidden="1" customHeight="1">
      <c r="A10" s="91"/>
      <c r="B10" s="353"/>
      <c r="C10" s="91"/>
      <c r="D10" s="359"/>
      <c r="E10" s="359"/>
      <c r="F10" s="359"/>
      <c r="G10" s="359"/>
      <c r="J10" s="346">
        <v>0</v>
      </c>
    </row>
    <row r="11" ht="22.5" hidden="1" customHeight="1">
      <c r="A11" s="91"/>
      <c r="B11" s="353"/>
      <c r="C11" s="91"/>
      <c r="D11" s="360" t="s">
        <v>109</v>
      </c>
      <c r="E11" s="361" t="s">
        <v>309</v>
      </c>
      <c r="F11" s="362" t="str">
        <f>IF(region_name="","",region_name)</f>
        <v xml:space="preserve">Приморский край</v>
      </c>
      <c r="G11" s="361" t="s">
        <v>310</v>
      </c>
      <c r="H11" s="363"/>
      <c r="J11" s="346">
        <v>0</v>
      </c>
    </row>
    <row r="12" ht="22.5" hidden="1" customHeight="1">
      <c r="A12" s="91"/>
      <c r="B12" s="353"/>
      <c r="C12" s="91"/>
      <c r="D12" s="364" t="s">
        <v>109</v>
      </c>
      <c r="E12" s="36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246" t="s">
        <v>311</v>
      </c>
      <c r="G12" s="366"/>
      <c r="H12" s="363"/>
      <c r="J12" s="346">
        <v>0</v>
      </c>
    </row>
    <row r="13" ht="23.25" customHeight="1">
      <c r="A13" s="91"/>
      <c r="B13" s="353"/>
      <c r="C13" s="91"/>
      <c r="D13" s="364" t="s">
        <v>109</v>
      </c>
      <c r="E13" s="367" t="str">
        <f>"Наименование юридического лица"&amp;IF(TEMPLATE_SPHERE="TKO"," (индивидуального предпринимателя)","")</f>
        <v xml:space="preserve">Наименование юридического лица</v>
      </c>
      <c r="F13" s="295"/>
      <c r="G13" s="36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 xml:space="preserve">Наименование юридического лица (согласно уставу регулируемой организации)</v>
      </c>
      <c r="H13" s="363"/>
      <c r="J13" s="346">
        <v>22</v>
      </c>
    </row>
    <row r="14" ht="22.5" hidden="1" customHeight="1">
      <c r="A14" s="91"/>
      <c r="B14" s="353"/>
      <c r="C14" s="91"/>
      <c r="D14" s="360" t="s">
        <v>312</v>
      </c>
      <c r="E14" s="368" t="s">
        <v>313</v>
      </c>
      <c r="F14" s="362" t="str">
        <f>IF(inn="","",inn)</f>
        <v>1434031363</v>
      </c>
      <c r="G14" s="361" t="s">
        <v>314</v>
      </c>
      <c r="H14" s="363"/>
      <c r="J14" s="346">
        <v>0</v>
      </c>
    </row>
    <row r="15" ht="22.5" hidden="1" customHeight="1">
      <c r="A15" s="91"/>
      <c r="B15" s="353"/>
      <c r="C15" s="91"/>
      <c r="D15" s="360" t="s">
        <v>315</v>
      </c>
      <c r="E15" s="368" t="s">
        <v>316</v>
      </c>
      <c r="F15" s="362" t="str">
        <f>IF(kpp="","",kpp)</f>
        <v>253645001</v>
      </c>
      <c r="G15" s="361" t="s">
        <v>317</v>
      </c>
      <c r="H15" s="363"/>
      <c r="J15" s="346">
        <v>0</v>
      </c>
    </row>
    <row r="16" ht="39" customHeight="1">
      <c r="A16" s="91"/>
      <c r="B16" s="353"/>
      <c r="C16" s="91"/>
      <c r="D16" s="364" t="s">
        <v>110</v>
      </c>
      <c r="E16" s="367"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 xml:space="preserve">Основной государственный регистрационный номер (ОГРН) (основной государственный регистрационный номер индивидуального предпринимателя (ОГРНИП)</v>
      </c>
      <c r="F16" s="295"/>
      <c r="G16" s="365" t="str">
        <f>"Указывается основной государственный регистрационный номер юридического лица"&amp;IF(TEMPLATE_SPHERE="TKO",""," (индивидуального предпринимателя)")&amp;"."</f>
        <v xml:space="preserve">Указывается основной государственный регистрационный номер юридического лица (индивидуального предпринимателя).</v>
      </c>
      <c r="H16" s="363"/>
      <c r="J16" s="346">
        <v>37</v>
      </c>
    </row>
    <row r="17" ht="23.25" customHeight="1">
      <c r="A17" s="91"/>
      <c r="B17" s="353"/>
      <c r="C17" s="91"/>
      <c r="D17" s="364" t="s">
        <v>91</v>
      </c>
      <c r="E17" s="367" t="str">
        <f>"Дата присвоения ОГРН"&amp;IF(TEMPLATE_SPHERE="TKO",""," (ОГРНИП)")</f>
        <v xml:space="preserve">Дата присвоения ОГРН (ОГРНИП)</v>
      </c>
      <c r="F17" s="89" t="s">
        <v>28</v>
      </c>
      <c r="G17" s="365" t="str">
        <f>"Дата присвоения ОГРН"&amp;IF(TEMPLATE_SPHERE="TKO",""," (ОГРНИП)")&amp;" указывается в виде «ДД.ММ.ГГГГ»."</f>
        <v xml:space="preserve">Дата присвоения ОГРН (ОГРНИП) указывается в виде «ДД.ММ.ГГГГ».</v>
      </c>
      <c r="H17" s="363"/>
      <c r="J17" s="346">
        <v>22</v>
      </c>
    </row>
    <row r="18" ht="71.25" customHeight="1">
      <c r="A18" s="91"/>
      <c r="B18" s="353"/>
      <c r="C18" s="91"/>
      <c r="D18" s="364" t="s">
        <v>92</v>
      </c>
      <c r="E18" s="367"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 xml:space="preserve">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295"/>
      <c r="G18" s="366"/>
      <c r="H18" s="363"/>
      <c r="J18" s="346">
        <v>68</v>
      </c>
    </row>
    <row r="19" ht="22.5" hidden="1" customHeight="1">
      <c r="A19" s="369" t="s">
        <v>318</v>
      </c>
      <c r="B19" s="353"/>
      <c r="C19" s="370"/>
      <c r="D19" s="364" t="str">
        <f>A19</f>
        <v>5.1</v>
      </c>
      <c r="E19" s="367" t="s">
        <v>319</v>
      </c>
      <c r="F19" s="246" t="s">
        <v>311</v>
      </c>
      <c r="G19" s="365" t="s">
        <v>320</v>
      </c>
      <c r="H19" s="363"/>
      <c r="I19" s="371"/>
      <c r="J19" s="346">
        <v>0</v>
      </c>
    </row>
    <row r="20" ht="24" hidden="1" customHeight="1">
      <c r="A20" s="369"/>
      <c r="B20" s="353"/>
      <c r="C20" s="370"/>
      <c r="D20" s="372" t="str">
        <f>D19&amp;".1"</f>
        <v>5.1.1</v>
      </c>
      <c r="E20" s="373" t="s">
        <v>321</v>
      </c>
      <c r="F20" s="374" t="s">
        <v>28</v>
      </c>
      <c r="G20" s="366"/>
      <c r="H20" s="363"/>
      <c r="I20" s="371"/>
      <c r="J20" s="346">
        <v>0</v>
      </c>
    </row>
    <row r="21" ht="22.5" hidden="1" customHeight="1">
      <c r="A21" s="369"/>
      <c r="B21" s="353"/>
      <c r="C21" s="370"/>
      <c r="D21" s="372" t="str">
        <f>D19&amp;".2"</f>
        <v>5.1.2</v>
      </c>
      <c r="E21" s="373" t="s">
        <v>322</v>
      </c>
      <c r="F21" s="375" t="s">
        <v>28</v>
      </c>
      <c r="G21" s="365" t="s">
        <v>323</v>
      </c>
      <c r="H21" s="363"/>
      <c r="I21" s="371"/>
      <c r="J21" s="346">
        <v>0</v>
      </c>
    </row>
    <row r="22" ht="22.5" hidden="1" customHeight="1">
      <c r="A22" s="369"/>
      <c r="B22" s="353"/>
      <c r="C22" s="370"/>
      <c r="D22" s="372" t="str">
        <f>D19&amp;".3"</f>
        <v>5.1.3</v>
      </c>
      <c r="E22" s="373" t="s">
        <v>324</v>
      </c>
      <c r="F22" s="374" t="s">
        <v>28</v>
      </c>
      <c r="G22" s="366"/>
      <c r="H22" s="363"/>
      <c r="I22" s="371"/>
      <c r="J22" s="346">
        <v>0</v>
      </c>
    </row>
    <row r="23" ht="22.5" hidden="1" customHeight="1">
      <c r="A23" s="369"/>
      <c r="B23" s="353"/>
      <c r="C23" s="370"/>
      <c r="D23" s="372" t="str">
        <f>D19&amp;".4"</f>
        <v>5.1.4</v>
      </c>
      <c r="E23" s="373" t="s">
        <v>325</v>
      </c>
      <c r="F23" s="374" t="s">
        <v>28</v>
      </c>
      <c r="G23" s="365" t="s">
        <v>326</v>
      </c>
      <c r="H23" s="363"/>
      <c r="I23" s="371"/>
      <c r="J23" s="346">
        <v>0</v>
      </c>
    </row>
    <row r="24" ht="22.5" hidden="1" customHeight="1">
      <c r="A24" s="376"/>
      <c r="B24" s="353"/>
      <c r="C24" s="377"/>
      <c r="D24" s="378"/>
      <c r="E24" s="172" t="s">
        <v>327</v>
      </c>
      <c r="F24" s="379"/>
      <c r="G24" s="380"/>
      <c r="H24" s="363"/>
      <c r="I24" s="371"/>
      <c r="J24" s="346">
        <v>0</v>
      </c>
    </row>
    <row r="25" s="345" customFormat="1" ht="24.75" hidden="1" customHeight="1">
      <c r="A25" s="91"/>
      <c r="B25" s="353"/>
      <c r="C25" s="353"/>
      <c r="D25" s="381" t="s">
        <v>91</v>
      </c>
      <c r="E25" s="382" t="s">
        <v>328</v>
      </c>
      <c r="F25" s="158" t="s">
        <v>311</v>
      </c>
      <c r="G25" s="382"/>
      <c r="J25" s="345">
        <v>0</v>
      </c>
    </row>
    <row r="26" s="345" customFormat="1" ht="11.25" hidden="1" customHeight="1">
      <c r="A26" s="91"/>
      <c r="B26" s="353"/>
      <c r="C26" s="353"/>
      <c r="D26" s="381" t="s">
        <v>329</v>
      </c>
      <c r="E26" s="383" t="s">
        <v>330</v>
      </c>
      <c r="F26" s="158" t="s">
        <v>311</v>
      </c>
      <c r="G26" s="382"/>
      <c r="J26" s="345">
        <v>0</v>
      </c>
    </row>
    <row r="27" s="345" customFormat="1" ht="11.25" hidden="1" customHeight="1">
      <c r="A27" s="91"/>
      <c r="B27" s="353"/>
      <c r="C27" s="353"/>
      <c r="D27" s="381" t="s">
        <v>331</v>
      </c>
      <c r="E27" s="384" t="s">
        <v>332</v>
      </c>
      <c r="F27" s="385"/>
      <c r="G27" s="382"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 xml:space="preserve">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345">
        <v>0</v>
      </c>
    </row>
    <row r="28" s="345" customFormat="1" ht="11.25" hidden="1" customHeight="1">
      <c r="A28" s="91"/>
      <c r="B28" s="353"/>
      <c r="C28" s="353"/>
      <c r="D28" s="381" t="s">
        <v>333</v>
      </c>
      <c r="E28" s="384" t="s">
        <v>334</v>
      </c>
      <c r="F28" s="385"/>
      <c r="G28" s="382"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 xml:space="preserve">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345">
        <v>0</v>
      </c>
    </row>
    <row r="29" s="345" customFormat="1" ht="11.25" hidden="1" customHeight="1">
      <c r="A29" s="91"/>
      <c r="B29" s="353"/>
      <c r="C29" s="353"/>
      <c r="D29" s="381" t="s">
        <v>335</v>
      </c>
      <c r="E29" s="384" t="s">
        <v>336</v>
      </c>
      <c r="F29" s="385"/>
      <c r="G29" s="382"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 xml:space="preserve">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345">
        <v>0</v>
      </c>
    </row>
    <row r="30" s="345" customFormat="1" ht="11.25" hidden="1" customHeight="1">
      <c r="A30" s="91"/>
      <c r="B30" s="353"/>
      <c r="C30" s="353"/>
      <c r="D30" s="381" t="s">
        <v>337</v>
      </c>
      <c r="E30" s="383" t="s">
        <v>338</v>
      </c>
      <c r="F30" s="385"/>
      <c r="G30" s="382"/>
      <c r="J30" s="345">
        <v>0</v>
      </c>
    </row>
    <row r="31" s="345" customFormat="1" ht="11.25" hidden="1" customHeight="1">
      <c r="A31" s="91"/>
      <c r="B31" s="353"/>
      <c r="C31" s="353"/>
      <c r="D31" s="381" t="s">
        <v>339</v>
      </c>
      <c r="E31" s="383" t="s">
        <v>340</v>
      </c>
      <c r="F31" s="385"/>
      <c r="G31" s="382"/>
      <c r="J31" s="345">
        <v>0</v>
      </c>
    </row>
    <row r="32" s="345" customFormat="1" ht="11.25" hidden="1" customHeight="1">
      <c r="A32" s="91"/>
      <c r="B32" s="353"/>
      <c r="C32" s="353"/>
      <c r="D32" s="381" t="s">
        <v>341</v>
      </c>
      <c r="E32" s="383" t="s">
        <v>342</v>
      </c>
      <c r="F32" s="385"/>
      <c r="G32" s="382"/>
      <c r="J32" s="345">
        <v>0</v>
      </c>
    </row>
    <row r="33" ht="24" customHeight="1">
      <c r="A33" s="91" t="str">
        <f>IF(TEMPLATE_SPHERE="HEAT","6","5")</f>
        <v>6</v>
      </c>
      <c r="B33" s="353"/>
      <c r="C33" s="91"/>
      <c r="D33" s="372" t="str">
        <f>A33</f>
        <v>6</v>
      </c>
      <c r="E33" s="293"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 xml:space="preserve">Фамилия, имя и отчество руководителя регулируемой организации, ЕТО, ТО  (индивидуального предпринимателя):</v>
      </c>
      <c r="F33" s="246" t="s">
        <v>311</v>
      </c>
      <c r="G33" s="366"/>
      <c r="H33" s="363"/>
      <c r="J33" s="346">
        <v>23</v>
      </c>
    </row>
    <row r="34" ht="23.25" customHeight="1">
      <c r="A34" s="91"/>
      <c r="B34" s="353"/>
      <c r="C34" s="91"/>
      <c r="D34" s="372" t="str">
        <f>D33&amp;".1"</f>
        <v>6.1</v>
      </c>
      <c r="E34" s="367" t="str">
        <f>"фамилия"&amp;IF(TEMPLATE_SPHERE&lt;&gt;"HEAT"," руководителя","")</f>
        <v>фамилия</v>
      </c>
      <c r="F34" s="295"/>
      <c r="G34" s="36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 xml:space="preserve">Указывается фамилия руководителя регулируемой организации, ЕТО, ТО в соответствии с паспортными данными физического лица.</v>
      </c>
      <c r="H34" s="363"/>
      <c r="J34" s="346">
        <v>22</v>
      </c>
    </row>
    <row r="35" ht="23.25" customHeight="1">
      <c r="A35" s="91"/>
      <c r="B35" s="353"/>
      <c r="C35" s="91"/>
      <c r="D35" s="372" t="str">
        <f>D33&amp;".2"</f>
        <v>6.2</v>
      </c>
      <c r="E35" s="367" t="str">
        <f>"имя"&amp;IF(TEMPLATE_SPHERE&lt;&gt;"HEAT"," руководителя","")</f>
        <v>имя</v>
      </c>
      <c r="F35" s="295"/>
      <c r="G35" s="36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 xml:space="preserve">Указывается имя руководителя регулируемой организации, ЕТО, ТО в соответствии с паспортными данными физического лица.</v>
      </c>
      <c r="H35" s="363"/>
      <c r="J35" s="346">
        <v>22</v>
      </c>
    </row>
    <row r="36" ht="24" customHeight="1">
      <c r="A36" s="91"/>
      <c r="B36" s="353"/>
      <c r="C36" s="91"/>
      <c r="D36" s="372" t="str">
        <f>D33&amp;".3"</f>
        <v>6.3</v>
      </c>
      <c r="E36" s="367" t="str">
        <f>"отчество"&amp;IF(TEMPLATE_SPHERE&lt;&gt;"HEAT"," руководителя","")</f>
        <v>отчество</v>
      </c>
      <c r="F36" s="386"/>
      <c r="G36" s="36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 xml:space="preserve">Указывается отчество руководителя регулируемой организации, ЕТО, ТО в соответствии с паспортными данными физического лица (при наличии).</v>
      </c>
      <c r="H36" s="363"/>
      <c r="J36" s="346">
        <v>23</v>
      </c>
    </row>
    <row r="37" ht="35.649999999999999" customHeight="1">
      <c r="A37" s="91"/>
      <c r="B37" s="353"/>
      <c r="C37" s="91"/>
      <c r="D37" s="372">
        <f>D33+1</f>
        <v>7</v>
      </c>
      <c r="E37" s="293" t="str">
        <f>"Почтовый адрес органов управления"&amp;IF(TEMPLATE_SPHERE&lt;&gt;"TKO"," регулируемой","")&amp;" организации"&amp;IF(TEMPLATE_SPHERE="HEAT",", ЕТО, ТО","")</f>
        <v xml:space="preserve">Почтовый адрес органов управления регулируемой организации, ЕТО, ТО</v>
      </c>
      <c r="F37" s="295"/>
      <c r="G37" s="365" t="s">
        <v>343</v>
      </c>
      <c r="H37" s="363"/>
      <c r="J37" s="346">
        <v>34</v>
      </c>
    </row>
    <row r="38" ht="35.649999999999999" customHeight="1">
      <c r="A38" s="91"/>
      <c r="B38" s="353"/>
      <c r="C38" s="91"/>
      <c r="D38" s="372">
        <f t="shared" ref="D38:D39" si="0">D37+1</f>
        <v>8</v>
      </c>
      <c r="E38" s="293" t="str">
        <f>"Адрес места нахождения органов управления"&amp;IF(TEMPLATE_SPHERE&lt;&gt;"TKO"," регулируемой","")&amp;" организации"&amp;IF(TEMPLATE_SPHERE="HEAT",", ЕТО, ТО","")</f>
        <v xml:space="preserve">Адрес места нахождения органов управления регулируемой организации, ЕТО, ТО</v>
      </c>
      <c r="F38" s="295"/>
      <c r="G38" s="365" t="s">
        <v>343</v>
      </c>
      <c r="H38" s="363"/>
      <c r="J38" s="346">
        <v>34</v>
      </c>
    </row>
    <row r="39" ht="23.25" customHeight="1">
      <c r="A39" s="91"/>
      <c r="B39" s="353"/>
      <c r="C39" s="91"/>
      <c r="D39" s="372">
        <f t="shared" si="0"/>
        <v>9</v>
      </c>
      <c r="E39" s="387" t="str">
        <f>"Контактные телефоны "&amp;IF(TEMPLATE_SPHERE="TKO","","регулируемой ")&amp;"организации"&amp;IF(TEMPLATE_SPHERE="HEAT",", ЕТО, ТО",IF(TEMPLATE_SPHERE="TKO"," (индивидуального предпринимателя)",""))</f>
        <v xml:space="preserve">Контактные телефоны регулируемой организации, ЕТО, ТО</v>
      </c>
      <c r="F39" s="246" t="s">
        <v>311</v>
      </c>
      <c r="G39" s="388"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 xml:space="preserve">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363"/>
      <c r="J39" s="346">
        <v>22</v>
      </c>
    </row>
    <row r="40" ht="22.5" hidden="1" customHeight="1">
      <c r="A40" s="91"/>
      <c r="B40" s="353"/>
      <c r="C40" s="91"/>
      <c r="D40" s="372" t="str">
        <f>D39&amp;".0"</f>
        <v>9.0</v>
      </c>
      <c r="E40" s="389"/>
      <c r="F40" s="374"/>
      <c r="G40" s="390"/>
      <c r="H40" s="363"/>
      <c r="J40" s="346">
        <v>0</v>
      </c>
    </row>
    <row r="41" ht="23.25" customHeight="1">
      <c r="A41" s="91"/>
      <c r="B41" s="91"/>
      <c r="C41" s="391"/>
      <c r="D41" s="372" t="str">
        <f>D39&amp;".1"</f>
        <v>9.1</v>
      </c>
      <c r="E41" s="392"/>
      <c r="F41" s="393"/>
      <c r="G41" s="390"/>
      <c r="H41" s="363"/>
      <c r="J41" s="346">
        <v>22</v>
      </c>
    </row>
    <row r="42" ht="15.75" customHeight="1">
      <c r="A42" s="91"/>
      <c r="B42" s="353"/>
      <c r="C42" s="91"/>
      <c r="D42" s="378"/>
      <c r="E42" s="172" t="s">
        <v>344</v>
      </c>
      <c r="F42" s="380"/>
      <c r="G42" s="394"/>
      <c r="H42" s="395"/>
      <c r="J42" s="346">
        <v>15</v>
      </c>
    </row>
    <row r="43" ht="27.300000000000001" customHeight="1">
      <c r="A43" s="91"/>
      <c r="B43" s="353"/>
      <c r="C43" s="91"/>
      <c r="D43" s="372">
        <f>D39+1</f>
        <v>10</v>
      </c>
      <c r="E43" s="293" t="str">
        <f>IF(TEMPLATE_SPHERE="TKO","Адрес официального сайта организации в сети «Интернет»","Официальный сайт регулируемой организации"&amp;IF(TEMPLATE_SPHERE="HEAT",", ЕТО, ТО","")&amp;" в сети «Интернет»")</f>
        <v xml:space="preserve">Официальный сайт регулируемой организации, ЕТО, ТО в сети «Интернет»</v>
      </c>
      <c r="F43" s="396"/>
      <c r="G43" s="36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 xml:space="preserve">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363"/>
      <c r="J43" s="346">
        <v>26</v>
      </c>
    </row>
    <row r="44" ht="23.25" customHeight="1">
      <c r="A44" s="91"/>
      <c r="B44" s="353"/>
      <c r="C44" s="91"/>
      <c r="D44" s="372">
        <f t="shared" ref="D44:D45" si="1">D43+1</f>
        <v>11</v>
      </c>
      <c r="E44" s="293" t="str">
        <f>"Адрес электронной почты "&amp;IF(TEMPLATE_SPHERE="TKO","","регулируемой ")&amp;"организации"&amp;IF(TEMPLATE_SPHERE="HEAT",", ЕТО, ТО",IF(TEMPLATE_SPHERE="TKO"," (индивидуального предпринимателя)",""))</f>
        <v xml:space="preserve">Адрес электронной почты регулируемой организации, ЕТО, ТО</v>
      </c>
      <c r="F44" s="291"/>
      <c r="G44" s="366" t="s">
        <v>345</v>
      </c>
      <c r="H44" s="363"/>
      <c r="J44" s="346">
        <v>22</v>
      </c>
    </row>
    <row r="45" ht="23.25" customHeight="1">
      <c r="A45" s="91"/>
      <c r="B45" s="353"/>
      <c r="C45" s="91"/>
      <c r="D45" s="372">
        <f t="shared" si="1"/>
        <v>12</v>
      </c>
      <c r="E45" s="293" t="s">
        <v>346</v>
      </c>
      <c r="F45" s="246" t="s">
        <v>311</v>
      </c>
      <c r="G45" s="387" t="str">
        <f>IF(TEMPLATE_SPHERE="TKO","Указывается режим работы организации.","")</f>
        <v/>
      </c>
      <c r="H45" s="363"/>
      <c r="J45" s="346">
        <v>22</v>
      </c>
    </row>
    <row r="46" ht="24" customHeight="1">
      <c r="A46" s="91"/>
      <c r="B46" s="353"/>
      <c r="C46" s="91"/>
      <c r="D46" s="372" t="str">
        <f>D45&amp;".1"</f>
        <v>12.1</v>
      </c>
      <c r="E46" s="367" t="str">
        <f>"режим работы регулируемой организации"&amp;IF(TEMPLATE_SPHERE="HEAT",", ЕТО, ТО","")</f>
        <v xml:space="preserve">режим работы регулируемой организации, ЕТО, ТО</v>
      </c>
      <c r="F46" s="397"/>
      <c r="G46" s="387" t="s">
        <v>347</v>
      </c>
      <c r="H46" s="363"/>
      <c r="J46" s="346">
        <v>23</v>
      </c>
    </row>
    <row r="47" ht="24" customHeight="1">
      <c r="A47" s="369"/>
      <c r="B47" s="353"/>
      <c r="C47" s="377"/>
      <c r="D47" s="372" t="str">
        <f>D45&amp;".2"</f>
        <v>12.2</v>
      </c>
      <c r="E47" s="367" t="s">
        <v>348</v>
      </c>
      <c r="F47" s="397"/>
      <c r="G47" s="387" t="s">
        <v>349</v>
      </c>
      <c r="H47" s="363"/>
      <c r="J47" s="346">
        <v>23</v>
      </c>
    </row>
    <row r="48" ht="24" customHeight="1">
      <c r="A48" s="369"/>
      <c r="B48" s="353"/>
      <c r="C48" s="377"/>
      <c r="D48" s="372" t="str">
        <f>D45&amp;".3"</f>
        <v>12.3</v>
      </c>
      <c r="E48" s="367" t="s">
        <v>350</v>
      </c>
      <c r="F48" s="397"/>
      <c r="G48" s="387" t="s">
        <v>351</v>
      </c>
      <c r="H48" s="363"/>
      <c r="J48" s="346">
        <v>23</v>
      </c>
    </row>
    <row r="49" ht="24" customHeight="1">
      <c r="A49" s="369"/>
      <c r="B49" s="353"/>
      <c r="C49" s="377"/>
      <c r="D49" s="372" t="str">
        <f>IF(TEMPLATE_SPHERE="TKO",D45&amp;".0",D45&amp;".4")</f>
        <v>12.4</v>
      </c>
      <c r="E49" s="398" t="s">
        <v>352</v>
      </c>
      <c r="F49" s="399"/>
      <c r="G49" s="400" t="s">
        <v>353</v>
      </c>
      <c r="H49" s="363"/>
      <c r="J49" s="346">
        <v>23</v>
      </c>
    </row>
    <row r="50" ht="24" customHeight="1">
      <c r="A50" s="91"/>
      <c r="B50" s="353"/>
      <c r="C50" s="91"/>
      <c r="D50" s="378"/>
      <c r="E50" s="172" t="s">
        <v>354</v>
      </c>
      <c r="F50" s="379"/>
      <c r="G50" s="400" t="s">
        <v>355</v>
      </c>
      <c r="H50" s="395"/>
      <c r="J50" s="346">
        <v>23</v>
      </c>
    </row>
    <row r="51" ht="24" customHeight="1">
      <c r="A51" s="369"/>
      <c r="B51" s="353"/>
      <c r="C51" s="377"/>
      <c r="D51" s="372">
        <f>D45+1</f>
        <v>13</v>
      </c>
      <c r="E51" s="401" t="s">
        <v>356</v>
      </c>
      <c r="F51" s="397"/>
      <c r="G51" s="402"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 xml:space="preserve">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363"/>
      <c r="J51" s="346">
        <v>23</v>
      </c>
    </row>
    <row r="52" ht="11.5" customHeight="1">
      <c r="A52" s="91"/>
      <c r="B52" s="353"/>
      <c r="C52" s="91"/>
      <c r="J52" s="346">
        <v>11</v>
      </c>
    </row>
    <row r="53" s="403" customFormat="1" ht="31.5" customHeight="1">
      <c r="A53" s="404"/>
      <c r="B53" s="57"/>
      <c r="C53" s="405"/>
      <c r="D53" s="40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 xml:space="preserve">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406"/>
      <c r="F53" s="406"/>
      <c r="G53" s="406"/>
      <c r="H53" s="180"/>
      <c r="I53" s="180"/>
      <c r="J53" s="403">
        <v>30</v>
      </c>
    </row>
    <row r="54" s="403" customFormat="1" ht="42" customHeight="1">
      <c r="A54" s="91"/>
      <c r="B54" s="353"/>
      <c r="C54" s="405"/>
      <c r="D54" s="406" t="str">
        <f>IF(ORG_INFO_P_NOTE_MAIN=0,"",ORG_INFO_P_NOTE_MAIN)</f>
        <v xml:space="preserve">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406"/>
      <c r="F54" s="406"/>
      <c r="G54" s="406"/>
      <c r="J54" s="403">
        <v>40</v>
      </c>
    </row>
    <row r="55" ht="11.5" customHeight="1">
      <c r="D55" s="407"/>
      <c r="E55" s="408"/>
      <c r="F55" s="408"/>
      <c r="G55" s="408"/>
      <c r="J55" s="346">
        <v>11</v>
      </c>
    </row>
    <row r="56" ht="28.5" customHeight="1">
      <c r="D56" s="409"/>
      <c r="E56" s="407"/>
      <c r="F56" s="410"/>
      <c r="G56" s="410"/>
      <c r="J56" s="346">
        <v>27</v>
      </c>
    </row>
    <row r="57" ht="11.5" customHeight="1">
      <c r="D57" s="407"/>
      <c r="E57" s="407"/>
      <c r="F57" s="408"/>
      <c r="G57" s="408"/>
      <c r="J57" s="346">
        <v>11</v>
      </c>
    </row>
    <row r="58" ht="40.899999999999999" customHeight="1">
      <c r="D58" s="411"/>
      <c r="E58" s="412"/>
      <c r="F58" s="412"/>
      <c r="G58" s="412"/>
      <c r="J58" s="346">
        <v>39</v>
      </c>
    </row>
    <row r="59" ht="28.5" customHeight="1">
      <c r="D59" s="411"/>
      <c r="E59" s="412"/>
      <c r="F59" s="412"/>
      <c r="G59" s="412"/>
      <c r="J59" s="346">
        <v>27</v>
      </c>
    </row>
    <row r="60" ht="11.25" hidden="1" customHeight="1">
      <c r="A60" s="344" t="s">
        <v>83</v>
      </c>
      <c r="B60" s="345">
        <v>0</v>
      </c>
      <c r="C60" s="346">
        <v>3</v>
      </c>
      <c r="D60" s="347">
        <v>6</v>
      </c>
      <c r="E60" s="346">
        <v>52</v>
      </c>
      <c r="F60" s="346">
        <v>48</v>
      </c>
      <c r="G60" s="346">
        <v>121</v>
      </c>
      <c r="H60" s="346">
        <v>8</v>
      </c>
      <c r="I60" s="346">
        <v>64</v>
      </c>
      <c r="J60" s="346">
        <v>11</v>
      </c>
    </row>
  </sheetData>
  <sheetProtection autoFilter="0" deleteColumns="1" deleteRows="1" formatCells="1" formatColumns="0" formatRows="0" insertColumns="1" insertHyperlinks="1" insertRows="1" objects="0" pivotTables="1" scenarios="0" selectLockedCells="0" selectUnlockedCells="0" sheet="1" sort="1"/>
  <mergeCells count="12">
    <mergeCell ref="D4:F4"/>
    <mergeCell ref="D5:F5"/>
    <mergeCell ref="E7:F7"/>
    <mergeCell ref="D8:F8"/>
    <mergeCell ref="G8:G9"/>
    <mergeCell ref="A19:A23"/>
    <mergeCell ref="C19:C23"/>
    <mergeCell ref="G39:G42"/>
    <mergeCell ref="A47:A49"/>
    <mergeCell ref="C53:C54"/>
    <mergeCell ref="D53:G53"/>
    <mergeCell ref="D54:G54"/>
  </mergeCells>
  <dataValidations count="1" disablePrompts="0">
    <dataValidation sqref="F21 F17"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disablePrompts="0">
        <x14:dataValidation xr:uid="{002500AB-004B-4572-9CEE-00DD00E00070}" type="textLength" allowBlank="1" error="Допускается ввод не более 900 символов!" errorStyle="stop" errorTitle="Ошибка" imeMode="noControl" operator="lessThanOrEqual" showDropDown="0" showErrorMessage="1" showInputMessage="1">
          <x14:formula1>
            <xm:f>900</xm:f>
          </x14:formula1>
          <xm:sqref>F13 F43:F44 F27:F32 F16 E40:F41 F18 F20 F34:F38 F22:F23</xm:sqref>
        </x14:dataValidation>
        <x14:dataValidation xr:uid="{006F009F-0041-46EE-BD9F-001D00500092}" type="list" allowBlank="1" error="для выбора выполните двойной щелчок по ячейке" errorStyle="stop" imeMode="noControl" operator="between" prompt="Для выбора выполните двойной щелчок левой клавиши мыши по соответствующей ячейке." showDropDown="1" showErrorMessage="1" showInputMessage="1">
          <x14:formula1>
            <xm:f>"a"</xm:f>
          </x14:formula1>
          <xm:sqref>F51 F46:F49</xm:sqref>
        </x14:dataValidation>
      </x14:dataValidations>
    </ext>
  </extLst>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topLeftCell="A1" zoomScale="100" workbookViewId="0">
      <selection activeCell="A1" activeCellId="0" sqref="A1"/>
    </sheetView>
  </sheetViews>
  <sheetFormatPr defaultRowHeight="11.25" customHeight="1"/>
  <sheetData/>
  <sheetProtection autoFilter="0" deleteColumns="1" deleteRows="1" formatCells="1" formatColumns="1" formatRows="1" insertColumns="1" insertHyperlinks="1" insertRows="1" objects="0" pivotTables="1" scenarios="0" selectLockedCells="0" selectUnlockedCells="0" sheet="1" sort="1"/>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topLeftCell="A1" zoomScale="100" workbookViewId="0">
      <selection activeCell="A1" activeCellId="0" sqref="A1"/>
    </sheetView>
  </sheetViews>
  <sheetFormatPr defaultRowHeight="11.25" customHeight="1"/>
  <sheetData/>
  <sheetProtection autoFilter="0" deleteColumns="1" deleteRows="1" formatCells="1" formatColumns="1" formatRows="1" insertColumns="1" insertHyperlinks="1" insertRows="1" objects="0" pivotTables="1" scenarios="0" selectLockedCells="0" selectUnlockedCells="0" sheet="1" sort="1"/>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topLeftCell="A1" zoomScale="100" workbookViewId="0">
      <selection activeCell="A1" activeCellId="0" sqref="A1"/>
    </sheetView>
  </sheetViews>
  <sheetFormatPr defaultRowHeight="11.25" customHeight="1"/>
  <sheetData>
    <row r="1" ht="11.25" customHeight="1">
      <c r="A1" s="63"/>
    </row>
  </sheetData>
  <sheetProtection autoFilter="0" deleteColumns="1" deleteRows="1" formatCells="1" formatColumns="1" formatRows="1" insertColumns="1" insertHyperlinks="1" insertRows="1" objects="0" pivotTables="1" scenarios="0" selectLockedCells="0" selectUnlockedCells="0" sheet="1" sort="1"/>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topLeftCell="A1" zoomScale="100" workbookViewId="0">
      <selection activeCell="A1" activeCellId="0" sqref="A1"/>
    </sheetView>
  </sheetViews>
  <sheetFormatPr defaultRowHeight="11.25" customHeight="1"/>
  <cols>
    <col customWidth="1" min="1" max="1" style="183" width="10.57421875"/>
    <col customWidth="1" min="2" max="2" style="183" width="8.7109375"/>
    <col customWidth="1" min="3" max="3" style="183" width="18.140625"/>
    <col customWidth="1" min="4" max="4" style="183" width="12.57421875"/>
  </cols>
  <sheetData>
    <row r="1" ht="11.25" customHeight="1">
      <c r="A1" s="1384" t="s">
        <v>2239</v>
      </c>
      <c r="B1" s="1385" t="s">
        <v>2240</v>
      </c>
      <c r="C1" s="1386" t="s">
        <v>2241</v>
      </c>
      <c r="D1" s="1387"/>
      <c r="E1" s="274" t="s">
        <v>2242</v>
      </c>
    </row>
    <row r="2" ht="11.25" customHeight="1">
      <c r="A2" s="1388"/>
      <c r="B2" s="1389" t="s">
        <v>26</v>
      </c>
      <c r="C2" s="274"/>
      <c r="D2" s="1031"/>
      <c r="E2" s="274"/>
    </row>
    <row r="3" ht="11.25" customHeight="1">
      <c r="A3" s="1390"/>
      <c r="B3" s="1391" t="s">
        <v>33</v>
      </c>
      <c r="C3" s="274"/>
      <c r="D3" s="1031"/>
      <c r="E3" s="274"/>
    </row>
    <row r="4" ht="11.25" customHeight="1">
      <c r="A4" s="1392"/>
      <c r="B4" s="1393" t="s">
        <v>1667</v>
      </c>
      <c r="C4" s="274"/>
      <c r="D4" s="1031"/>
      <c r="E4" s="274"/>
    </row>
    <row r="5" ht="11.25" customHeight="1">
      <c r="A5" s="1394"/>
      <c r="B5" s="1393" t="s">
        <v>1662</v>
      </c>
      <c r="C5" s="1395" t="s">
        <v>2006</v>
      </c>
      <c r="D5" s="1396" t="s">
        <v>2243</v>
      </c>
      <c r="E5" s="274"/>
    </row>
    <row r="6" s="63" customFormat="1" ht="11.25" customHeight="1">
      <c r="A6" s="1397"/>
      <c r="B6" s="1393" t="s">
        <v>1671</v>
      </c>
      <c r="C6" s="274"/>
      <c r="D6" s="1031"/>
      <c r="E6" s="274"/>
    </row>
    <row r="7" ht="11.25" customHeight="1">
      <c r="A7" s="1398"/>
      <c r="B7" s="1393" t="s">
        <v>1678</v>
      </c>
      <c r="C7" s="274"/>
      <c r="D7" s="1031"/>
      <c r="E7" s="274"/>
    </row>
    <row r="8" ht="11.25" customHeight="1">
      <c r="A8" s="1399"/>
      <c r="B8" s="1393" t="s">
        <v>1674</v>
      </c>
      <c r="C8" s="274"/>
      <c r="D8" s="1031"/>
      <c r="E8" s="274"/>
    </row>
  </sheetData>
  <sheetProtection autoFilter="0" deleteColumns="1" deleteRows="1" formatCells="1" formatColumns="0" formatRows="0" insertColumns="1" insertHyperlinks="1" insertRows="1" objects="0" pivotTables="1" scenarios="0" selectLockedCells="0" selectUnlockedCells="0" sheet="1" sort="1"/>
  <mergeCells count="1">
    <mergeCell ref="C1:D1"/>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topLeftCell="A1" zoomScale="100" workbookViewId="0">
      <selection activeCell="A1" activeCellId="0" sqref="A1"/>
    </sheetView>
  </sheetViews>
  <sheetFormatPr defaultRowHeight="11.25" customHeight="1"/>
  <sheetData/>
  <sheetProtection autoFilter="0" deleteColumns="1" deleteRows="1" formatCells="1" formatColumns="1" formatRows="1" insertColumns="1" insertHyperlinks="1" insertRows="1" objects="0" pivotTables="1" scenarios="0" selectLockedCells="0" selectUnlockedCells="0" sheet="1" sort="1"/>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topLeftCell="A1" zoomScale="100" workbookViewId="0">
      <selection activeCell="A1" activeCellId="0" sqref="A1"/>
    </sheetView>
  </sheetViews>
  <sheetFormatPr defaultRowHeight="11.25" customHeight="1"/>
  <sheetData/>
  <sheetProtection autoFilter="0" deleteColumns="1" deleteRows="1" formatCells="1" formatColumns="1" formatRows="1" insertColumns="1" insertHyperlinks="1" insertRows="1" objects="0" pivotTables="1" scenarios="0" selectLockedCells="0" selectUnlockedCells="0" sheet="1" sort="1"/>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topLeftCell="A1" zoomScale="100" workbookViewId="0">
      <selection activeCell="A1" activeCellId="0" sqref="A1"/>
    </sheetView>
  </sheetViews>
  <sheetFormatPr defaultColWidth="9.140625" defaultRowHeight="11.25" customHeight="1"/>
  <cols>
    <col min="1" max="2" style="63" width="9.140625"/>
    <col customWidth="1" min="3" max="3" style="63" width="20.7109375"/>
    <col customWidth="1" min="4" max="4" style="63" width="25.140625"/>
    <col min="5" max="9" style="63" width="9.140625"/>
  </cols>
  <sheetData>
    <row r="1" ht="11.25" customHeight="1">
      <c r="A1" s="63" t="s">
        <v>2244</v>
      </c>
      <c r="B1" s="63" t="s">
        <v>2245</v>
      </c>
      <c r="C1" s="63" t="s">
        <v>2246</v>
      </c>
      <c r="D1" s="63" t="s">
        <v>2247</v>
      </c>
      <c r="E1" s="63" t="s">
        <v>2248</v>
      </c>
      <c r="F1" s="63" t="s">
        <v>2249</v>
      </c>
      <c r="G1" s="63" t="s">
        <v>2250</v>
      </c>
      <c r="H1" s="63" t="s">
        <v>2251</v>
      </c>
      <c r="I1" s="63" t="s">
        <v>2252</v>
      </c>
    </row>
    <row r="2" ht="11.25" customHeight="1">
      <c r="A2" s="63" t="s">
        <v>2253</v>
      </c>
      <c r="B2" s="63" t="s">
        <v>16</v>
      </c>
      <c r="C2" s="63" t="s">
        <v>28</v>
      </c>
      <c r="D2" s="63" t="s">
        <v>2254</v>
      </c>
      <c r="E2" s="63" t="s">
        <v>2255</v>
      </c>
      <c r="F2" s="63" t="s">
        <v>2256</v>
      </c>
      <c r="G2" s="63" t="s">
        <v>28</v>
      </c>
      <c r="H2" s="63" t="s">
        <v>28</v>
      </c>
      <c r="I2" s="63" t="s">
        <v>812</v>
      </c>
    </row>
    <row r="3" ht="11.25" customHeight="1">
      <c r="A3" s="63" t="s">
        <v>2253</v>
      </c>
      <c r="B3" s="63" t="s">
        <v>16</v>
      </c>
      <c r="C3" s="63" t="s">
        <v>2257</v>
      </c>
      <c r="D3" s="63" t="s">
        <v>2258</v>
      </c>
      <c r="E3" s="63" t="s">
        <v>2259</v>
      </c>
      <c r="F3" s="63" t="s">
        <v>2260</v>
      </c>
      <c r="G3" s="63" t="s">
        <v>28</v>
      </c>
      <c r="H3" s="63" t="s">
        <v>28</v>
      </c>
      <c r="I3" s="63" t="s">
        <v>812</v>
      </c>
    </row>
    <row r="4" ht="11.25" customHeight="1">
      <c r="A4" s="63" t="s">
        <v>2253</v>
      </c>
      <c r="B4" s="63" t="s">
        <v>16</v>
      </c>
      <c r="C4" s="63" t="s">
        <v>2261</v>
      </c>
      <c r="D4" s="63" t="s">
        <v>2262</v>
      </c>
      <c r="E4" s="63" t="s">
        <v>2263</v>
      </c>
      <c r="F4" s="63" t="s">
        <v>2264</v>
      </c>
      <c r="G4" s="63" t="s">
        <v>28</v>
      </c>
      <c r="H4" s="63" t="s">
        <v>28</v>
      </c>
      <c r="I4" s="63" t="s">
        <v>812</v>
      </c>
    </row>
    <row r="5" ht="11.25" customHeight="1">
      <c r="A5" s="63" t="s">
        <v>2253</v>
      </c>
      <c r="B5" s="63" t="s">
        <v>16</v>
      </c>
      <c r="C5" s="63" t="s">
        <v>2265</v>
      </c>
      <c r="D5" s="63" t="s">
        <v>2266</v>
      </c>
      <c r="E5" s="63" t="s">
        <v>2267</v>
      </c>
      <c r="F5" s="63" t="s">
        <v>2268</v>
      </c>
      <c r="G5" s="63" t="s">
        <v>2269</v>
      </c>
      <c r="H5" s="63" t="s">
        <v>28</v>
      </c>
      <c r="I5" s="63" t="s">
        <v>812</v>
      </c>
    </row>
    <row r="6" ht="11.25" customHeight="1">
      <c r="A6" s="63" t="s">
        <v>2253</v>
      </c>
      <c r="B6" s="63" t="s">
        <v>16</v>
      </c>
      <c r="C6" s="63" t="s">
        <v>2270</v>
      </c>
      <c r="D6" s="63" t="s">
        <v>2271</v>
      </c>
      <c r="E6" s="63" t="s">
        <v>2272</v>
      </c>
      <c r="F6" s="63" t="s">
        <v>2273</v>
      </c>
      <c r="G6" s="63" t="s">
        <v>2274</v>
      </c>
      <c r="H6" s="63" t="s">
        <v>28</v>
      </c>
      <c r="I6" s="63" t="s">
        <v>812</v>
      </c>
    </row>
    <row r="7" ht="11.25" customHeight="1">
      <c r="A7" s="63" t="s">
        <v>2253</v>
      </c>
      <c r="B7" s="63" t="s">
        <v>16</v>
      </c>
      <c r="C7" s="63" t="s">
        <v>2275</v>
      </c>
      <c r="D7" s="63" t="s">
        <v>2276</v>
      </c>
      <c r="E7" s="63" t="s">
        <v>2277</v>
      </c>
      <c r="F7" s="63" t="s">
        <v>2278</v>
      </c>
      <c r="G7" s="63" t="s">
        <v>28</v>
      </c>
      <c r="H7" s="63" t="s">
        <v>28</v>
      </c>
      <c r="I7" s="63" t="s">
        <v>812</v>
      </c>
    </row>
    <row r="8" ht="11.25" customHeight="1">
      <c r="A8" s="63" t="s">
        <v>2253</v>
      </c>
      <c r="B8" s="63" t="s">
        <v>16</v>
      </c>
      <c r="C8" s="63" t="s">
        <v>13</v>
      </c>
      <c r="D8" s="63" t="s">
        <v>47</v>
      </c>
      <c r="E8" s="63" t="s">
        <v>50</v>
      </c>
      <c r="F8" s="63" t="s">
        <v>52</v>
      </c>
      <c r="G8" s="63" t="s">
        <v>28</v>
      </c>
      <c r="H8" s="63" t="s">
        <v>28</v>
      </c>
      <c r="I8" s="63" t="s">
        <v>812</v>
      </c>
    </row>
    <row r="9" ht="11.25" customHeight="1">
      <c r="A9" s="63" t="s">
        <v>2253</v>
      </c>
      <c r="B9" s="63" t="s">
        <v>16</v>
      </c>
      <c r="C9" s="63" t="s">
        <v>2279</v>
      </c>
      <c r="D9" s="63" t="s">
        <v>47</v>
      </c>
      <c r="E9" s="63" t="s">
        <v>50</v>
      </c>
      <c r="F9" s="63" t="s">
        <v>2280</v>
      </c>
      <c r="G9" s="63" t="s">
        <v>2281</v>
      </c>
      <c r="H9" s="63" t="s">
        <v>28</v>
      </c>
      <c r="I9" s="63" t="s">
        <v>812</v>
      </c>
    </row>
    <row r="10" ht="11.25" customHeight="1">
      <c r="A10" s="63" t="s">
        <v>2253</v>
      </c>
      <c r="B10" s="63" t="s">
        <v>16</v>
      </c>
      <c r="C10" s="63" t="s">
        <v>2282</v>
      </c>
      <c r="D10" s="63" t="s">
        <v>47</v>
      </c>
      <c r="E10" s="63" t="s">
        <v>50</v>
      </c>
      <c r="F10" s="63" t="s">
        <v>2283</v>
      </c>
      <c r="G10" s="63" t="s">
        <v>2281</v>
      </c>
      <c r="H10" s="63" t="s">
        <v>28</v>
      </c>
      <c r="I10" s="63" t="s">
        <v>812</v>
      </c>
    </row>
    <row r="11" ht="11.25" customHeight="1">
      <c r="A11" s="63" t="s">
        <v>2253</v>
      </c>
      <c r="B11" s="63" t="s">
        <v>16</v>
      </c>
      <c r="C11" s="63" t="s">
        <v>2284</v>
      </c>
      <c r="D11" s="63" t="s">
        <v>2285</v>
      </c>
      <c r="E11" s="63" t="s">
        <v>50</v>
      </c>
      <c r="F11" s="63" t="s">
        <v>2286</v>
      </c>
      <c r="G11" s="63" t="s">
        <v>28</v>
      </c>
      <c r="H11" s="63" t="s">
        <v>28</v>
      </c>
      <c r="I11" s="63" t="s">
        <v>812</v>
      </c>
    </row>
    <row r="12" ht="11.25" customHeight="1">
      <c r="A12" s="63" t="s">
        <v>2253</v>
      </c>
      <c r="B12" s="63" t="s">
        <v>16</v>
      </c>
      <c r="C12" s="63" t="s">
        <v>2287</v>
      </c>
      <c r="D12" s="63" t="s">
        <v>2288</v>
      </c>
      <c r="E12" s="63" t="s">
        <v>50</v>
      </c>
      <c r="F12" s="63" t="s">
        <v>2289</v>
      </c>
      <c r="G12" s="63" t="s">
        <v>28</v>
      </c>
      <c r="H12" s="63" t="s">
        <v>28</v>
      </c>
      <c r="I12" s="63" t="s">
        <v>812</v>
      </c>
    </row>
    <row r="13" ht="11.25" customHeight="1">
      <c r="A13" s="63" t="s">
        <v>2253</v>
      </c>
      <c r="B13" s="63" t="s">
        <v>16</v>
      </c>
      <c r="C13" s="63" t="s">
        <v>2290</v>
      </c>
      <c r="D13" s="63" t="s">
        <v>2291</v>
      </c>
      <c r="E13" s="63" t="s">
        <v>2292</v>
      </c>
      <c r="F13" s="63" t="s">
        <v>2293</v>
      </c>
      <c r="G13" s="63" t="s">
        <v>28</v>
      </c>
      <c r="H13" s="63" t="s">
        <v>28</v>
      </c>
      <c r="I13" s="63" t="s">
        <v>812</v>
      </c>
    </row>
    <row r="14" ht="11.25" customHeight="1">
      <c r="A14" s="63" t="s">
        <v>2253</v>
      </c>
      <c r="B14" s="63" t="s">
        <v>16</v>
      </c>
      <c r="C14" s="63" t="s">
        <v>2294</v>
      </c>
      <c r="D14" s="63" t="s">
        <v>2295</v>
      </c>
      <c r="E14" s="63" t="s">
        <v>2296</v>
      </c>
      <c r="F14" s="63" t="s">
        <v>2297</v>
      </c>
      <c r="G14" s="63" t="s">
        <v>28</v>
      </c>
      <c r="H14" s="63" t="s">
        <v>28</v>
      </c>
      <c r="I14" s="63" t="s">
        <v>812</v>
      </c>
    </row>
    <row r="15" ht="11.25" customHeight="1">
      <c r="A15" s="63" t="s">
        <v>2253</v>
      </c>
      <c r="B15" s="63" t="s">
        <v>16</v>
      </c>
      <c r="C15" s="63" t="s">
        <v>2298</v>
      </c>
      <c r="D15" s="63" t="s">
        <v>2299</v>
      </c>
      <c r="E15" s="63" t="s">
        <v>2300</v>
      </c>
      <c r="F15" s="63" t="s">
        <v>2301</v>
      </c>
      <c r="G15" s="63" t="s">
        <v>28</v>
      </c>
      <c r="H15" s="63" t="s">
        <v>28</v>
      </c>
      <c r="I15" s="63" t="s">
        <v>812</v>
      </c>
    </row>
    <row r="16" ht="11.25" customHeight="1">
      <c r="A16" s="63" t="s">
        <v>2253</v>
      </c>
      <c r="B16" s="63" t="s">
        <v>16</v>
      </c>
      <c r="C16" s="63" t="s">
        <v>2302</v>
      </c>
      <c r="D16" s="63" t="s">
        <v>2303</v>
      </c>
      <c r="E16" s="63" t="s">
        <v>2304</v>
      </c>
      <c r="F16" s="63" t="s">
        <v>2305</v>
      </c>
      <c r="G16" s="63" t="s">
        <v>28</v>
      </c>
      <c r="H16" s="63" t="s">
        <v>28</v>
      </c>
      <c r="I16" s="63" t="s">
        <v>812</v>
      </c>
    </row>
    <row r="17" ht="11.25" customHeight="1">
      <c r="A17" s="63" t="s">
        <v>2253</v>
      </c>
      <c r="B17" s="63" t="s">
        <v>16</v>
      </c>
      <c r="C17" s="63" t="s">
        <v>2306</v>
      </c>
      <c r="D17" s="63" t="s">
        <v>2307</v>
      </c>
      <c r="E17" s="63" t="s">
        <v>2308</v>
      </c>
      <c r="F17" s="63" t="s">
        <v>2309</v>
      </c>
      <c r="G17" s="63" t="s">
        <v>2310</v>
      </c>
      <c r="H17" s="63" t="s">
        <v>28</v>
      </c>
      <c r="I17" s="63" t="s">
        <v>812</v>
      </c>
    </row>
    <row r="18" ht="11.25" customHeight="1">
      <c r="A18" s="63" t="s">
        <v>2253</v>
      </c>
      <c r="B18" s="63" t="s">
        <v>16</v>
      </c>
      <c r="C18" s="63" t="s">
        <v>2311</v>
      </c>
      <c r="D18" s="63" t="s">
        <v>2312</v>
      </c>
      <c r="E18" s="63" t="s">
        <v>2313</v>
      </c>
      <c r="F18" s="63" t="s">
        <v>2264</v>
      </c>
      <c r="G18" s="63" t="s">
        <v>28</v>
      </c>
      <c r="H18" s="63" t="s">
        <v>28</v>
      </c>
      <c r="I18" s="63" t="s">
        <v>812</v>
      </c>
    </row>
    <row r="19" ht="11.25" customHeight="1">
      <c r="A19" s="63" t="s">
        <v>2253</v>
      </c>
      <c r="B19" s="63" t="s">
        <v>16</v>
      </c>
      <c r="C19" s="63" t="s">
        <v>2314</v>
      </c>
      <c r="D19" s="63" t="s">
        <v>2315</v>
      </c>
      <c r="E19" s="63" t="s">
        <v>2316</v>
      </c>
      <c r="F19" s="63" t="s">
        <v>2317</v>
      </c>
      <c r="G19" s="63" t="s">
        <v>28</v>
      </c>
      <c r="H19" s="63" t="s">
        <v>28</v>
      </c>
      <c r="I19" s="63" t="s">
        <v>812</v>
      </c>
    </row>
    <row r="20" ht="11.25" customHeight="1">
      <c r="A20" s="63" t="s">
        <v>2253</v>
      </c>
      <c r="B20" s="63" t="s">
        <v>16</v>
      </c>
      <c r="C20" s="63" t="s">
        <v>2318</v>
      </c>
      <c r="D20" s="63" t="s">
        <v>2319</v>
      </c>
      <c r="E20" s="63" t="s">
        <v>2320</v>
      </c>
      <c r="F20" s="63" t="s">
        <v>2321</v>
      </c>
      <c r="G20" s="63" t="s">
        <v>2322</v>
      </c>
      <c r="H20" s="63" t="s">
        <v>28</v>
      </c>
      <c r="I20" s="63" t="s">
        <v>812</v>
      </c>
    </row>
    <row r="21" ht="11.25" customHeight="1">
      <c r="A21" s="63" t="s">
        <v>2253</v>
      </c>
      <c r="B21" s="63" t="s">
        <v>16</v>
      </c>
      <c r="C21" s="63" t="s">
        <v>2323</v>
      </c>
      <c r="D21" s="63" t="s">
        <v>2324</v>
      </c>
      <c r="E21" s="63" t="s">
        <v>2325</v>
      </c>
      <c r="F21" s="63" t="s">
        <v>2326</v>
      </c>
      <c r="G21" s="63" t="s">
        <v>2327</v>
      </c>
      <c r="H21" s="63" t="s">
        <v>28</v>
      </c>
      <c r="I21" s="63" t="s">
        <v>812</v>
      </c>
    </row>
    <row r="22" ht="11.25" customHeight="1">
      <c r="A22" s="63" t="s">
        <v>2253</v>
      </c>
      <c r="B22" s="63" t="s">
        <v>16</v>
      </c>
      <c r="C22" s="63" t="s">
        <v>2328</v>
      </c>
      <c r="D22" s="63" t="s">
        <v>2329</v>
      </c>
      <c r="E22" s="63" t="s">
        <v>2330</v>
      </c>
      <c r="F22" s="63" t="s">
        <v>2293</v>
      </c>
      <c r="G22" s="63" t="s">
        <v>28</v>
      </c>
      <c r="H22" s="63" t="s">
        <v>28</v>
      </c>
      <c r="I22" s="63" t="s">
        <v>812</v>
      </c>
    </row>
    <row r="23" ht="11.25" customHeight="1">
      <c r="A23" s="63" t="s">
        <v>2253</v>
      </c>
      <c r="B23" s="63" t="s">
        <v>16</v>
      </c>
      <c r="C23" s="63" t="s">
        <v>2331</v>
      </c>
      <c r="D23" s="63" t="s">
        <v>2332</v>
      </c>
      <c r="E23" s="63" t="s">
        <v>2333</v>
      </c>
      <c r="F23" s="63" t="s">
        <v>2334</v>
      </c>
      <c r="G23" s="63" t="s">
        <v>28</v>
      </c>
      <c r="H23" s="63" t="s">
        <v>28</v>
      </c>
      <c r="I23" s="63" t="s">
        <v>812</v>
      </c>
    </row>
    <row r="24" ht="11.25" customHeight="1">
      <c r="A24" s="63" t="s">
        <v>2253</v>
      </c>
      <c r="B24" s="63" t="s">
        <v>16</v>
      </c>
      <c r="C24" s="63" t="s">
        <v>2335</v>
      </c>
      <c r="D24" s="63" t="s">
        <v>2336</v>
      </c>
      <c r="E24" s="63" t="s">
        <v>2337</v>
      </c>
      <c r="F24" s="63" t="s">
        <v>2305</v>
      </c>
      <c r="G24" s="63" t="s">
        <v>2338</v>
      </c>
      <c r="H24" s="63" t="s">
        <v>28</v>
      </c>
      <c r="I24" s="63" t="s">
        <v>812</v>
      </c>
    </row>
    <row r="25" ht="11.25" customHeight="1">
      <c r="A25" s="63" t="s">
        <v>2253</v>
      </c>
      <c r="B25" s="63" t="s">
        <v>16</v>
      </c>
      <c r="C25" s="63" t="s">
        <v>2339</v>
      </c>
      <c r="D25" s="63" t="s">
        <v>2340</v>
      </c>
      <c r="E25" s="63" t="s">
        <v>2341</v>
      </c>
      <c r="F25" s="63" t="s">
        <v>2342</v>
      </c>
      <c r="G25" s="63" t="s">
        <v>28</v>
      </c>
      <c r="H25" s="63" t="s">
        <v>28</v>
      </c>
      <c r="I25" s="63" t="s">
        <v>812</v>
      </c>
    </row>
    <row r="26" ht="11.25" customHeight="1">
      <c r="A26" s="63" t="s">
        <v>2253</v>
      </c>
      <c r="B26" s="63" t="s">
        <v>16</v>
      </c>
      <c r="C26" s="63" t="s">
        <v>2343</v>
      </c>
      <c r="D26" s="63" t="s">
        <v>2344</v>
      </c>
      <c r="E26" s="63" t="s">
        <v>2345</v>
      </c>
      <c r="F26" s="63" t="s">
        <v>2256</v>
      </c>
      <c r="G26" s="63" t="s">
        <v>2346</v>
      </c>
      <c r="H26" s="63" t="s">
        <v>28</v>
      </c>
      <c r="I26" s="63" t="s">
        <v>812</v>
      </c>
    </row>
    <row r="27" ht="11.25" customHeight="1">
      <c r="A27" s="63" t="s">
        <v>2253</v>
      </c>
      <c r="B27" s="63" t="s">
        <v>16</v>
      </c>
      <c r="C27" s="63" t="s">
        <v>2347</v>
      </c>
      <c r="D27" s="63" t="s">
        <v>2348</v>
      </c>
      <c r="E27" s="63" t="s">
        <v>2349</v>
      </c>
      <c r="F27" s="63" t="s">
        <v>2350</v>
      </c>
      <c r="G27" s="63" t="s">
        <v>28</v>
      </c>
      <c r="H27" s="63" t="s">
        <v>28</v>
      </c>
      <c r="I27" s="63" t="s">
        <v>812</v>
      </c>
    </row>
    <row r="28" ht="11.25" customHeight="1">
      <c r="A28" s="63" t="s">
        <v>2253</v>
      </c>
      <c r="B28" s="63" t="s">
        <v>16</v>
      </c>
      <c r="C28" s="63" t="s">
        <v>2351</v>
      </c>
      <c r="D28" s="63" t="s">
        <v>2352</v>
      </c>
      <c r="E28" s="63" t="s">
        <v>2353</v>
      </c>
      <c r="F28" s="63" t="s">
        <v>2305</v>
      </c>
      <c r="G28" s="63" t="s">
        <v>28</v>
      </c>
      <c r="H28" s="63" t="s">
        <v>28</v>
      </c>
      <c r="I28" s="63" t="s">
        <v>812</v>
      </c>
    </row>
    <row r="29" ht="11.25" customHeight="1">
      <c r="A29" s="63" t="s">
        <v>2253</v>
      </c>
      <c r="B29" s="63" t="s">
        <v>16</v>
      </c>
      <c r="C29" s="63" t="s">
        <v>2354</v>
      </c>
      <c r="D29" s="63" t="s">
        <v>2355</v>
      </c>
      <c r="E29" s="63" t="s">
        <v>2356</v>
      </c>
      <c r="F29" s="63" t="s">
        <v>2256</v>
      </c>
      <c r="G29" s="63" t="s">
        <v>28</v>
      </c>
      <c r="H29" s="63" t="s">
        <v>28</v>
      </c>
      <c r="I29" s="63" t="s">
        <v>812</v>
      </c>
    </row>
    <row r="30" ht="11.25" customHeight="1">
      <c r="A30" s="63" t="s">
        <v>2253</v>
      </c>
      <c r="B30" s="63" t="s">
        <v>16</v>
      </c>
      <c r="C30" s="63" t="s">
        <v>2357</v>
      </c>
      <c r="D30" s="63" t="s">
        <v>2358</v>
      </c>
      <c r="E30" s="63" t="s">
        <v>2359</v>
      </c>
      <c r="F30" s="63" t="s">
        <v>2360</v>
      </c>
      <c r="G30" s="63" t="s">
        <v>28</v>
      </c>
      <c r="H30" s="63" t="s">
        <v>28</v>
      </c>
      <c r="I30" s="63" t="s">
        <v>812</v>
      </c>
    </row>
    <row r="31" ht="11.25" customHeight="1">
      <c r="A31" s="63" t="s">
        <v>2253</v>
      </c>
      <c r="B31" s="63" t="s">
        <v>16</v>
      </c>
      <c r="C31" s="63" t="s">
        <v>2361</v>
      </c>
      <c r="D31" s="63" t="s">
        <v>2362</v>
      </c>
      <c r="E31" s="63" t="s">
        <v>2363</v>
      </c>
      <c r="F31" s="63" t="s">
        <v>2364</v>
      </c>
      <c r="G31" s="63" t="s">
        <v>28</v>
      </c>
      <c r="H31" s="63" t="s">
        <v>28</v>
      </c>
      <c r="I31" s="63" t="s">
        <v>812</v>
      </c>
    </row>
    <row r="32" ht="11.25" customHeight="1">
      <c r="A32" s="63" t="s">
        <v>2253</v>
      </c>
      <c r="B32" s="63" t="s">
        <v>16</v>
      </c>
      <c r="C32" s="63" t="s">
        <v>2365</v>
      </c>
      <c r="D32" s="63" t="s">
        <v>2366</v>
      </c>
      <c r="E32" s="63" t="s">
        <v>2363</v>
      </c>
      <c r="F32" s="63" t="s">
        <v>2367</v>
      </c>
      <c r="G32" s="63" t="s">
        <v>28</v>
      </c>
      <c r="H32" s="63" t="s">
        <v>28</v>
      </c>
      <c r="I32" s="63" t="s">
        <v>812</v>
      </c>
    </row>
    <row r="33" ht="11.25" customHeight="1">
      <c r="A33" s="63" t="s">
        <v>2253</v>
      </c>
      <c r="B33" s="63" t="s">
        <v>16</v>
      </c>
      <c r="C33" s="63" t="s">
        <v>2368</v>
      </c>
      <c r="D33" s="63" t="s">
        <v>2369</v>
      </c>
      <c r="E33" s="63" t="s">
        <v>2370</v>
      </c>
      <c r="F33" s="63" t="s">
        <v>2371</v>
      </c>
      <c r="G33" s="63" t="s">
        <v>28</v>
      </c>
      <c r="H33" s="63" t="s">
        <v>2372</v>
      </c>
      <c r="I33" s="63" t="s">
        <v>812</v>
      </c>
    </row>
    <row r="34" ht="11.25" customHeight="1">
      <c r="A34" s="63" t="s">
        <v>2253</v>
      </c>
      <c r="B34" s="63" t="s">
        <v>16</v>
      </c>
      <c r="C34" s="63" t="s">
        <v>2373</v>
      </c>
      <c r="D34" s="63" t="s">
        <v>2374</v>
      </c>
      <c r="E34" s="63" t="s">
        <v>2375</v>
      </c>
      <c r="F34" s="63" t="s">
        <v>2334</v>
      </c>
      <c r="G34" s="63" t="s">
        <v>2376</v>
      </c>
      <c r="H34" s="63" t="s">
        <v>28</v>
      </c>
      <c r="I34" s="63" t="s">
        <v>812</v>
      </c>
    </row>
    <row r="35" ht="11.25" customHeight="1">
      <c r="A35" s="63" t="s">
        <v>2253</v>
      </c>
      <c r="B35" s="63" t="s">
        <v>16</v>
      </c>
      <c r="C35" s="63" t="s">
        <v>2377</v>
      </c>
      <c r="D35" s="63" t="s">
        <v>2378</v>
      </c>
      <c r="E35" s="63" t="s">
        <v>2379</v>
      </c>
      <c r="F35" s="63" t="s">
        <v>2317</v>
      </c>
      <c r="G35" s="63" t="s">
        <v>28</v>
      </c>
      <c r="H35" s="63" t="s">
        <v>28</v>
      </c>
      <c r="I35" s="63" t="s">
        <v>812</v>
      </c>
    </row>
    <row r="36" ht="11.25" customHeight="1">
      <c r="A36" s="63" t="s">
        <v>2253</v>
      </c>
      <c r="B36" s="63" t="s">
        <v>16</v>
      </c>
      <c r="C36" s="63" t="s">
        <v>2380</v>
      </c>
      <c r="D36" s="63" t="s">
        <v>2381</v>
      </c>
      <c r="E36" s="63" t="s">
        <v>2382</v>
      </c>
      <c r="F36" s="63" t="s">
        <v>2305</v>
      </c>
      <c r="G36" s="63" t="s">
        <v>28</v>
      </c>
      <c r="H36" s="63" t="s">
        <v>2383</v>
      </c>
      <c r="I36" s="63" t="s">
        <v>812</v>
      </c>
    </row>
    <row r="37" ht="11.25" customHeight="1">
      <c r="A37" s="63" t="s">
        <v>2253</v>
      </c>
      <c r="B37" s="63" t="s">
        <v>16</v>
      </c>
      <c r="C37" s="63" t="s">
        <v>2384</v>
      </c>
      <c r="D37" s="63" t="s">
        <v>2385</v>
      </c>
      <c r="E37" s="63" t="s">
        <v>2386</v>
      </c>
      <c r="F37" s="63" t="s">
        <v>2387</v>
      </c>
      <c r="G37" s="63" t="s">
        <v>28</v>
      </c>
      <c r="H37" s="63" t="s">
        <v>2388</v>
      </c>
      <c r="I37" s="63" t="s">
        <v>812</v>
      </c>
    </row>
    <row r="38" ht="11.25" customHeight="1">
      <c r="A38" s="63" t="s">
        <v>2253</v>
      </c>
      <c r="B38" s="63" t="s">
        <v>16</v>
      </c>
      <c r="C38" s="63" t="s">
        <v>2389</v>
      </c>
      <c r="D38" s="63" t="s">
        <v>2390</v>
      </c>
      <c r="E38" s="63" t="s">
        <v>2391</v>
      </c>
      <c r="F38" s="63" t="s">
        <v>579</v>
      </c>
      <c r="G38" s="63" t="s">
        <v>2392</v>
      </c>
      <c r="H38" s="63" t="s">
        <v>28</v>
      </c>
      <c r="I38" s="63" t="s">
        <v>812</v>
      </c>
    </row>
    <row r="39" ht="11.25" customHeight="1">
      <c r="A39" s="63" t="s">
        <v>2253</v>
      </c>
      <c r="B39" s="63" t="s">
        <v>16</v>
      </c>
      <c r="C39" s="63" t="s">
        <v>2393</v>
      </c>
      <c r="D39" s="63" t="s">
        <v>2394</v>
      </c>
      <c r="E39" s="63" t="s">
        <v>2395</v>
      </c>
      <c r="F39" s="63" t="s">
        <v>2305</v>
      </c>
      <c r="G39" s="63" t="s">
        <v>28</v>
      </c>
      <c r="H39" s="63" t="s">
        <v>28</v>
      </c>
      <c r="I39" s="63" t="s">
        <v>812</v>
      </c>
    </row>
    <row r="40" ht="11.25" customHeight="1">
      <c r="A40" s="63" t="s">
        <v>2253</v>
      </c>
      <c r="B40" s="63" t="s">
        <v>16</v>
      </c>
      <c r="C40" s="63" t="s">
        <v>2396</v>
      </c>
      <c r="D40" s="63" t="s">
        <v>2397</v>
      </c>
      <c r="E40" s="63" t="s">
        <v>2398</v>
      </c>
      <c r="F40" s="63" t="s">
        <v>2399</v>
      </c>
      <c r="G40" s="63" t="s">
        <v>2400</v>
      </c>
      <c r="H40" s="63" t="s">
        <v>28</v>
      </c>
      <c r="I40" s="63" t="s">
        <v>812</v>
      </c>
    </row>
    <row r="41" ht="11.25" customHeight="1">
      <c r="A41" s="63" t="s">
        <v>2253</v>
      </c>
      <c r="B41" s="63" t="s">
        <v>16</v>
      </c>
      <c r="C41" s="63" t="s">
        <v>2401</v>
      </c>
      <c r="D41" s="63" t="s">
        <v>2402</v>
      </c>
      <c r="E41" s="63" t="s">
        <v>2403</v>
      </c>
      <c r="F41" s="63" t="s">
        <v>2371</v>
      </c>
      <c r="G41" s="63" t="s">
        <v>28</v>
      </c>
      <c r="H41" s="63" t="s">
        <v>28</v>
      </c>
      <c r="I41" s="63" t="s">
        <v>812</v>
      </c>
    </row>
    <row r="42" ht="11.25" customHeight="1">
      <c r="A42" s="63" t="s">
        <v>2253</v>
      </c>
      <c r="B42" s="63" t="s">
        <v>16</v>
      </c>
      <c r="C42" s="63" t="s">
        <v>2404</v>
      </c>
      <c r="D42" s="63" t="s">
        <v>2405</v>
      </c>
      <c r="E42" s="63" t="s">
        <v>2406</v>
      </c>
      <c r="F42" s="63" t="s">
        <v>2407</v>
      </c>
      <c r="G42" s="63" t="s">
        <v>28</v>
      </c>
      <c r="H42" s="63" t="s">
        <v>28</v>
      </c>
      <c r="I42" s="63" t="s">
        <v>812</v>
      </c>
    </row>
    <row r="43" ht="11.25" customHeight="1">
      <c r="A43" s="63" t="s">
        <v>2253</v>
      </c>
      <c r="B43" s="63" t="s">
        <v>16</v>
      </c>
      <c r="C43" s="63" t="s">
        <v>2408</v>
      </c>
      <c r="D43" s="63" t="s">
        <v>2409</v>
      </c>
      <c r="E43" s="63" t="s">
        <v>2410</v>
      </c>
      <c r="F43" s="63" t="s">
        <v>2371</v>
      </c>
      <c r="G43" s="63" t="s">
        <v>28</v>
      </c>
      <c r="H43" s="63" t="s">
        <v>28</v>
      </c>
      <c r="I43" s="63" t="s">
        <v>812</v>
      </c>
    </row>
    <row r="44" ht="11.25" customHeight="1">
      <c r="A44" s="63" t="s">
        <v>2253</v>
      </c>
      <c r="B44" s="63" t="s">
        <v>16</v>
      </c>
      <c r="C44" s="63" t="s">
        <v>2411</v>
      </c>
      <c r="D44" s="63" t="s">
        <v>2412</v>
      </c>
      <c r="E44" s="63" t="s">
        <v>2413</v>
      </c>
      <c r="F44" s="63" t="s">
        <v>2305</v>
      </c>
      <c r="G44" s="63" t="s">
        <v>28</v>
      </c>
      <c r="H44" s="63" t="s">
        <v>28</v>
      </c>
      <c r="I44" s="63" t="s">
        <v>812</v>
      </c>
    </row>
    <row r="45" ht="11.25" customHeight="1">
      <c r="A45" s="63" t="s">
        <v>2253</v>
      </c>
      <c r="B45" s="63" t="s">
        <v>16</v>
      </c>
      <c r="C45" s="63" t="s">
        <v>2414</v>
      </c>
      <c r="D45" s="63" t="s">
        <v>2415</v>
      </c>
      <c r="E45" s="63" t="s">
        <v>2416</v>
      </c>
      <c r="F45" s="63" t="s">
        <v>2417</v>
      </c>
      <c r="G45" s="63" t="s">
        <v>2418</v>
      </c>
      <c r="H45" s="63" t="s">
        <v>28</v>
      </c>
      <c r="I45" s="63" t="s">
        <v>812</v>
      </c>
    </row>
    <row r="46" ht="11.25" customHeight="1">
      <c r="A46" s="63" t="s">
        <v>2253</v>
      </c>
      <c r="B46" s="63" t="s">
        <v>16</v>
      </c>
      <c r="C46" s="63" t="s">
        <v>2419</v>
      </c>
      <c r="D46" s="63" t="s">
        <v>2420</v>
      </c>
      <c r="E46" s="63" t="s">
        <v>2421</v>
      </c>
      <c r="F46" s="63" t="s">
        <v>2417</v>
      </c>
      <c r="G46" s="63" t="s">
        <v>28</v>
      </c>
      <c r="H46" s="63" t="s">
        <v>28</v>
      </c>
      <c r="I46" s="63" t="s">
        <v>812</v>
      </c>
    </row>
    <row r="47" ht="11.25" customHeight="1">
      <c r="A47" s="63" t="s">
        <v>2253</v>
      </c>
      <c r="B47" s="63" t="s">
        <v>16</v>
      </c>
      <c r="C47" s="63" t="s">
        <v>2422</v>
      </c>
      <c r="D47" s="63" t="s">
        <v>2423</v>
      </c>
      <c r="E47" s="63" t="s">
        <v>2424</v>
      </c>
      <c r="F47" s="63" t="s">
        <v>2264</v>
      </c>
      <c r="G47" s="63" t="s">
        <v>2425</v>
      </c>
      <c r="H47" s="63" t="s">
        <v>28</v>
      </c>
      <c r="I47" s="63" t="s">
        <v>812</v>
      </c>
    </row>
    <row r="48" ht="11.25" customHeight="1">
      <c r="A48" s="63" t="s">
        <v>2253</v>
      </c>
      <c r="B48" s="63" t="s">
        <v>16</v>
      </c>
      <c r="C48" s="63" t="s">
        <v>2426</v>
      </c>
      <c r="D48" s="63" t="s">
        <v>2427</v>
      </c>
      <c r="E48" s="63" t="s">
        <v>2428</v>
      </c>
      <c r="F48" s="63" t="s">
        <v>2429</v>
      </c>
      <c r="G48" s="63" t="s">
        <v>28</v>
      </c>
      <c r="H48" s="63" t="s">
        <v>28</v>
      </c>
      <c r="I48" s="63" t="s">
        <v>812</v>
      </c>
    </row>
    <row r="49" ht="11.25" customHeight="1">
      <c r="A49" s="63" t="s">
        <v>2253</v>
      </c>
      <c r="B49" s="63" t="s">
        <v>16</v>
      </c>
      <c r="C49" s="63" t="s">
        <v>2430</v>
      </c>
      <c r="D49" s="63" t="s">
        <v>2431</v>
      </c>
      <c r="E49" s="63" t="s">
        <v>2432</v>
      </c>
      <c r="F49" s="63" t="s">
        <v>2293</v>
      </c>
      <c r="G49" s="63" t="s">
        <v>2433</v>
      </c>
      <c r="H49" s="63" t="s">
        <v>28</v>
      </c>
      <c r="I49" s="63" t="s">
        <v>812</v>
      </c>
    </row>
    <row r="50" ht="11.25" customHeight="1">
      <c r="A50" s="63" t="s">
        <v>2253</v>
      </c>
      <c r="B50" s="63" t="s">
        <v>16</v>
      </c>
      <c r="C50" s="63" t="s">
        <v>2434</v>
      </c>
      <c r="D50" s="63" t="s">
        <v>2435</v>
      </c>
      <c r="E50" s="63" t="s">
        <v>2436</v>
      </c>
      <c r="F50" s="63" t="s">
        <v>2437</v>
      </c>
      <c r="G50" s="63" t="s">
        <v>28</v>
      </c>
      <c r="H50" s="63" t="s">
        <v>28</v>
      </c>
      <c r="I50" s="63" t="s">
        <v>812</v>
      </c>
    </row>
    <row r="51" ht="11.25" customHeight="1">
      <c r="A51" s="63" t="s">
        <v>2253</v>
      </c>
      <c r="B51" s="63" t="s">
        <v>16</v>
      </c>
      <c r="C51" s="63" t="s">
        <v>2438</v>
      </c>
      <c r="D51" s="63" t="s">
        <v>2439</v>
      </c>
      <c r="E51" s="63" t="s">
        <v>2440</v>
      </c>
      <c r="F51" s="63" t="s">
        <v>2301</v>
      </c>
      <c r="G51" s="63" t="s">
        <v>28</v>
      </c>
      <c r="H51" s="63" t="s">
        <v>28</v>
      </c>
      <c r="I51" s="63" t="s">
        <v>812</v>
      </c>
    </row>
    <row r="52" ht="11.25" customHeight="1">
      <c r="A52" s="63" t="s">
        <v>2253</v>
      </c>
      <c r="B52" s="63" t="s">
        <v>16</v>
      </c>
      <c r="C52" s="63" t="s">
        <v>2441</v>
      </c>
      <c r="D52" s="63" t="s">
        <v>2442</v>
      </c>
      <c r="E52" s="63" t="s">
        <v>2443</v>
      </c>
      <c r="F52" s="63" t="s">
        <v>2301</v>
      </c>
      <c r="G52" s="63" t="s">
        <v>2444</v>
      </c>
      <c r="H52" s="63" t="s">
        <v>28</v>
      </c>
      <c r="I52" s="63" t="s">
        <v>812</v>
      </c>
    </row>
    <row r="53" ht="11.25" customHeight="1">
      <c r="A53" s="63" t="s">
        <v>2253</v>
      </c>
      <c r="B53" s="63" t="s">
        <v>16</v>
      </c>
      <c r="C53" s="63" t="s">
        <v>2445</v>
      </c>
      <c r="D53" s="63" t="s">
        <v>2446</v>
      </c>
      <c r="E53" s="63" t="s">
        <v>2447</v>
      </c>
      <c r="F53" s="63" t="s">
        <v>2448</v>
      </c>
      <c r="G53" s="63" t="s">
        <v>28</v>
      </c>
      <c r="H53" s="63" t="s">
        <v>28</v>
      </c>
      <c r="I53" s="63" t="s">
        <v>812</v>
      </c>
    </row>
    <row r="54" ht="11.25" customHeight="1">
      <c r="A54" s="63" t="s">
        <v>2253</v>
      </c>
      <c r="B54" s="63" t="s">
        <v>16</v>
      </c>
      <c r="C54" s="63" t="s">
        <v>2449</v>
      </c>
      <c r="D54" s="63" t="s">
        <v>2450</v>
      </c>
      <c r="E54" s="63" t="s">
        <v>2451</v>
      </c>
      <c r="F54" s="63" t="s">
        <v>2305</v>
      </c>
      <c r="G54" s="63" t="s">
        <v>28</v>
      </c>
      <c r="H54" s="63" t="s">
        <v>28</v>
      </c>
      <c r="I54" s="63" t="s">
        <v>812</v>
      </c>
    </row>
    <row r="55" ht="11.25" customHeight="1">
      <c r="A55" s="63" t="s">
        <v>2253</v>
      </c>
      <c r="B55" s="63" t="s">
        <v>16</v>
      </c>
      <c r="C55" s="63" t="s">
        <v>2452</v>
      </c>
      <c r="D55" s="63" t="s">
        <v>2453</v>
      </c>
      <c r="E55" s="63" t="s">
        <v>2454</v>
      </c>
      <c r="F55" s="63" t="s">
        <v>2437</v>
      </c>
      <c r="G55" s="63" t="s">
        <v>28</v>
      </c>
      <c r="H55" s="63" t="s">
        <v>28</v>
      </c>
      <c r="I55" s="63" t="s">
        <v>812</v>
      </c>
    </row>
    <row r="56" ht="11.25" customHeight="1">
      <c r="A56" s="63" t="s">
        <v>2253</v>
      </c>
      <c r="B56" s="63" t="s">
        <v>16</v>
      </c>
      <c r="C56" s="63" t="s">
        <v>2455</v>
      </c>
      <c r="D56" s="63" t="s">
        <v>2456</v>
      </c>
      <c r="E56" s="63" t="s">
        <v>2457</v>
      </c>
      <c r="F56" s="63" t="s">
        <v>2387</v>
      </c>
      <c r="G56" s="63" t="s">
        <v>28</v>
      </c>
      <c r="H56" s="63" t="s">
        <v>28</v>
      </c>
      <c r="I56" s="63" t="s">
        <v>812</v>
      </c>
    </row>
    <row r="57" ht="11.25" customHeight="1">
      <c r="A57" s="63" t="s">
        <v>2253</v>
      </c>
      <c r="B57" s="63" t="s">
        <v>16</v>
      </c>
      <c r="C57" s="63" t="s">
        <v>2458</v>
      </c>
      <c r="D57" s="63" t="s">
        <v>2459</v>
      </c>
      <c r="E57" s="63" t="s">
        <v>2460</v>
      </c>
      <c r="F57" s="63" t="s">
        <v>2417</v>
      </c>
      <c r="G57" s="63" t="s">
        <v>28</v>
      </c>
      <c r="H57" s="63" t="s">
        <v>2274</v>
      </c>
      <c r="I57" s="63" t="s">
        <v>812</v>
      </c>
    </row>
    <row r="58" ht="11.25" customHeight="1">
      <c r="A58" s="63" t="s">
        <v>2253</v>
      </c>
      <c r="B58" s="63" t="s">
        <v>16</v>
      </c>
      <c r="C58" s="63" t="s">
        <v>2461</v>
      </c>
      <c r="D58" s="63" t="s">
        <v>2462</v>
      </c>
      <c r="E58" s="63" t="s">
        <v>2463</v>
      </c>
      <c r="F58" s="63" t="s">
        <v>2464</v>
      </c>
      <c r="G58" s="63" t="s">
        <v>28</v>
      </c>
      <c r="H58" s="63" t="s">
        <v>28</v>
      </c>
      <c r="I58" s="63" t="s">
        <v>812</v>
      </c>
    </row>
    <row r="59" ht="11.25" customHeight="1">
      <c r="A59" s="63" t="s">
        <v>2253</v>
      </c>
      <c r="B59" s="63" t="s">
        <v>16</v>
      </c>
      <c r="C59" s="63" t="s">
        <v>2465</v>
      </c>
      <c r="D59" s="63" t="s">
        <v>2466</v>
      </c>
      <c r="E59" s="63" t="s">
        <v>2467</v>
      </c>
      <c r="F59" s="63" t="s">
        <v>2317</v>
      </c>
      <c r="G59" s="63" t="s">
        <v>28</v>
      </c>
      <c r="H59" s="63" t="s">
        <v>28</v>
      </c>
      <c r="I59" s="63" t="s">
        <v>812</v>
      </c>
    </row>
    <row r="60" ht="11.25" customHeight="1">
      <c r="A60" s="63" t="s">
        <v>2253</v>
      </c>
      <c r="B60" s="63" t="s">
        <v>16</v>
      </c>
      <c r="C60" s="63" t="s">
        <v>2468</v>
      </c>
      <c r="D60" s="63" t="s">
        <v>2469</v>
      </c>
      <c r="E60" s="63" t="s">
        <v>2470</v>
      </c>
      <c r="F60" s="63" t="s">
        <v>2471</v>
      </c>
      <c r="G60" s="63" t="s">
        <v>28</v>
      </c>
      <c r="H60" s="63" t="s">
        <v>28</v>
      </c>
      <c r="I60" s="63" t="s">
        <v>812</v>
      </c>
    </row>
    <row r="61" ht="11.25" customHeight="1">
      <c r="A61" s="63" t="s">
        <v>2253</v>
      </c>
      <c r="B61" s="63" t="s">
        <v>16</v>
      </c>
      <c r="C61" s="63" t="s">
        <v>2472</v>
      </c>
      <c r="D61" s="63" t="s">
        <v>2473</v>
      </c>
      <c r="E61" s="63" t="s">
        <v>50</v>
      </c>
      <c r="F61" s="63" t="s">
        <v>2474</v>
      </c>
      <c r="G61" s="63" t="s">
        <v>28</v>
      </c>
      <c r="H61" s="63" t="s">
        <v>28</v>
      </c>
      <c r="I61" s="63" t="s">
        <v>812</v>
      </c>
    </row>
    <row r="62" ht="11.25" customHeight="1">
      <c r="A62" s="63" t="s">
        <v>2253</v>
      </c>
      <c r="B62" s="63" t="s">
        <v>16</v>
      </c>
      <c r="C62" s="63" t="s">
        <v>2475</v>
      </c>
      <c r="D62" s="63" t="s">
        <v>2476</v>
      </c>
      <c r="E62" s="63" t="s">
        <v>2477</v>
      </c>
      <c r="F62" s="63" t="s">
        <v>2478</v>
      </c>
      <c r="G62" s="63" t="s">
        <v>28</v>
      </c>
      <c r="H62" s="63" t="s">
        <v>28</v>
      </c>
      <c r="I62" s="63" t="s">
        <v>812</v>
      </c>
    </row>
    <row r="63" ht="11.25" customHeight="1">
      <c r="A63" s="63" t="s">
        <v>2253</v>
      </c>
      <c r="B63" s="63" t="s">
        <v>16</v>
      </c>
      <c r="C63" s="63" t="s">
        <v>2479</v>
      </c>
      <c r="D63" s="63" t="s">
        <v>2480</v>
      </c>
      <c r="E63" s="63" t="s">
        <v>2481</v>
      </c>
      <c r="F63" s="63" t="s">
        <v>2478</v>
      </c>
      <c r="G63" s="63" t="s">
        <v>28</v>
      </c>
      <c r="H63" s="63" t="s">
        <v>28</v>
      </c>
      <c r="I63" s="63" t="s">
        <v>812</v>
      </c>
    </row>
    <row r="64" ht="11.25" customHeight="1">
      <c r="A64" s="63" t="s">
        <v>2253</v>
      </c>
      <c r="B64" s="63" t="s">
        <v>16</v>
      </c>
      <c r="C64" s="63" t="s">
        <v>2482</v>
      </c>
      <c r="D64" s="63" t="s">
        <v>2483</v>
      </c>
      <c r="E64" s="63" t="s">
        <v>2484</v>
      </c>
      <c r="F64" s="63" t="s">
        <v>2305</v>
      </c>
      <c r="G64" s="63" t="s">
        <v>28</v>
      </c>
      <c r="H64" s="63" t="s">
        <v>2485</v>
      </c>
      <c r="I64" s="63" t="s">
        <v>812</v>
      </c>
    </row>
    <row r="65" ht="11.25" customHeight="1">
      <c r="A65" s="63" t="s">
        <v>2253</v>
      </c>
      <c r="B65" s="63" t="s">
        <v>16</v>
      </c>
      <c r="C65" s="63" t="s">
        <v>2486</v>
      </c>
      <c r="D65" s="63" t="s">
        <v>2487</v>
      </c>
      <c r="E65" s="63" t="s">
        <v>2363</v>
      </c>
      <c r="F65" s="63" t="s">
        <v>2488</v>
      </c>
      <c r="G65" s="63" t="s">
        <v>28</v>
      </c>
      <c r="H65" s="63" t="s">
        <v>28</v>
      </c>
      <c r="I65" s="63" t="s">
        <v>812</v>
      </c>
    </row>
    <row r="66" ht="11.25" customHeight="1">
      <c r="A66" s="63" t="s">
        <v>2253</v>
      </c>
      <c r="B66" s="63" t="s">
        <v>16</v>
      </c>
      <c r="C66" s="63" t="s">
        <v>2489</v>
      </c>
      <c r="D66" s="63" t="s">
        <v>2490</v>
      </c>
      <c r="E66" s="63" t="s">
        <v>2491</v>
      </c>
      <c r="F66" s="63" t="s">
        <v>2301</v>
      </c>
      <c r="G66" s="63" t="s">
        <v>28</v>
      </c>
      <c r="H66" s="63" t="s">
        <v>28</v>
      </c>
      <c r="I66" s="63" t="s">
        <v>812</v>
      </c>
    </row>
    <row r="67" ht="11.25" customHeight="1">
      <c r="A67" s="63" t="s">
        <v>2253</v>
      </c>
      <c r="B67" s="63" t="s">
        <v>16</v>
      </c>
      <c r="C67" s="63" t="s">
        <v>2492</v>
      </c>
      <c r="D67" s="63" t="s">
        <v>2493</v>
      </c>
      <c r="E67" s="63" t="s">
        <v>2494</v>
      </c>
      <c r="F67" s="63" t="s">
        <v>2317</v>
      </c>
      <c r="G67" s="63" t="s">
        <v>28</v>
      </c>
      <c r="H67" s="63" t="s">
        <v>28</v>
      </c>
      <c r="I67" s="63" t="s">
        <v>812</v>
      </c>
    </row>
    <row r="68" ht="11.25" customHeight="1">
      <c r="A68" s="63" t="s">
        <v>2253</v>
      </c>
      <c r="B68" s="63" t="s">
        <v>16</v>
      </c>
      <c r="C68" s="63" t="s">
        <v>2495</v>
      </c>
      <c r="D68" s="63" t="s">
        <v>2496</v>
      </c>
      <c r="E68" s="63" t="s">
        <v>2497</v>
      </c>
      <c r="F68" s="63" t="s">
        <v>2317</v>
      </c>
      <c r="G68" s="63" t="s">
        <v>28</v>
      </c>
      <c r="H68" s="63" t="s">
        <v>28</v>
      </c>
      <c r="I68" s="63" t="s">
        <v>812</v>
      </c>
    </row>
    <row r="69" ht="11.25" customHeight="1">
      <c r="A69" s="63" t="s">
        <v>2253</v>
      </c>
      <c r="B69" s="63" t="s">
        <v>16</v>
      </c>
      <c r="C69" s="63" t="s">
        <v>2498</v>
      </c>
      <c r="D69" s="63" t="s">
        <v>2499</v>
      </c>
      <c r="E69" s="63" t="s">
        <v>2500</v>
      </c>
      <c r="F69" s="63" t="s">
        <v>2264</v>
      </c>
      <c r="G69" s="63" t="s">
        <v>28</v>
      </c>
      <c r="H69" s="63" t="s">
        <v>2501</v>
      </c>
      <c r="I69" s="63" t="s">
        <v>812</v>
      </c>
    </row>
    <row r="70" ht="11.25" customHeight="1">
      <c r="A70" s="63" t="s">
        <v>2253</v>
      </c>
      <c r="B70" s="63" t="s">
        <v>16</v>
      </c>
      <c r="C70" s="63" t="s">
        <v>2502</v>
      </c>
      <c r="D70" s="63" t="s">
        <v>2503</v>
      </c>
      <c r="E70" s="63" t="s">
        <v>2504</v>
      </c>
      <c r="F70" s="63" t="s">
        <v>2260</v>
      </c>
      <c r="G70" s="63" t="s">
        <v>28</v>
      </c>
      <c r="H70" s="63" t="s">
        <v>28</v>
      </c>
      <c r="I70" s="63" t="s">
        <v>812</v>
      </c>
    </row>
    <row r="71" ht="11.25" customHeight="1">
      <c r="A71" s="63" t="s">
        <v>2253</v>
      </c>
      <c r="B71" s="63" t="s">
        <v>16</v>
      </c>
      <c r="C71" s="63" t="s">
        <v>2505</v>
      </c>
      <c r="D71" s="63" t="s">
        <v>2506</v>
      </c>
      <c r="E71" s="63" t="s">
        <v>2507</v>
      </c>
      <c r="F71" s="63" t="s">
        <v>2417</v>
      </c>
      <c r="G71" s="63" t="s">
        <v>28</v>
      </c>
      <c r="H71" s="63" t="s">
        <v>28</v>
      </c>
      <c r="I71" s="63" t="s">
        <v>812</v>
      </c>
    </row>
    <row r="72" ht="11.25" customHeight="1">
      <c r="A72" s="63" t="s">
        <v>2253</v>
      </c>
      <c r="B72" s="63" t="s">
        <v>16</v>
      </c>
      <c r="C72" s="63" t="s">
        <v>2508</v>
      </c>
      <c r="D72" s="63" t="s">
        <v>2509</v>
      </c>
      <c r="E72" s="63" t="s">
        <v>2510</v>
      </c>
      <c r="F72" s="63" t="s">
        <v>2511</v>
      </c>
      <c r="G72" s="63" t="s">
        <v>2512</v>
      </c>
      <c r="H72" s="63" t="s">
        <v>2513</v>
      </c>
      <c r="I72" s="63" t="s">
        <v>812</v>
      </c>
    </row>
    <row r="73" ht="11.25" customHeight="1">
      <c r="A73" s="63" t="s">
        <v>2253</v>
      </c>
      <c r="B73" s="63" t="s">
        <v>16</v>
      </c>
      <c r="C73" s="63" t="s">
        <v>2514</v>
      </c>
      <c r="D73" s="63" t="s">
        <v>2515</v>
      </c>
      <c r="E73" s="63" t="s">
        <v>2516</v>
      </c>
      <c r="F73" s="63" t="s">
        <v>2260</v>
      </c>
      <c r="G73" s="63" t="s">
        <v>2517</v>
      </c>
      <c r="H73" s="63" t="s">
        <v>28</v>
      </c>
      <c r="I73" s="63" t="s">
        <v>812</v>
      </c>
    </row>
    <row r="74" ht="11.25" customHeight="1">
      <c r="A74" s="63" t="s">
        <v>2253</v>
      </c>
      <c r="B74" s="63" t="s">
        <v>16</v>
      </c>
      <c r="C74" s="63" t="s">
        <v>2518</v>
      </c>
      <c r="D74" s="63" t="s">
        <v>2519</v>
      </c>
      <c r="E74" s="63" t="s">
        <v>2520</v>
      </c>
      <c r="F74" s="63" t="s">
        <v>2260</v>
      </c>
      <c r="G74" s="63" t="s">
        <v>2521</v>
      </c>
      <c r="H74" s="63" t="s">
        <v>28</v>
      </c>
      <c r="I74" s="63" t="s">
        <v>812</v>
      </c>
    </row>
    <row r="75" ht="11.25" customHeight="1">
      <c r="A75" s="63" t="s">
        <v>2253</v>
      </c>
      <c r="B75" s="63" t="s">
        <v>16</v>
      </c>
      <c r="C75" s="63" t="s">
        <v>2522</v>
      </c>
      <c r="D75" s="63" t="s">
        <v>2523</v>
      </c>
      <c r="E75" s="63" t="s">
        <v>2524</v>
      </c>
      <c r="F75" s="63" t="s">
        <v>2525</v>
      </c>
      <c r="G75" s="63" t="s">
        <v>28</v>
      </c>
      <c r="H75" s="63" t="s">
        <v>28</v>
      </c>
      <c r="I75" s="63" t="s">
        <v>812</v>
      </c>
    </row>
    <row r="76" ht="11.25" customHeight="1">
      <c r="A76" s="63" t="s">
        <v>2253</v>
      </c>
      <c r="B76" s="63" t="s">
        <v>16</v>
      </c>
      <c r="C76" s="63" t="s">
        <v>2526</v>
      </c>
      <c r="D76" s="63" t="s">
        <v>2527</v>
      </c>
      <c r="E76" s="63" t="s">
        <v>2528</v>
      </c>
      <c r="F76" s="63" t="s">
        <v>2511</v>
      </c>
      <c r="G76" s="63" t="s">
        <v>28</v>
      </c>
      <c r="H76" s="63" t="s">
        <v>28</v>
      </c>
      <c r="I76" s="63" t="s">
        <v>812</v>
      </c>
    </row>
    <row r="77" ht="11.25" customHeight="1">
      <c r="A77" s="63" t="s">
        <v>2253</v>
      </c>
      <c r="B77" s="63" t="s">
        <v>16</v>
      </c>
      <c r="C77" s="63" t="s">
        <v>2529</v>
      </c>
      <c r="D77" s="63" t="s">
        <v>2530</v>
      </c>
      <c r="E77" s="63" t="s">
        <v>2531</v>
      </c>
      <c r="F77" s="63" t="s">
        <v>2317</v>
      </c>
      <c r="G77" s="63" t="s">
        <v>28</v>
      </c>
      <c r="H77" s="63" t="s">
        <v>28</v>
      </c>
      <c r="I77" s="63" t="s">
        <v>812</v>
      </c>
    </row>
    <row r="78" ht="11.25" customHeight="1">
      <c r="A78" s="63" t="s">
        <v>2253</v>
      </c>
      <c r="B78" s="63" t="s">
        <v>16</v>
      </c>
      <c r="C78" s="63" t="s">
        <v>2532</v>
      </c>
      <c r="D78" s="63" t="s">
        <v>2533</v>
      </c>
      <c r="E78" s="63" t="s">
        <v>2534</v>
      </c>
      <c r="F78" s="63" t="s">
        <v>2511</v>
      </c>
      <c r="G78" s="63" t="s">
        <v>28</v>
      </c>
      <c r="H78" s="63" t="s">
        <v>28</v>
      </c>
      <c r="I78" s="63" t="s">
        <v>812</v>
      </c>
    </row>
    <row r="79" ht="11.25" customHeight="1">
      <c r="A79" s="63" t="s">
        <v>2253</v>
      </c>
      <c r="B79" s="63" t="s">
        <v>16</v>
      </c>
      <c r="C79" s="63" t="s">
        <v>2535</v>
      </c>
      <c r="D79" s="63" t="s">
        <v>2536</v>
      </c>
      <c r="E79" s="63" t="s">
        <v>2537</v>
      </c>
      <c r="F79" s="63" t="s">
        <v>2407</v>
      </c>
      <c r="G79" s="63" t="s">
        <v>2538</v>
      </c>
      <c r="H79" s="63" t="s">
        <v>28</v>
      </c>
      <c r="I79" s="63" t="s">
        <v>812</v>
      </c>
    </row>
    <row r="80" ht="11.25" customHeight="1">
      <c r="A80" s="63" t="s">
        <v>2253</v>
      </c>
      <c r="B80" s="63" t="s">
        <v>16</v>
      </c>
      <c r="C80" s="63" t="s">
        <v>2539</v>
      </c>
      <c r="D80" s="63" t="s">
        <v>2540</v>
      </c>
      <c r="E80" s="63" t="s">
        <v>2541</v>
      </c>
      <c r="F80" s="63" t="s">
        <v>2542</v>
      </c>
      <c r="G80" s="63" t="s">
        <v>2543</v>
      </c>
      <c r="H80" s="63" t="s">
        <v>28</v>
      </c>
      <c r="I80" s="63" t="s">
        <v>812</v>
      </c>
    </row>
    <row r="81" ht="11.25" customHeight="1">
      <c r="A81" s="63" t="s">
        <v>2253</v>
      </c>
      <c r="B81" s="63" t="s">
        <v>16</v>
      </c>
      <c r="C81" s="63" t="s">
        <v>2544</v>
      </c>
      <c r="D81" s="63" t="s">
        <v>2545</v>
      </c>
      <c r="E81" s="63" t="s">
        <v>2546</v>
      </c>
      <c r="F81" s="63" t="s">
        <v>2511</v>
      </c>
      <c r="G81" s="63" t="s">
        <v>28</v>
      </c>
      <c r="H81" s="63" t="s">
        <v>28</v>
      </c>
      <c r="I81" s="63" t="s">
        <v>812</v>
      </c>
    </row>
    <row r="82" ht="11.25" customHeight="1">
      <c r="A82" s="63" t="s">
        <v>2253</v>
      </c>
      <c r="B82" s="63" t="s">
        <v>16</v>
      </c>
      <c r="C82" s="63" t="s">
        <v>2547</v>
      </c>
      <c r="D82" s="63" t="s">
        <v>2548</v>
      </c>
      <c r="E82" s="63" t="s">
        <v>2549</v>
      </c>
      <c r="F82" s="63" t="s">
        <v>2511</v>
      </c>
      <c r="G82" s="63" t="s">
        <v>28</v>
      </c>
      <c r="H82" s="63" t="s">
        <v>28</v>
      </c>
      <c r="I82" s="63" t="s">
        <v>812</v>
      </c>
    </row>
    <row r="83" ht="11.25" customHeight="1">
      <c r="A83" s="63" t="s">
        <v>2253</v>
      </c>
      <c r="B83" s="63" t="s">
        <v>16</v>
      </c>
      <c r="C83" s="63" t="s">
        <v>2550</v>
      </c>
      <c r="D83" s="63" t="s">
        <v>2551</v>
      </c>
      <c r="E83" s="63" t="s">
        <v>2552</v>
      </c>
      <c r="F83" s="63" t="s">
        <v>2273</v>
      </c>
      <c r="G83" s="63" t="s">
        <v>28</v>
      </c>
      <c r="H83" s="63" t="s">
        <v>28</v>
      </c>
      <c r="I83" s="63" t="s">
        <v>812</v>
      </c>
    </row>
    <row r="84" ht="11.25" customHeight="1">
      <c r="A84" s="63" t="s">
        <v>2253</v>
      </c>
      <c r="B84" s="63" t="s">
        <v>16</v>
      </c>
      <c r="C84" s="63" t="s">
        <v>2553</v>
      </c>
      <c r="D84" s="63" t="s">
        <v>2554</v>
      </c>
      <c r="E84" s="63" t="s">
        <v>2555</v>
      </c>
      <c r="F84" s="63" t="s">
        <v>2256</v>
      </c>
      <c r="G84" s="63" t="s">
        <v>2556</v>
      </c>
      <c r="H84" s="63" t="s">
        <v>28</v>
      </c>
      <c r="I84" s="63" t="s">
        <v>812</v>
      </c>
    </row>
    <row r="85" ht="11.25" customHeight="1">
      <c r="A85" s="63" t="s">
        <v>2253</v>
      </c>
      <c r="B85" s="63" t="s">
        <v>16</v>
      </c>
      <c r="C85" s="63" t="s">
        <v>2557</v>
      </c>
      <c r="D85" s="63" t="s">
        <v>2558</v>
      </c>
      <c r="E85" s="63" t="s">
        <v>2559</v>
      </c>
      <c r="F85" s="63" t="s">
        <v>2256</v>
      </c>
      <c r="G85" s="63" t="s">
        <v>28</v>
      </c>
      <c r="H85" s="63" t="s">
        <v>28</v>
      </c>
      <c r="I85" s="63" t="s">
        <v>812</v>
      </c>
    </row>
    <row r="86" ht="11.25" customHeight="1">
      <c r="A86" s="63" t="s">
        <v>2253</v>
      </c>
      <c r="B86" s="63" t="s">
        <v>16</v>
      </c>
      <c r="C86" s="63" t="s">
        <v>2560</v>
      </c>
      <c r="D86" s="63" t="s">
        <v>2561</v>
      </c>
      <c r="E86" s="63" t="s">
        <v>2562</v>
      </c>
      <c r="F86" s="63" t="s">
        <v>2387</v>
      </c>
      <c r="G86" s="63" t="s">
        <v>2563</v>
      </c>
      <c r="H86" s="63" t="s">
        <v>2564</v>
      </c>
      <c r="I86" s="63" t="s">
        <v>812</v>
      </c>
    </row>
    <row r="87" ht="11.25" customHeight="1">
      <c r="A87" s="63" t="s">
        <v>2253</v>
      </c>
      <c r="B87" s="63" t="s">
        <v>16</v>
      </c>
      <c r="C87" s="63" t="s">
        <v>2565</v>
      </c>
      <c r="D87" s="63" t="s">
        <v>2566</v>
      </c>
      <c r="E87" s="63" t="s">
        <v>2567</v>
      </c>
      <c r="F87" s="63" t="s">
        <v>2305</v>
      </c>
      <c r="G87" s="63" t="s">
        <v>28</v>
      </c>
      <c r="H87" s="63" t="s">
        <v>28</v>
      </c>
      <c r="I87" s="63" t="s">
        <v>812</v>
      </c>
    </row>
    <row r="88" ht="11.25" customHeight="1">
      <c r="A88" s="63" t="s">
        <v>2253</v>
      </c>
      <c r="B88" s="63" t="s">
        <v>16</v>
      </c>
      <c r="C88" s="63" t="s">
        <v>2568</v>
      </c>
      <c r="D88" s="63" t="s">
        <v>2569</v>
      </c>
      <c r="E88" s="63" t="s">
        <v>2570</v>
      </c>
      <c r="F88" s="63" t="s">
        <v>2260</v>
      </c>
      <c r="G88" s="63" t="s">
        <v>28</v>
      </c>
      <c r="H88" s="63" t="s">
        <v>28</v>
      </c>
      <c r="I88" s="63" t="s">
        <v>812</v>
      </c>
    </row>
    <row r="89" ht="11.25" customHeight="1">
      <c r="A89" s="63" t="s">
        <v>2253</v>
      </c>
      <c r="B89" s="63" t="s">
        <v>16</v>
      </c>
      <c r="C89" s="63" t="s">
        <v>2571</v>
      </c>
      <c r="D89" s="63" t="s">
        <v>2572</v>
      </c>
      <c r="E89" s="63" t="s">
        <v>2573</v>
      </c>
      <c r="F89" s="63" t="s">
        <v>2574</v>
      </c>
      <c r="G89" s="63" t="s">
        <v>2575</v>
      </c>
      <c r="H89" s="63" t="s">
        <v>28</v>
      </c>
      <c r="I89" s="63" t="s">
        <v>812</v>
      </c>
    </row>
    <row r="90" ht="11.25" customHeight="1">
      <c r="A90" s="63" t="s">
        <v>2253</v>
      </c>
      <c r="B90" s="63" t="s">
        <v>16</v>
      </c>
      <c r="C90" s="63" t="s">
        <v>2576</v>
      </c>
      <c r="D90" s="63" t="s">
        <v>2577</v>
      </c>
      <c r="E90" s="63" t="s">
        <v>2578</v>
      </c>
      <c r="F90" s="63" t="s">
        <v>2293</v>
      </c>
      <c r="G90" s="63" t="s">
        <v>2579</v>
      </c>
      <c r="H90" s="63" t="s">
        <v>28</v>
      </c>
      <c r="I90" s="63" t="s">
        <v>812</v>
      </c>
    </row>
    <row r="91" ht="11.25" customHeight="1">
      <c r="A91" s="63" t="s">
        <v>2253</v>
      </c>
      <c r="B91" s="63" t="s">
        <v>16</v>
      </c>
      <c r="C91" s="63" t="s">
        <v>2580</v>
      </c>
      <c r="D91" s="63" t="s">
        <v>2581</v>
      </c>
      <c r="E91" s="63" t="s">
        <v>2582</v>
      </c>
      <c r="F91" s="63" t="s">
        <v>2273</v>
      </c>
      <c r="G91" s="63" t="s">
        <v>28</v>
      </c>
      <c r="H91" s="63" t="s">
        <v>28</v>
      </c>
      <c r="I91" s="63" t="s">
        <v>812</v>
      </c>
    </row>
    <row r="92" ht="11.25" customHeight="1">
      <c r="A92" s="63" t="s">
        <v>2253</v>
      </c>
      <c r="B92" s="63" t="s">
        <v>16</v>
      </c>
      <c r="C92" s="63" t="s">
        <v>2583</v>
      </c>
      <c r="D92" s="63" t="s">
        <v>2584</v>
      </c>
      <c r="E92" s="63" t="s">
        <v>2585</v>
      </c>
      <c r="F92" s="63" t="s">
        <v>2478</v>
      </c>
      <c r="G92" s="63" t="s">
        <v>2586</v>
      </c>
      <c r="H92" s="63" t="s">
        <v>28</v>
      </c>
      <c r="I92" s="63" t="s">
        <v>812</v>
      </c>
    </row>
    <row r="93" ht="11.25" customHeight="1">
      <c r="A93" s="63" t="s">
        <v>2253</v>
      </c>
      <c r="B93" s="63" t="s">
        <v>16</v>
      </c>
      <c r="C93" s="63" t="s">
        <v>2587</v>
      </c>
      <c r="D93" s="63" t="s">
        <v>2588</v>
      </c>
      <c r="E93" s="63" t="s">
        <v>2589</v>
      </c>
      <c r="F93" s="63" t="s">
        <v>2326</v>
      </c>
      <c r="G93" s="63" t="s">
        <v>28</v>
      </c>
      <c r="H93" s="63" t="s">
        <v>28</v>
      </c>
      <c r="I93" s="63" t="s">
        <v>812</v>
      </c>
    </row>
    <row r="94" ht="11.25" customHeight="1">
      <c r="A94" s="63" t="s">
        <v>2253</v>
      </c>
      <c r="B94" s="63" t="s">
        <v>16</v>
      </c>
      <c r="C94" s="63" t="s">
        <v>2590</v>
      </c>
      <c r="D94" s="63" t="s">
        <v>2591</v>
      </c>
      <c r="E94" s="63" t="s">
        <v>2592</v>
      </c>
      <c r="F94" s="63" t="s">
        <v>2305</v>
      </c>
      <c r="G94" s="63" t="s">
        <v>28</v>
      </c>
      <c r="H94" s="63" t="s">
        <v>28</v>
      </c>
      <c r="I94" s="63" t="s">
        <v>812</v>
      </c>
    </row>
    <row r="95" ht="11.25" customHeight="1">
      <c r="A95" s="63" t="s">
        <v>2253</v>
      </c>
      <c r="B95" s="63" t="s">
        <v>16</v>
      </c>
      <c r="C95" s="63" t="s">
        <v>2593</v>
      </c>
      <c r="D95" s="63" t="s">
        <v>2594</v>
      </c>
      <c r="E95" s="63" t="s">
        <v>2595</v>
      </c>
      <c r="F95" s="63" t="s">
        <v>2387</v>
      </c>
      <c r="G95" s="63" t="s">
        <v>28</v>
      </c>
      <c r="H95" s="63" t="s">
        <v>28</v>
      </c>
      <c r="I95" s="63" t="s">
        <v>812</v>
      </c>
    </row>
    <row r="96" ht="11.25" customHeight="1">
      <c r="A96" s="63" t="s">
        <v>2253</v>
      </c>
      <c r="B96" s="63" t="s">
        <v>16</v>
      </c>
      <c r="C96" s="63" t="s">
        <v>2596</v>
      </c>
      <c r="D96" s="63" t="s">
        <v>2597</v>
      </c>
      <c r="E96" s="63" t="s">
        <v>2598</v>
      </c>
      <c r="F96" s="63" t="s">
        <v>2260</v>
      </c>
      <c r="G96" s="63" t="s">
        <v>28</v>
      </c>
      <c r="H96" s="63" t="s">
        <v>2599</v>
      </c>
      <c r="I96" s="63" t="s">
        <v>812</v>
      </c>
    </row>
    <row r="97" ht="11.25" customHeight="1">
      <c r="A97" s="63" t="s">
        <v>2253</v>
      </c>
      <c r="B97" s="63" t="s">
        <v>16</v>
      </c>
      <c r="C97" s="63" t="s">
        <v>2600</v>
      </c>
      <c r="D97" s="63" t="s">
        <v>2601</v>
      </c>
      <c r="E97" s="63" t="s">
        <v>2602</v>
      </c>
      <c r="F97" s="63" t="s">
        <v>2260</v>
      </c>
      <c r="G97" s="63" t="s">
        <v>28</v>
      </c>
      <c r="H97" s="63" t="s">
        <v>28</v>
      </c>
      <c r="I97" s="63" t="s">
        <v>812</v>
      </c>
    </row>
    <row r="98" ht="11.25" customHeight="1">
      <c r="A98" s="63" t="s">
        <v>2253</v>
      </c>
      <c r="B98" s="63" t="s">
        <v>16</v>
      </c>
      <c r="C98" s="63" t="s">
        <v>2603</v>
      </c>
      <c r="D98" s="63" t="s">
        <v>2604</v>
      </c>
      <c r="E98" s="63" t="s">
        <v>2605</v>
      </c>
      <c r="F98" s="63" t="s">
        <v>2260</v>
      </c>
      <c r="G98" s="63" t="s">
        <v>28</v>
      </c>
      <c r="H98" s="63" t="s">
        <v>28</v>
      </c>
      <c r="I98" s="63" t="s">
        <v>812</v>
      </c>
    </row>
    <row r="99" ht="11.25" customHeight="1">
      <c r="A99" s="63" t="s">
        <v>2253</v>
      </c>
      <c r="B99" s="63" t="s">
        <v>16</v>
      </c>
      <c r="C99" s="63" t="s">
        <v>2606</v>
      </c>
      <c r="D99" s="63" t="s">
        <v>2607</v>
      </c>
      <c r="E99" s="63" t="s">
        <v>2608</v>
      </c>
      <c r="F99" s="63" t="s">
        <v>2387</v>
      </c>
      <c r="G99" s="63" t="s">
        <v>2327</v>
      </c>
      <c r="H99" s="63" t="s">
        <v>28</v>
      </c>
      <c r="I99" s="63" t="s">
        <v>812</v>
      </c>
    </row>
    <row r="100" ht="11.25" customHeight="1">
      <c r="A100" s="63" t="s">
        <v>2253</v>
      </c>
      <c r="B100" s="63" t="s">
        <v>16</v>
      </c>
      <c r="C100" s="63" t="s">
        <v>2609</v>
      </c>
      <c r="D100" s="63" t="s">
        <v>2610</v>
      </c>
      <c r="E100" s="63" t="s">
        <v>2611</v>
      </c>
      <c r="F100" s="63" t="s">
        <v>2268</v>
      </c>
      <c r="G100" s="63" t="s">
        <v>28</v>
      </c>
      <c r="H100" s="63" t="s">
        <v>28</v>
      </c>
      <c r="I100" s="63" t="s">
        <v>812</v>
      </c>
    </row>
    <row r="101" ht="11.25" customHeight="1">
      <c r="A101" s="63" t="s">
        <v>2253</v>
      </c>
      <c r="B101" s="63" t="s">
        <v>16</v>
      </c>
      <c r="C101" s="63" t="s">
        <v>2612</v>
      </c>
      <c r="D101" s="63" t="s">
        <v>2613</v>
      </c>
      <c r="E101" s="63" t="s">
        <v>2614</v>
      </c>
      <c r="F101" s="63" t="s">
        <v>2334</v>
      </c>
      <c r="G101" s="63" t="s">
        <v>28</v>
      </c>
      <c r="H101" s="63" t="s">
        <v>28</v>
      </c>
      <c r="I101" s="63" t="s">
        <v>812</v>
      </c>
    </row>
    <row r="102" ht="11.25" customHeight="1">
      <c r="A102" s="63" t="s">
        <v>2253</v>
      </c>
      <c r="B102" s="63" t="s">
        <v>16</v>
      </c>
      <c r="C102" s="63" t="s">
        <v>2615</v>
      </c>
      <c r="D102" s="63" t="s">
        <v>2616</v>
      </c>
      <c r="E102" s="63" t="s">
        <v>2617</v>
      </c>
      <c r="F102" s="63" t="s">
        <v>2618</v>
      </c>
      <c r="G102" s="63" t="s">
        <v>28</v>
      </c>
      <c r="H102" s="63" t="s">
        <v>2619</v>
      </c>
      <c r="I102" s="63" t="s">
        <v>812</v>
      </c>
    </row>
    <row r="103" ht="11.25" customHeight="1">
      <c r="A103" s="63" t="s">
        <v>2253</v>
      </c>
      <c r="B103" s="63" t="s">
        <v>16</v>
      </c>
      <c r="C103" s="63" t="s">
        <v>2620</v>
      </c>
      <c r="D103" s="63" t="s">
        <v>2621</v>
      </c>
      <c r="E103" s="63" t="s">
        <v>2622</v>
      </c>
      <c r="F103" s="63" t="s">
        <v>2317</v>
      </c>
      <c r="G103" s="63" t="s">
        <v>28</v>
      </c>
      <c r="H103" s="63" t="s">
        <v>28</v>
      </c>
      <c r="I103" s="63" t="s">
        <v>812</v>
      </c>
    </row>
    <row r="104" ht="11.25" customHeight="1">
      <c r="A104" s="63" t="s">
        <v>2253</v>
      </c>
      <c r="B104" s="63" t="s">
        <v>16</v>
      </c>
      <c r="C104" s="63" t="s">
        <v>2623</v>
      </c>
      <c r="D104" s="63" t="s">
        <v>2624</v>
      </c>
      <c r="E104" s="63" t="s">
        <v>2625</v>
      </c>
      <c r="F104" s="63" t="s">
        <v>2260</v>
      </c>
      <c r="G104" s="63" t="s">
        <v>28</v>
      </c>
      <c r="H104" s="63" t="s">
        <v>28</v>
      </c>
      <c r="I104" s="63" t="s">
        <v>812</v>
      </c>
    </row>
    <row r="105" ht="11.25" customHeight="1">
      <c r="A105" s="63" t="s">
        <v>2253</v>
      </c>
      <c r="B105" s="63" t="s">
        <v>16</v>
      </c>
      <c r="C105" s="63" t="s">
        <v>2626</v>
      </c>
      <c r="D105" s="63" t="s">
        <v>2627</v>
      </c>
      <c r="E105" s="63" t="s">
        <v>2628</v>
      </c>
      <c r="F105" s="63" t="s">
        <v>2437</v>
      </c>
      <c r="G105" s="63" t="s">
        <v>28</v>
      </c>
      <c r="H105" s="63" t="s">
        <v>2629</v>
      </c>
      <c r="I105" s="63" t="s">
        <v>812</v>
      </c>
    </row>
    <row r="106" ht="11.25" customHeight="1">
      <c r="A106" s="63" t="s">
        <v>2253</v>
      </c>
      <c r="B106" s="63" t="s">
        <v>16</v>
      </c>
      <c r="C106" s="63" t="s">
        <v>2630</v>
      </c>
      <c r="D106" s="63" t="s">
        <v>2631</v>
      </c>
      <c r="E106" s="63" t="s">
        <v>2632</v>
      </c>
      <c r="F106" s="63" t="s">
        <v>2317</v>
      </c>
      <c r="G106" s="63" t="s">
        <v>28</v>
      </c>
      <c r="H106" s="63" t="s">
        <v>2633</v>
      </c>
      <c r="I106" s="63" t="s">
        <v>812</v>
      </c>
    </row>
    <row r="107" ht="11.25" customHeight="1">
      <c r="A107" s="63" t="s">
        <v>2253</v>
      </c>
      <c r="B107" s="63" t="s">
        <v>16</v>
      </c>
      <c r="C107" s="63" t="s">
        <v>2634</v>
      </c>
      <c r="D107" s="63" t="s">
        <v>2635</v>
      </c>
      <c r="E107" s="63" t="s">
        <v>2636</v>
      </c>
      <c r="F107" s="63" t="s">
        <v>2334</v>
      </c>
      <c r="G107" s="63" t="s">
        <v>2637</v>
      </c>
      <c r="H107" s="63" t="s">
        <v>28</v>
      </c>
      <c r="I107" s="63" t="s">
        <v>812</v>
      </c>
    </row>
    <row r="108" ht="11.25" customHeight="1">
      <c r="A108" s="63" t="s">
        <v>2253</v>
      </c>
      <c r="B108" s="63" t="s">
        <v>16</v>
      </c>
      <c r="C108" s="63" t="s">
        <v>2638</v>
      </c>
      <c r="D108" s="63" t="s">
        <v>2639</v>
      </c>
      <c r="E108" s="63" t="s">
        <v>2640</v>
      </c>
      <c r="F108" s="63" t="s">
        <v>2641</v>
      </c>
      <c r="G108" s="63" t="s">
        <v>28</v>
      </c>
      <c r="H108" s="63" t="s">
        <v>28</v>
      </c>
      <c r="I108" s="63" t="s">
        <v>812</v>
      </c>
    </row>
    <row r="109" ht="11.25" customHeight="1">
      <c r="A109" s="63" t="s">
        <v>2253</v>
      </c>
      <c r="B109" s="63" t="s">
        <v>16</v>
      </c>
      <c r="C109" s="63" t="s">
        <v>2642</v>
      </c>
      <c r="D109" s="63" t="s">
        <v>2643</v>
      </c>
      <c r="E109" s="63" t="s">
        <v>2644</v>
      </c>
      <c r="F109" s="63" t="s">
        <v>2256</v>
      </c>
      <c r="G109" s="63" t="s">
        <v>28</v>
      </c>
      <c r="H109" s="63" t="s">
        <v>28</v>
      </c>
      <c r="I109" s="63" t="s">
        <v>812</v>
      </c>
    </row>
    <row r="110" ht="11.25" customHeight="1">
      <c r="A110" s="63" t="s">
        <v>2253</v>
      </c>
      <c r="B110" s="63" t="s">
        <v>16</v>
      </c>
      <c r="C110" s="63" t="s">
        <v>2645</v>
      </c>
      <c r="D110" s="63" t="s">
        <v>2646</v>
      </c>
      <c r="E110" s="63" t="s">
        <v>2647</v>
      </c>
      <c r="F110" s="63" t="s">
        <v>2278</v>
      </c>
      <c r="G110" s="63" t="s">
        <v>28</v>
      </c>
      <c r="H110" s="63" t="s">
        <v>28</v>
      </c>
      <c r="I110" s="63" t="s">
        <v>812</v>
      </c>
    </row>
    <row r="111" ht="11.25" customHeight="1">
      <c r="A111" s="63" t="s">
        <v>2253</v>
      </c>
      <c r="B111" s="63" t="s">
        <v>16</v>
      </c>
      <c r="C111" s="63" t="s">
        <v>2648</v>
      </c>
      <c r="D111" s="63" t="s">
        <v>2649</v>
      </c>
      <c r="E111" s="63" t="s">
        <v>2650</v>
      </c>
      <c r="F111" s="63" t="s">
        <v>2260</v>
      </c>
      <c r="G111" s="63" t="s">
        <v>28</v>
      </c>
      <c r="H111" s="63" t="s">
        <v>28</v>
      </c>
      <c r="I111" s="63" t="s">
        <v>812</v>
      </c>
    </row>
    <row r="112" ht="11.25" customHeight="1">
      <c r="A112" s="63" t="s">
        <v>2253</v>
      </c>
      <c r="B112" s="63" t="s">
        <v>16</v>
      </c>
      <c r="C112" s="63" t="s">
        <v>2651</v>
      </c>
      <c r="D112" s="63" t="s">
        <v>2652</v>
      </c>
      <c r="E112" s="63" t="s">
        <v>2653</v>
      </c>
      <c r="F112" s="63" t="s">
        <v>2654</v>
      </c>
      <c r="G112" s="63" t="s">
        <v>2655</v>
      </c>
      <c r="H112" s="63" t="s">
        <v>28</v>
      </c>
      <c r="I112" s="63" t="s">
        <v>812</v>
      </c>
    </row>
    <row r="113" ht="11.25" customHeight="1">
      <c r="A113" s="63" t="s">
        <v>2253</v>
      </c>
      <c r="B113" s="63" t="s">
        <v>16</v>
      </c>
      <c r="C113" s="63" t="s">
        <v>2656</v>
      </c>
      <c r="D113" s="63" t="s">
        <v>2657</v>
      </c>
      <c r="E113" s="63" t="s">
        <v>2658</v>
      </c>
      <c r="F113" s="63" t="s">
        <v>2618</v>
      </c>
      <c r="G113" s="63" t="s">
        <v>2659</v>
      </c>
      <c r="H113" s="63" t="s">
        <v>28</v>
      </c>
      <c r="I113" s="63" t="s">
        <v>812</v>
      </c>
    </row>
    <row r="114" ht="11.25" customHeight="1">
      <c r="A114" s="63" t="s">
        <v>2253</v>
      </c>
      <c r="B114" s="63" t="s">
        <v>16</v>
      </c>
      <c r="C114" s="63" t="s">
        <v>2660</v>
      </c>
      <c r="D114" s="63" t="s">
        <v>2661</v>
      </c>
      <c r="E114" s="63" t="s">
        <v>2662</v>
      </c>
      <c r="F114" s="63" t="s">
        <v>2317</v>
      </c>
      <c r="G114" s="63" t="s">
        <v>2663</v>
      </c>
      <c r="H114" s="63" t="s">
        <v>28</v>
      </c>
      <c r="I114" s="63" t="s">
        <v>812</v>
      </c>
    </row>
    <row r="115" ht="11.25" customHeight="1">
      <c r="A115" s="63" t="s">
        <v>2253</v>
      </c>
      <c r="B115" s="63" t="s">
        <v>16</v>
      </c>
      <c r="C115" s="63" t="s">
        <v>2664</v>
      </c>
      <c r="D115" s="63" t="s">
        <v>2665</v>
      </c>
      <c r="E115" s="63" t="s">
        <v>2666</v>
      </c>
      <c r="F115" s="63" t="s">
        <v>2667</v>
      </c>
      <c r="G115" s="63" t="s">
        <v>28</v>
      </c>
      <c r="H115" s="63" t="s">
        <v>28</v>
      </c>
      <c r="I115" s="63" t="s">
        <v>812</v>
      </c>
    </row>
    <row r="116" ht="11.25" customHeight="1">
      <c r="A116" s="63" t="s">
        <v>2253</v>
      </c>
      <c r="B116" s="63" t="s">
        <v>16</v>
      </c>
      <c r="C116" s="63" t="s">
        <v>2668</v>
      </c>
      <c r="D116" s="63" t="s">
        <v>2669</v>
      </c>
      <c r="E116" s="63" t="s">
        <v>2670</v>
      </c>
      <c r="F116" s="63" t="s">
        <v>2256</v>
      </c>
      <c r="G116" s="63" t="s">
        <v>28</v>
      </c>
      <c r="H116" s="63" t="s">
        <v>28</v>
      </c>
      <c r="I116" s="63" t="s">
        <v>812</v>
      </c>
    </row>
    <row r="117" ht="11.25" customHeight="1">
      <c r="A117" s="63" t="s">
        <v>2253</v>
      </c>
      <c r="B117" s="63" t="s">
        <v>16</v>
      </c>
      <c r="C117" s="63" t="s">
        <v>2671</v>
      </c>
      <c r="D117" s="63" t="s">
        <v>2672</v>
      </c>
      <c r="E117" s="63" t="s">
        <v>2363</v>
      </c>
      <c r="F117" s="63" t="s">
        <v>2673</v>
      </c>
      <c r="G117" s="63" t="s">
        <v>28</v>
      </c>
      <c r="H117" s="63" t="s">
        <v>28</v>
      </c>
      <c r="I117" s="63" t="s">
        <v>812</v>
      </c>
    </row>
    <row r="118" ht="11.25" customHeight="1">
      <c r="A118" s="63" t="s">
        <v>2253</v>
      </c>
      <c r="B118" s="63" t="s">
        <v>16</v>
      </c>
      <c r="C118" s="63" t="s">
        <v>2674</v>
      </c>
      <c r="D118" s="63" t="s">
        <v>2675</v>
      </c>
      <c r="E118" s="63" t="s">
        <v>2676</v>
      </c>
      <c r="F118" s="63" t="s">
        <v>2478</v>
      </c>
      <c r="G118" s="63" t="s">
        <v>28</v>
      </c>
      <c r="H118" s="63" t="s">
        <v>28</v>
      </c>
      <c r="I118" s="63" t="s">
        <v>812</v>
      </c>
    </row>
    <row r="119" ht="11.25" customHeight="1">
      <c r="A119" s="63" t="s">
        <v>2253</v>
      </c>
      <c r="B119" s="63" t="s">
        <v>16</v>
      </c>
      <c r="C119" s="63" t="s">
        <v>2677</v>
      </c>
      <c r="D119" s="63" t="s">
        <v>2678</v>
      </c>
      <c r="E119" s="63" t="s">
        <v>2679</v>
      </c>
      <c r="F119" s="63" t="s">
        <v>2387</v>
      </c>
      <c r="G119" s="63" t="s">
        <v>28</v>
      </c>
      <c r="H119" s="63" t="s">
        <v>28</v>
      </c>
      <c r="I119" s="63" t="s">
        <v>812</v>
      </c>
    </row>
    <row r="120" ht="11.25" customHeight="1">
      <c r="A120" s="63" t="s">
        <v>2253</v>
      </c>
      <c r="B120" s="63" t="s">
        <v>16</v>
      </c>
      <c r="C120" s="63" t="s">
        <v>2680</v>
      </c>
      <c r="D120" s="63" t="s">
        <v>2681</v>
      </c>
      <c r="E120" s="63" t="s">
        <v>2682</v>
      </c>
      <c r="F120" s="63" t="s">
        <v>2683</v>
      </c>
      <c r="G120" s="63" t="s">
        <v>2684</v>
      </c>
      <c r="H120" s="63" t="s">
        <v>28</v>
      </c>
      <c r="I120" s="63" t="s">
        <v>812</v>
      </c>
    </row>
    <row r="121" ht="11.25" customHeight="1">
      <c r="A121" s="63" t="s">
        <v>2253</v>
      </c>
      <c r="B121" s="63" t="s">
        <v>16</v>
      </c>
      <c r="C121" s="63" t="s">
        <v>2685</v>
      </c>
      <c r="D121" s="63" t="s">
        <v>2686</v>
      </c>
      <c r="E121" s="63" t="s">
        <v>2687</v>
      </c>
      <c r="F121" s="63" t="s">
        <v>2478</v>
      </c>
      <c r="G121" s="63" t="s">
        <v>28</v>
      </c>
      <c r="H121" s="63" t="s">
        <v>28</v>
      </c>
      <c r="I121" s="63" t="s">
        <v>812</v>
      </c>
    </row>
    <row r="122" ht="11.25" customHeight="1">
      <c r="A122" s="63" t="s">
        <v>2253</v>
      </c>
      <c r="B122" s="63" t="s">
        <v>16</v>
      </c>
      <c r="C122" s="63" t="s">
        <v>2688</v>
      </c>
      <c r="D122" s="63" t="s">
        <v>2689</v>
      </c>
      <c r="E122" s="63" t="s">
        <v>2690</v>
      </c>
      <c r="F122" s="63" t="s">
        <v>2417</v>
      </c>
      <c r="G122" s="63" t="s">
        <v>28</v>
      </c>
      <c r="H122" s="63" t="s">
        <v>28</v>
      </c>
      <c r="I122" s="63" t="s">
        <v>812</v>
      </c>
    </row>
    <row r="123" ht="11.25" customHeight="1">
      <c r="A123" s="63" t="s">
        <v>2253</v>
      </c>
      <c r="B123" s="63" t="s">
        <v>16</v>
      </c>
      <c r="C123" s="63" t="s">
        <v>2691</v>
      </c>
      <c r="D123" s="63" t="s">
        <v>2692</v>
      </c>
      <c r="E123" s="63" t="s">
        <v>2693</v>
      </c>
      <c r="F123" s="63" t="s">
        <v>2293</v>
      </c>
      <c r="G123" s="63" t="s">
        <v>28</v>
      </c>
      <c r="H123" s="63" t="s">
        <v>28</v>
      </c>
      <c r="I123" s="63" t="s">
        <v>812</v>
      </c>
    </row>
    <row r="124" ht="11.25" customHeight="1">
      <c r="A124" s="63" t="s">
        <v>2253</v>
      </c>
      <c r="B124" s="63" t="s">
        <v>16</v>
      </c>
      <c r="C124" s="63" t="s">
        <v>2694</v>
      </c>
      <c r="D124" s="63" t="s">
        <v>2695</v>
      </c>
      <c r="E124" s="63" t="s">
        <v>2696</v>
      </c>
      <c r="F124" s="63" t="s">
        <v>2407</v>
      </c>
      <c r="G124" s="63" t="s">
        <v>28</v>
      </c>
      <c r="H124" s="63" t="s">
        <v>28</v>
      </c>
      <c r="I124" s="63" t="s">
        <v>812</v>
      </c>
    </row>
    <row r="125" ht="11.25" customHeight="1">
      <c r="A125" s="63" t="s">
        <v>2253</v>
      </c>
      <c r="B125" s="63" t="s">
        <v>16</v>
      </c>
      <c r="C125" s="63" t="s">
        <v>2697</v>
      </c>
      <c r="D125" s="63" t="s">
        <v>2698</v>
      </c>
      <c r="E125" s="63" t="s">
        <v>2699</v>
      </c>
      <c r="F125" s="63" t="s">
        <v>2264</v>
      </c>
      <c r="G125" s="63" t="s">
        <v>28</v>
      </c>
      <c r="H125" s="63" t="s">
        <v>28</v>
      </c>
      <c r="I125" s="63" t="s">
        <v>812</v>
      </c>
    </row>
    <row r="126" ht="11.25" customHeight="1">
      <c r="A126" s="63" t="s">
        <v>2253</v>
      </c>
      <c r="B126" s="63" t="s">
        <v>16</v>
      </c>
      <c r="C126" s="63" t="s">
        <v>2700</v>
      </c>
      <c r="D126" s="63" t="s">
        <v>2701</v>
      </c>
      <c r="E126" s="63" t="s">
        <v>2702</v>
      </c>
      <c r="F126" s="63" t="s">
        <v>2703</v>
      </c>
      <c r="G126" s="63" t="s">
        <v>28</v>
      </c>
      <c r="H126" s="63" t="s">
        <v>28</v>
      </c>
      <c r="I126" s="63" t="s">
        <v>812</v>
      </c>
    </row>
    <row r="127" ht="11.25" customHeight="1">
      <c r="A127" s="63" t="s">
        <v>2253</v>
      </c>
      <c r="B127" s="63" t="s">
        <v>16</v>
      </c>
      <c r="C127" s="63" t="s">
        <v>2704</v>
      </c>
      <c r="D127" s="63" t="s">
        <v>2705</v>
      </c>
      <c r="E127" s="63" t="s">
        <v>2706</v>
      </c>
      <c r="F127" s="63" t="s">
        <v>2326</v>
      </c>
      <c r="G127" s="63" t="s">
        <v>28</v>
      </c>
      <c r="H127" s="63" t="s">
        <v>28</v>
      </c>
      <c r="I127" s="63" t="s">
        <v>812</v>
      </c>
    </row>
    <row r="128" ht="11.25" customHeight="1">
      <c r="A128" s="63" t="s">
        <v>2253</v>
      </c>
      <c r="B128" s="63" t="s">
        <v>16</v>
      </c>
      <c r="C128" s="63" t="s">
        <v>2707</v>
      </c>
      <c r="D128" s="63" t="s">
        <v>2708</v>
      </c>
      <c r="E128" s="63" t="s">
        <v>2709</v>
      </c>
      <c r="F128" s="63" t="s">
        <v>2305</v>
      </c>
      <c r="G128" s="63" t="s">
        <v>28</v>
      </c>
      <c r="H128" s="63" t="s">
        <v>28</v>
      </c>
      <c r="I128" s="63" t="s">
        <v>812</v>
      </c>
    </row>
    <row r="129" ht="11.25" customHeight="1">
      <c r="A129" s="63" t="s">
        <v>2253</v>
      </c>
      <c r="B129" s="63" t="s">
        <v>16</v>
      </c>
      <c r="C129" s="63" t="s">
        <v>2710</v>
      </c>
      <c r="D129" s="63" t="s">
        <v>2711</v>
      </c>
      <c r="E129" s="63" t="s">
        <v>2712</v>
      </c>
      <c r="F129" s="63" t="s">
        <v>2417</v>
      </c>
      <c r="G129" s="63" t="s">
        <v>28</v>
      </c>
      <c r="H129" s="63" t="s">
        <v>28</v>
      </c>
      <c r="I129" s="63" t="s">
        <v>812</v>
      </c>
    </row>
    <row r="130" ht="11.25" customHeight="1">
      <c r="A130" s="63" t="s">
        <v>2253</v>
      </c>
      <c r="B130" s="63" t="s">
        <v>16</v>
      </c>
      <c r="C130" s="63" t="s">
        <v>2713</v>
      </c>
      <c r="D130" s="63" t="s">
        <v>2714</v>
      </c>
      <c r="E130" s="63" t="s">
        <v>2715</v>
      </c>
      <c r="F130" s="63" t="s">
        <v>2305</v>
      </c>
      <c r="G130" s="63" t="s">
        <v>28</v>
      </c>
      <c r="H130" s="63" t="s">
        <v>28</v>
      </c>
      <c r="I130" s="63" t="s">
        <v>812</v>
      </c>
    </row>
    <row r="131" ht="11.25" customHeight="1">
      <c r="A131" s="63" t="s">
        <v>2253</v>
      </c>
      <c r="B131" s="63" t="s">
        <v>16</v>
      </c>
      <c r="C131" s="63" t="s">
        <v>2716</v>
      </c>
      <c r="D131" s="63" t="s">
        <v>2717</v>
      </c>
      <c r="E131" s="63" t="s">
        <v>2718</v>
      </c>
      <c r="F131" s="63" t="s">
        <v>2305</v>
      </c>
      <c r="G131" s="63" t="s">
        <v>28</v>
      </c>
      <c r="H131" s="63" t="s">
        <v>28</v>
      </c>
      <c r="I131" s="63" t="s">
        <v>812</v>
      </c>
    </row>
    <row r="132" ht="11.25" customHeight="1">
      <c r="A132" s="63" t="s">
        <v>2253</v>
      </c>
      <c r="B132" s="63" t="s">
        <v>16</v>
      </c>
      <c r="C132" s="63" t="s">
        <v>2719</v>
      </c>
      <c r="D132" s="63" t="s">
        <v>2720</v>
      </c>
      <c r="E132" s="63" t="s">
        <v>2721</v>
      </c>
      <c r="F132" s="63" t="s">
        <v>2478</v>
      </c>
      <c r="G132" s="63" t="s">
        <v>28</v>
      </c>
      <c r="H132" s="63" t="s">
        <v>28</v>
      </c>
      <c r="I132" s="63" t="s">
        <v>812</v>
      </c>
    </row>
    <row r="133" ht="11.25" customHeight="1">
      <c r="A133" s="63" t="s">
        <v>2253</v>
      </c>
      <c r="B133" s="63" t="s">
        <v>16</v>
      </c>
      <c r="C133" s="63" t="s">
        <v>2722</v>
      </c>
      <c r="D133" s="63" t="s">
        <v>2723</v>
      </c>
      <c r="E133" s="63" t="s">
        <v>2724</v>
      </c>
      <c r="F133" s="63" t="s">
        <v>2725</v>
      </c>
      <c r="G133" s="63" t="s">
        <v>2726</v>
      </c>
      <c r="H133" s="63" t="s">
        <v>28</v>
      </c>
      <c r="I133" s="63" t="s">
        <v>812</v>
      </c>
    </row>
    <row r="134" ht="11.25" customHeight="1">
      <c r="A134" s="63" t="s">
        <v>2253</v>
      </c>
      <c r="B134" s="63" t="s">
        <v>16</v>
      </c>
      <c r="C134" s="63" t="s">
        <v>2727</v>
      </c>
      <c r="D134" s="63" t="s">
        <v>2728</v>
      </c>
      <c r="E134" s="63" t="s">
        <v>2729</v>
      </c>
      <c r="F134" s="63" t="s">
        <v>2730</v>
      </c>
      <c r="G134" s="63" t="s">
        <v>28</v>
      </c>
      <c r="H134" s="63" t="s">
        <v>28</v>
      </c>
      <c r="I134" s="63" t="s">
        <v>812</v>
      </c>
    </row>
    <row r="135" ht="11.25" customHeight="1">
      <c r="A135" s="63" t="s">
        <v>2253</v>
      </c>
      <c r="B135" s="63" t="s">
        <v>16</v>
      </c>
      <c r="C135" s="63" t="s">
        <v>2731</v>
      </c>
      <c r="D135" s="63" t="s">
        <v>2732</v>
      </c>
      <c r="E135" s="63" t="s">
        <v>2733</v>
      </c>
      <c r="F135" s="63" t="s">
        <v>2297</v>
      </c>
      <c r="G135" s="63" t="s">
        <v>28</v>
      </c>
      <c r="H135" s="63" t="s">
        <v>28</v>
      </c>
      <c r="I135" s="63" t="s">
        <v>812</v>
      </c>
    </row>
    <row r="136" ht="11.25" customHeight="1">
      <c r="A136" s="63" t="s">
        <v>2253</v>
      </c>
      <c r="B136" s="63" t="s">
        <v>16</v>
      </c>
      <c r="C136" s="63" t="s">
        <v>28</v>
      </c>
      <c r="D136" s="63" t="s">
        <v>2254</v>
      </c>
      <c r="E136" s="63" t="s">
        <v>2255</v>
      </c>
      <c r="F136" s="63" t="s">
        <v>2256</v>
      </c>
      <c r="G136" s="63" t="s">
        <v>28</v>
      </c>
      <c r="H136" s="63" t="s">
        <v>28</v>
      </c>
      <c r="I136" s="63" t="s">
        <v>898</v>
      </c>
    </row>
    <row r="137" ht="11.25" customHeight="1">
      <c r="A137" s="63" t="s">
        <v>2253</v>
      </c>
      <c r="B137" s="63" t="s">
        <v>16</v>
      </c>
      <c r="C137" s="63" t="s">
        <v>2275</v>
      </c>
      <c r="D137" s="63" t="s">
        <v>2276</v>
      </c>
      <c r="E137" s="63" t="s">
        <v>2277</v>
      </c>
      <c r="F137" s="63" t="s">
        <v>2278</v>
      </c>
      <c r="G137" s="63" t="s">
        <v>28</v>
      </c>
      <c r="H137" s="63" t="s">
        <v>28</v>
      </c>
      <c r="I137" s="63" t="s">
        <v>898</v>
      </c>
    </row>
    <row r="138" ht="11.25" customHeight="1">
      <c r="A138" s="63" t="s">
        <v>2253</v>
      </c>
      <c r="B138" s="63" t="s">
        <v>16</v>
      </c>
      <c r="C138" s="63" t="s">
        <v>13</v>
      </c>
      <c r="D138" s="63" t="s">
        <v>47</v>
      </c>
      <c r="E138" s="63" t="s">
        <v>50</v>
      </c>
      <c r="F138" s="63" t="s">
        <v>52</v>
      </c>
      <c r="G138" s="63" t="s">
        <v>28</v>
      </c>
      <c r="H138" s="63" t="s">
        <v>28</v>
      </c>
      <c r="I138" s="63" t="s">
        <v>898</v>
      </c>
    </row>
    <row r="139" ht="11.25" customHeight="1">
      <c r="A139" s="63" t="s">
        <v>2253</v>
      </c>
      <c r="B139" s="63" t="s">
        <v>16</v>
      </c>
      <c r="C139" s="63" t="s">
        <v>2284</v>
      </c>
      <c r="D139" s="63" t="s">
        <v>2285</v>
      </c>
      <c r="E139" s="63" t="s">
        <v>50</v>
      </c>
      <c r="F139" s="63" t="s">
        <v>2286</v>
      </c>
      <c r="G139" s="63" t="s">
        <v>28</v>
      </c>
      <c r="H139" s="63" t="s">
        <v>28</v>
      </c>
      <c r="I139" s="63" t="s">
        <v>898</v>
      </c>
    </row>
    <row r="140" ht="11.25" customHeight="1">
      <c r="A140" s="63" t="s">
        <v>2253</v>
      </c>
      <c r="B140" s="63" t="s">
        <v>16</v>
      </c>
      <c r="C140" s="63" t="s">
        <v>2287</v>
      </c>
      <c r="D140" s="63" t="s">
        <v>2288</v>
      </c>
      <c r="E140" s="63" t="s">
        <v>50</v>
      </c>
      <c r="F140" s="63" t="s">
        <v>2289</v>
      </c>
      <c r="G140" s="63" t="s">
        <v>28</v>
      </c>
      <c r="H140" s="63" t="s">
        <v>28</v>
      </c>
      <c r="I140" s="63" t="s">
        <v>898</v>
      </c>
    </row>
    <row r="141" ht="11.25" customHeight="1">
      <c r="A141" s="63" t="s">
        <v>2253</v>
      </c>
      <c r="B141" s="63" t="s">
        <v>16</v>
      </c>
      <c r="C141" s="63" t="s">
        <v>2294</v>
      </c>
      <c r="D141" s="63" t="s">
        <v>2295</v>
      </c>
      <c r="E141" s="63" t="s">
        <v>2296</v>
      </c>
      <c r="F141" s="63" t="s">
        <v>2297</v>
      </c>
      <c r="G141" s="63" t="s">
        <v>28</v>
      </c>
      <c r="H141" s="63" t="s">
        <v>28</v>
      </c>
      <c r="I141" s="63" t="s">
        <v>898</v>
      </c>
    </row>
    <row r="142" ht="11.25" customHeight="1">
      <c r="A142" s="63" t="s">
        <v>2253</v>
      </c>
      <c r="B142" s="63" t="s">
        <v>16</v>
      </c>
      <c r="C142" s="63" t="s">
        <v>2306</v>
      </c>
      <c r="D142" s="63" t="s">
        <v>2307</v>
      </c>
      <c r="E142" s="63" t="s">
        <v>2308</v>
      </c>
      <c r="F142" s="63" t="s">
        <v>2309</v>
      </c>
      <c r="G142" s="63" t="s">
        <v>2310</v>
      </c>
      <c r="H142" s="63" t="s">
        <v>28</v>
      </c>
      <c r="I142" s="63" t="s">
        <v>898</v>
      </c>
    </row>
    <row r="143" ht="11.25" customHeight="1">
      <c r="A143" s="63" t="s">
        <v>2253</v>
      </c>
      <c r="B143" s="63" t="s">
        <v>16</v>
      </c>
      <c r="C143" s="63" t="s">
        <v>2323</v>
      </c>
      <c r="D143" s="63" t="s">
        <v>2324</v>
      </c>
      <c r="E143" s="63" t="s">
        <v>2325</v>
      </c>
      <c r="F143" s="63" t="s">
        <v>2326</v>
      </c>
      <c r="G143" s="63" t="s">
        <v>2327</v>
      </c>
      <c r="H143" s="63" t="s">
        <v>28</v>
      </c>
      <c r="I143" s="63" t="s">
        <v>898</v>
      </c>
    </row>
    <row r="144" ht="11.25" customHeight="1">
      <c r="A144" s="63" t="s">
        <v>2253</v>
      </c>
      <c r="B144" s="63" t="s">
        <v>16</v>
      </c>
      <c r="C144" s="63" t="s">
        <v>2328</v>
      </c>
      <c r="D144" s="63" t="s">
        <v>2329</v>
      </c>
      <c r="E144" s="63" t="s">
        <v>2330</v>
      </c>
      <c r="F144" s="63" t="s">
        <v>2293</v>
      </c>
      <c r="G144" s="63" t="s">
        <v>28</v>
      </c>
      <c r="H144" s="63" t="s">
        <v>28</v>
      </c>
      <c r="I144" s="63" t="s">
        <v>898</v>
      </c>
    </row>
    <row r="145" ht="11.25" customHeight="1">
      <c r="A145" s="63" t="s">
        <v>2253</v>
      </c>
      <c r="B145" s="63" t="s">
        <v>16</v>
      </c>
      <c r="C145" s="63" t="s">
        <v>2335</v>
      </c>
      <c r="D145" s="63" t="s">
        <v>2336</v>
      </c>
      <c r="E145" s="63" t="s">
        <v>2337</v>
      </c>
      <c r="F145" s="63" t="s">
        <v>2305</v>
      </c>
      <c r="G145" s="63" t="s">
        <v>2338</v>
      </c>
      <c r="H145" s="63" t="s">
        <v>28</v>
      </c>
      <c r="I145" s="63" t="s">
        <v>898</v>
      </c>
    </row>
    <row r="146" ht="11.25" customHeight="1">
      <c r="A146" s="63" t="s">
        <v>2253</v>
      </c>
      <c r="B146" s="63" t="s">
        <v>16</v>
      </c>
      <c r="C146" s="63" t="s">
        <v>2347</v>
      </c>
      <c r="D146" s="63" t="s">
        <v>2348</v>
      </c>
      <c r="E146" s="63" t="s">
        <v>2349</v>
      </c>
      <c r="F146" s="63" t="s">
        <v>2350</v>
      </c>
      <c r="G146" s="63" t="s">
        <v>28</v>
      </c>
      <c r="H146" s="63" t="s">
        <v>28</v>
      </c>
      <c r="I146" s="63" t="s">
        <v>898</v>
      </c>
    </row>
    <row r="147" ht="11.25" customHeight="1">
      <c r="A147" s="63" t="s">
        <v>2253</v>
      </c>
      <c r="B147" s="63" t="s">
        <v>16</v>
      </c>
      <c r="C147" s="63" t="s">
        <v>2365</v>
      </c>
      <c r="D147" s="63" t="s">
        <v>2366</v>
      </c>
      <c r="E147" s="63" t="s">
        <v>2363</v>
      </c>
      <c r="F147" s="63" t="s">
        <v>2367</v>
      </c>
      <c r="G147" s="63" t="s">
        <v>28</v>
      </c>
      <c r="H147" s="63" t="s">
        <v>28</v>
      </c>
      <c r="I147" s="63" t="s">
        <v>898</v>
      </c>
    </row>
    <row r="148" ht="11.25" customHeight="1">
      <c r="A148" s="63" t="s">
        <v>2253</v>
      </c>
      <c r="B148" s="63" t="s">
        <v>16</v>
      </c>
      <c r="C148" s="63" t="s">
        <v>2734</v>
      </c>
      <c r="D148" s="63" t="s">
        <v>2420</v>
      </c>
      <c r="E148" s="63" t="s">
        <v>2421</v>
      </c>
      <c r="F148" s="63" t="s">
        <v>2735</v>
      </c>
      <c r="G148" s="63" t="s">
        <v>28</v>
      </c>
      <c r="H148" s="63" t="s">
        <v>28</v>
      </c>
      <c r="I148" s="63" t="s">
        <v>898</v>
      </c>
    </row>
    <row r="149" ht="11.25" customHeight="1">
      <c r="A149" s="63" t="s">
        <v>2253</v>
      </c>
      <c r="B149" s="63" t="s">
        <v>16</v>
      </c>
      <c r="C149" s="63" t="s">
        <v>2736</v>
      </c>
      <c r="D149" s="63" t="s">
        <v>2420</v>
      </c>
      <c r="E149" s="63" t="s">
        <v>2421</v>
      </c>
      <c r="F149" s="63" t="s">
        <v>2737</v>
      </c>
      <c r="G149" s="63" t="s">
        <v>28</v>
      </c>
      <c r="H149" s="63" t="s">
        <v>28</v>
      </c>
      <c r="I149" s="63" t="s">
        <v>898</v>
      </c>
    </row>
    <row r="150" ht="11.25" customHeight="1">
      <c r="A150" s="63" t="s">
        <v>2253</v>
      </c>
      <c r="B150" s="63" t="s">
        <v>16</v>
      </c>
      <c r="C150" s="63" t="s">
        <v>2738</v>
      </c>
      <c r="D150" s="63" t="s">
        <v>2420</v>
      </c>
      <c r="E150" s="63" t="s">
        <v>2421</v>
      </c>
      <c r="F150" s="63" t="s">
        <v>2739</v>
      </c>
      <c r="G150" s="63" t="s">
        <v>28</v>
      </c>
      <c r="H150" s="63" t="s">
        <v>28</v>
      </c>
      <c r="I150" s="63" t="s">
        <v>898</v>
      </c>
    </row>
    <row r="151" ht="11.25" customHeight="1">
      <c r="A151" s="63" t="s">
        <v>2253</v>
      </c>
      <c r="B151" s="63" t="s">
        <v>16</v>
      </c>
      <c r="C151" s="63" t="s">
        <v>2740</v>
      </c>
      <c r="D151" s="63" t="s">
        <v>2420</v>
      </c>
      <c r="E151" s="63" t="s">
        <v>2421</v>
      </c>
      <c r="F151" s="63" t="s">
        <v>2741</v>
      </c>
      <c r="G151" s="63" t="s">
        <v>28</v>
      </c>
      <c r="H151" s="63" t="s">
        <v>28</v>
      </c>
      <c r="I151" s="63" t="s">
        <v>898</v>
      </c>
    </row>
    <row r="152" ht="11.25" customHeight="1">
      <c r="A152" s="63" t="s">
        <v>2253</v>
      </c>
      <c r="B152" s="63" t="s">
        <v>16</v>
      </c>
      <c r="C152" s="63" t="s">
        <v>2742</v>
      </c>
      <c r="D152" s="63" t="s">
        <v>2420</v>
      </c>
      <c r="E152" s="63" t="s">
        <v>2421</v>
      </c>
      <c r="F152" s="63" t="s">
        <v>2743</v>
      </c>
      <c r="G152" s="63" t="s">
        <v>28</v>
      </c>
      <c r="H152" s="63" t="s">
        <v>28</v>
      </c>
      <c r="I152" s="63" t="s">
        <v>898</v>
      </c>
    </row>
    <row r="153" ht="11.25" customHeight="1">
      <c r="A153" s="63" t="s">
        <v>2253</v>
      </c>
      <c r="B153" s="63" t="s">
        <v>16</v>
      </c>
      <c r="C153" s="63" t="s">
        <v>2744</v>
      </c>
      <c r="D153" s="63" t="s">
        <v>2420</v>
      </c>
      <c r="E153" s="63" t="s">
        <v>2421</v>
      </c>
      <c r="F153" s="63" t="s">
        <v>2745</v>
      </c>
      <c r="G153" s="63" t="s">
        <v>28</v>
      </c>
      <c r="H153" s="63" t="s">
        <v>28</v>
      </c>
      <c r="I153" s="63" t="s">
        <v>898</v>
      </c>
    </row>
    <row r="154" ht="11.25" customHeight="1">
      <c r="A154" s="63" t="s">
        <v>2253</v>
      </c>
      <c r="B154" s="63" t="s">
        <v>16</v>
      </c>
      <c r="C154" s="63" t="s">
        <v>2746</v>
      </c>
      <c r="D154" s="63" t="s">
        <v>2420</v>
      </c>
      <c r="E154" s="63" t="s">
        <v>2421</v>
      </c>
      <c r="F154" s="63" t="s">
        <v>2747</v>
      </c>
      <c r="G154" s="63" t="s">
        <v>28</v>
      </c>
      <c r="H154" s="63" t="s">
        <v>28</v>
      </c>
      <c r="I154" s="63" t="s">
        <v>898</v>
      </c>
    </row>
    <row r="155" ht="11.25" customHeight="1">
      <c r="A155" s="63" t="s">
        <v>2253</v>
      </c>
      <c r="B155" s="63" t="s">
        <v>16</v>
      </c>
      <c r="C155" s="63" t="s">
        <v>2748</v>
      </c>
      <c r="D155" s="63" t="s">
        <v>2420</v>
      </c>
      <c r="E155" s="63" t="s">
        <v>2421</v>
      </c>
      <c r="F155" s="63" t="s">
        <v>2749</v>
      </c>
      <c r="G155" s="63" t="s">
        <v>28</v>
      </c>
      <c r="H155" s="63" t="s">
        <v>28</v>
      </c>
      <c r="I155" s="63" t="s">
        <v>898</v>
      </c>
    </row>
    <row r="156" ht="11.25" customHeight="1">
      <c r="A156" s="63" t="s">
        <v>2253</v>
      </c>
      <c r="B156" s="63" t="s">
        <v>16</v>
      </c>
      <c r="C156" s="63" t="s">
        <v>2419</v>
      </c>
      <c r="D156" s="63" t="s">
        <v>2420</v>
      </c>
      <c r="E156" s="63" t="s">
        <v>2421</v>
      </c>
      <c r="F156" s="63" t="s">
        <v>2417</v>
      </c>
      <c r="G156" s="63" t="s">
        <v>28</v>
      </c>
      <c r="H156" s="63" t="s">
        <v>28</v>
      </c>
      <c r="I156" s="63" t="s">
        <v>898</v>
      </c>
    </row>
    <row r="157" ht="11.25" customHeight="1">
      <c r="A157" s="63" t="s">
        <v>2253</v>
      </c>
      <c r="B157" s="63" t="s">
        <v>16</v>
      </c>
      <c r="C157" s="63" t="s">
        <v>2750</v>
      </c>
      <c r="D157" s="63" t="s">
        <v>2751</v>
      </c>
      <c r="E157" s="63" t="s">
        <v>2421</v>
      </c>
      <c r="F157" s="63" t="s">
        <v>2752</v>
      </c>
      <c r="G157" s="63" t="s">
        <v>28</v>
      </c>
      <c r="H157" s="63" t="s">
        <v>28</v>
      </c>
      <c r="I157" s="63" t="s">
        <v>898</v>
      </c>
    </row>
    <row r="158" ht="11.25" customHeight="1">
      <c r="A158" s="63" t="s">
        <v>2253</v>
      </c>
      <c r="B158" s="63" t="s">
        <v>16</v>
      </c>
      <c r="C158" s="63" t="s">
        <v>2430</v>
      </c>
      <c r="D158" s="63" t="s">
        <v>2431</v>
      </c>
      <c r="E158" s="63" t="s">
        <v>2432</v>
      </c>
      <c r="F158" s="63" t="s">
        <v>2293</v>
      </c>
      <c r="G158" s="63" t="s">
        <v>2433</v>
      </c>
      <c r="H158" s="63" t="s">
        <v>28</v>
      </c>
      <c r="I158" s="63" t="s">
        <v>898</v>
      </c>
    </row>
    <row r="159" ht="11.25" customHeight="1">
      <c r="A159" s="63" t="s">
        <v>2253</v>
      </c>
      <c r="B159" s="63" t="s">
        <v>16</v>
      </c>
      <c r="C159" s="63" t="s">
        <v>2438</v>
      </c>
      <c r="D159" s="63" t="s">
        <v>2439</v>
      </c>
      <c r="E159" s="63" t="s">
        <v>2440</v>
      </c>
      <c r="F159" s="63" t="s">
        <v>2301</v>
      </c>
      <c r="G159" s="63" t="s">
        <v>28</v>
      </c>
      <c r="H159" s="63" t="s">
        <v>28</v>
      </c>
      <c r="I159" s="63" t="s">
        <v>898</v>
      </c>
    </row>
    <row r="160" ht="11.25" customHeight="1">
      <c r="A160" s="63" t="s">
        <v>2253</v>
      </c>
      <c r="B160" s="63" t="s">
        <v>16</v>
      </c>
      <c r="C160" s="63" t="s">
        <v>2458</v>
      </c>
      <c r="D160" s="63" t="s">
        <v>2459</v>
      </c>
      <c r="E160" s="63" t="s">
        <v>2460</v>
      </c>
      <c r="F160" s="63" t="s">
        <v>2417</v>
      </c>
      <c r="G160" s="63" t="s">
        <v>28</v>
      </c>
      <c r="H160" s="63" t="s">
        <v>2274</v>
      </c>
      <c r="I160" s="63" t="s">
        <v>898</v>
      </c>
    </row>
    <row r="161" ht="11.25" customHeight="1">
      <c r="A161" s="63" t="s">
        <v>2253</v>
      </c>
      <c r="B161" s="63" t="s">
        <v>16</v>
      </c>
      <c r="C161" s="63" t="s">
        <v>2482</v>
      </c>
      <c r="D161" s="63" t="s">
        <v>2483</v>
      </c>
      <c r="E161" s="63" t="s">
        <v>2484</v>
      </c>
      <c r="F161" s="63" t="s">
        <v>2305</v>
      </c>
      <c r="G161" s="63" t="s">
        <v>28</v>
      </c>
      <c r="H161" s="63" t="s">
        <v>2485</v>
      </c>
      <c r="I161" s="63" t="s">
        <v>898</v>
      </c>
    </row>
    <row r="162" ht="11.25" customHeight="1">
      <c r="A162" s="63" t="s">
        <v>2253</v>
      </c>
      <c r="B162" s="63" t="s">
        <v>16</v>
      </c>
      <c r="C162" s="63" t="s">
        <v>2486</v>
      </c>
      <c r="D162" s="63" t="s">
        <v>2487</v>
      </c>
      <c r="E162" s="63" t="s">
        <v>2363</v>
      </c>
      <c r="F162" s="63" t="s">
        <v>2488</v>
      </c>
      <c r="G162" s="63" t="s">
        <v>28</v>
      </c>
      <c r="H162" s="63" t="s">
        <v>28</v>
      </c>
      <c r="I162" s="63" t="s">
        <v>898</v>
      </c>
    </row>
    <row r="163" ht="11.25" customHeight="1">
      <c r="A163" s="63" t="s">
        <v>2253</v>
      </c>
      <c r="B163" s="63" t="s">
        <v>16</v>
      </c>
      <c r="C163" s="63" t="s">
        <v>2539</v>
      </c>
      <c r="D163" s="63" t="s">
        <v>2540</v>
      </c>
      <c r="E163" s="63" t="s">
        <v>2541</v>
      </c>
      <c r="F163" s="63" t="s">
        <v>2542</v>
      </c>
      <c r="G163" s="63" t="s">
        <v>2543</v>
      </c>
      <c r="H163" s="63" t="s">
        <v>28</v>
      </c>
      <c r="I163" s="63" t="s">
        <v>898</v>
      </c>
    </row>
    <row r="164" ht="11.25" customHeight="1">
      <c r="A164" s="63" t="s">
        <v>2253</v>
      </c>
      <c r="B164" s="63" t="s">
        <v>16</v>
      </c>
      <c r="C164" s="63" t="s">
        <v>2550</v>
      </c>
      <c r="D164" s="63" t="s">
        <v>2551</v>
      </c>
      <c r="E164" s="63" t="s">
        <v>2552</v>
      </c>
      <c r="F164" s="63" t="s">
        <v>2273</v>
      </c>
      <c r="G164" s="63" t="s">
        <v>28</v>
      </c>
      <c r="H164" s="63" t="s">
        <v>28</v>
      </c>
      <c r="I164" s="63" t="s">
        <v>898</v>
      </c>
    </row>
    <row r="165" ht="11.25" customHeight="1">
      <c r="A165" s="63" t="s">
        <v>2253</v>
      </c>
      <c r="B165" s="63" t="s">
        <v>16</v>
      </c>
      <c r="C165" s="63" t="s">
        <v>2560</v>
      </c>
      <c r="D165" s="63" t="s">
        <v>2561</v>
      </c>
      <c r="E165" s="63" t="s">
        <v>2562</v>
      </c>
      <c r="F165" s="63" t="s">
        <v>2387</v>
      </c>
      <c r="G165" s="63" t="s">
        <v>2563</v>
      </c>
      <c r="H165" s="63" t="s">
        <v>2564</v>
      </c>
      <c r="I165" s="63" t="s">
        <v>898</v>
      </c>
    </row>
    <row r="166" ht="11.25" customHeight="1">
      <c r="A166" s="63" t="s">
        <v>2253</v>
      </c>
      <c r="B166" s="63" t="s">
        <v>16</v>
      </c>
      <c r="C166" s="63" t="s">
        <v>2609</v>
      </c>
      <c r="D166" s="63" t="s">
        <v>2610</v>
      </c>
      <c r="E166" s="63" t="s">
        <v>2611</v>
      </c>
      <c r="F166" s="63" t="s">
        <v>2268</v>
      </c>
      <c r="G166" s="63" t="s">
        <v>28</v>
      </c>
      <c r="H166" s="63" t="s">
        <v>28</v>
      </c>
      <c r="I166" s="63" t="s">
        <v>898</v>
      </c>
    </row>
    <row r="167" ht="11.25" customHeight="1">
      <c r="A167" s="63" t="s">
        <v>2253</v>
      </c>
      <c r="B167" s="63" t="s">
        <v>16</v>
      </c>
      <c r="C167" s="63" t="s">
        <v>2668</v>
      </c>
      <c r="D167" s="63" t="s">
        <v>2669</v>
      </c>
      <c r="E167" s="63" t="s">
        <v>2670</v>
      </c>
      <c r="F167" s="63" t="s">
        <v>2256</v>
      </c>
      <c r="G167" s="63" t="s">
        <v>28</v>
      </c>
      <c r="H167" s="63" t="s">
        <v>28</v>
      </c>
      <c r="I167" s="63" t="s">
        <v>898</v>
      </c>
    </row>
    <row r="168" ht="11.25" customHeight="1">
      <c r="A168" s="63" t="s">
        <v>2253</v>
      </c>
      <c r="B168" s="63" t="s">
        <v>16</v>
      </c>
      <c r="C168" s="63" t="s">
        <v>2674</v>
      </c>
      <c r="D168" s="63" t="s">
        <v>2675</v>
      </c>
      <c r="E168" s="63" t="s">
        <v>2676</v>
      </c>
      <c r="F168" s="63" t="s">
        <v>2478</v>
      </c>
      <c r="G168" s="63" t="s">
        <v>28</v>
      </c>
      <c r="H168" s="63" t="s">
        <v>28</v>
      </c>
      <c r="I168" s="63" t="s">
        <v>898</v>
      </c>
    </row>
    <row r="169" ht="11.25" customHeight="1">
      <c r="A169" s="63" t="s">
        <v>2253</v>
      </c>
      <c r="B169" s="63" t="s">
        <v>16</v>
      </c>
      <c r="C169" s="63" t="s">
        <v>2680</v>
      </c>
      <c r="D169" s="63" t="s">
        <v>2681</v>
      </c>
      <c r="E169" s="63" t="s">
        <v>2682</v>
      </c>
      <c r="F169" s="63" t="s">
        <v>2683</v>
      </c>
      <c r="G169" s="63" t="s">
        <v>2684</v>
      </c>
      <c r="H169" s="63" t="s">
        <v>28</v>
      </c>
      <c r="I169" s="63" t="s">
        <v>898</v>
      </c>
    </row>
    <row r="170" ht="11.25" customHeight="1">
      <c r="A170" s="63" t="s">
        <v>2253</v>
      </c>
      <c r="B170" s="63" t="s">
        <v>16</v>
      </c>
      <c r="C170" s="63" t="s">
        <v>2691</v>
      </c>
      <c r="D170" s="63" t="s">
        <v>2692</v>
      </c>
      <c r="E170" s="63" t="s">
        <v>2693</v>
      </c>
      <c r="F170" s="63" t="s">
        <v>2293</v>
      </c>
      <c r="G170" s="63" t="s">
        <v>28</v>
      </c>
      <c r="H170" s="63" t="s">
        <v>28</v>
      </c>
      <c r="I170" s="63" t="s">
        <v>898</v>
      </c>
    </row>
    <row r="171" ht="11.25" customHeight="1">
      <c r="A171" s="63" t="s">
        <v>2253</v>
      </c>
      <c r="B171" s="63" t="s">
        <v>16</v>
      </c>
      <c r="C171" s="63" t="s">
        <v>2719</v>
      </c>
      <c r="D171" s="63" t="s">
        <v>2720</v>
      </c>
      <c r="E171" s="63" t="s">
        <v>2721</v>
      </c>
      <c r="F171" s="63" t="s">
        <v>2478</v>
      </c>
      <c r="G171" s="63" t="s">
        <v>28</v>
      </c>
      <c r="H171" s="63" t="s">
        <v>28</v>
      </c>
      <c r="I171" s="63" t="s">
        <v>898</v>
      </c>
    </row>
    <row r="172" ht="11.25" customHeight="1">
      <c r="A172" s="63" t="s">
        <v>2253</v>
      </c>
      <c r="B172" s="63" t="s">
        <v>16</v>
      </c>
      <c r="C172" s="63" t="s">
        <v>28</v>
      </c>
      <c r="D172" s="63" t="s">
        <v>2254</v>
      </c>
      <c r="E172" s="63" t="s">
        <v>2255</v>
      </c>
      <c r="F172" s="63" t="s">
        <v>2256</v>
      </c>
      <c r="G172" s="63" t="s">
        <v>28</v>
      </c>
      <c r="H172" s="63" t="s">
        <v>28</v>
      </c>
      <c r="I172" s="63" t="s">
        <v>858</v>
      </c>
    </row>
    <row r="173" ht="11.25" customHeight="1">
      <c r="A173" s="63" t="s">
        <v>2253</v>
      </c>
      <c r="B173" s="63" t="s">
        <v>16</v>
      </c>
      <c r="C173" s="63" t="s">
        <v>2257</v>
      </c>
      <c r="D173" s="63" t="s">
        <v>2258</v>
      </c>
      <c r="E173" s="63" t="s">
        <v>2259</v>
      </c>
      <c r="F173" s="63" t="s">
        <v>2260</v>
      </c>
      <c r="G173" s="63" t="s">
        <v>28</v>
      </c>
      <c r="H173" s="63" t="s">
        <v>28</v>
      </c>
      <c r="I173" s="63" t="s">
        <v>858</v>
      </c>
    </row>
    <row r="174" ht="11.25" customHeight="1">
      <c r="A174" s="63" t="s">
        <v>2253</v>
      </c>
      <c r="B174" s="63" t="s">
        <v>16</v>
      </c>
      <c r="C174" s="63" t="s">
        <v>2275</v>
      </c>
      <c r="D174" s="63" t="s">
        <v>2276</v>
      </c>
      <c r="E174" s="63" t="s">
        <v>2277</v>
      </c>
      <c r="F174" s="63" t="s">
        <v>2278</v>
      </c>
      <c r="G174" s="63" t="s">
        <v>28</v>
      </c>
      <c r="H174" s="63" t="s">
        <v>28</v>
      </c>
      <c r="I174" s="63" t="s">
        <v>858</v>
      </c>
    </row>
    <row r="175" ht="11.25" customHeight="1">
      <c r="A175" s="63" t="s">
        <v>2253</v>
      </c>
      <c r="B175" s="63" t="s">
        <v>16</v>
      </c>
      <c r="C175" s="63" t="s">
        <v>13</v>
      </c>
      <c r="D175" s="63" t="s">
        <v>47</v>
      </c>
      <c r="E175" s="63" t="s">
        <v>50</v>
      </c>
      <c r="F175" s="63" t="s">
        <v>52</v>
      </c>
      <c r="G175" s="63" t="s">
        <v>28</v>
      </c>
      <c r="H175" s="63" t="s">
        <v>28</v>
      </c>
      <c r="I175" s="63" t="s">
        <v>858</v>
      </c>
    </row>
    <row r="176" ht="11.25" customHeight="1">
      <c r="A176" s="63" t="s">
        <v>2253</v>
      </c>
      <c r="B176" s="63" t="s">
        <v>16</v>
      </c>
      <c r="C176" s="63" t="s">
        <v>2282</v>
      </c>
      <c r="D176" s="63" t="s">
        <v>47</v>
      </c>
      <c r="E176" s="63" t="s">
        <v>50</v>
      </c>
      <c r="F176" s="63" t="s">
        <v>2283</v>
      </c>
      <c r="G176" s="63" t="s">
        <v>2281</v>
      </c>
      <c r="H176" s="63" t="s">
        <v>28</v>
      </c>
      <c r="I176" s="63" t="s">
        <v>858</v>
      </c>
    </row>
    <row r="177" ht="11.25" customHeight="1">
      <c r="A177" s="63" t="s">
        <v>2253</v>
      </c>
      <c r="B177" s="63" t="s">
        <v>16</v>
      </c>
      <c r="C177" s="63" t="s">
        <v>2287</v>
      </c>
      <c r="D177" s="63" t="s">
        <v>2288</v>
      </c>
      <c r="E177" s="63" t="s">
        <v>50</v>
      </c>
      <c r="F177" s="63" t="s">
        <v>2289</v>
      </c>
      <c r="G177" s="63" t="s">
        <v>28</v>
      </c>
      <c r="H177" s="63" t="s">
        <v>28</v>
      </c>
      <c r="I177" s="63" t="s">
        <v>858</v>
      </c>
    </row>
    <row r="178" ht="11.25" customHeight="1">
      <c r="A178" s="63" t="s">
        <v>2253</v>
      </c>
      <c r="B178" s="63" t="s">
        <v>16</v>
      </c>
      <c r="C178" s="63" t="s">
        <v>2290</v>
      </c>
      <c r="D178" s="63" t="s">
        <v>2291</v>
      </c>
      <c r="E178" s="63" t="s">
        <v>2292</v>
      </c>
      <c r="F178" s="63" t="s">
        <v>2293</v>
      </c>
      <c r="G178" s="63" t="s">
        <v>28</v>
      </c>
      <c r="H178" s="63" t="s">
        <v>28</v>
      </c>
      <c r="I178" s="63" t="s">
        <v>858</v>
      </c>
    </row>
    <row r="179" ht="11.25" customHeight="1">
      <c r="A179" s="63" t="s">
        <v>2253</v>
      </c>
      <c r="B179" s="63" t="s">
        <v>16</v>
      </c>
      <c r="C179" s="63" t="s">
        <v>2302</v>
      </c>
      <c r="D179" s="63" t="s">
        <v>2303</v>
      </c>
      <c r="E179" s="63" t="s">
        <v>2304</v>
      </c>
      <c r="F179" s="63" t="s">
        <v>2305</v>
      </c>
      <c r="G179" s="63" t="s">
        <v>28</v>
      </c>
      <c r="H179" s="63" t="s">
        <v>28</v>
      </c>
      <c r="I179" s="63" t="s">
        <v>858</v>
      </c>
    </row>
    <row r="180" ht="11.25" customHeight="1">
      <c r="A180" s="63" t="s">
        <v>2253</v>
      </c>
      <c r="B180" s="63" t="s">
        <v>16</v>
      </c>
      <c r="C180" s="63" t="s">
        <v>2753</v>
      </c>
      <c r="D180" s="63" t="s">
        <v>2754</v>
      </c>
      <c r="E180" s="63" t="s">
        <v>2755</v>
      </c>
      <c r="F180" s="63" t="s">
        <v>2525</v>
      </c>
      <c r="G180" s="63" t="s">
        <v>2756</v>
      </c>
      <c r="H180" s="63" t="s">
        <v>28</v>
      </c>
      <c r="I180" s="63" t="s">
        <v>858</v>
      </c>
    </row>
    <row r="181" ht="11.25" customHeight="1">
      <c r="A181" s="63" t="s">
        <v>2253</v>
      </c>
      <c r="B181" s="63" t="s">
        <v>16</v>
      </c>
      <c r="C181" s="63" t="s">
        <v>2311</v>
      </c>
      <c r="D181" s="63" t="s">
        <v>2312</v>
      </c>
      <c r="E181" s="63" t="s">
        <v>2313</v>
      </c>
      <c r="F181" s="63" t="s">
        <v>2264</v>
      </c>
      <c r="G181" s="63" t="s">
        <v>28</v>
      </c>
      <c r="H181" s="63" t="s">
        <v>28</v>
      </c>
      <c r="I181" s="63" t="s">
        <v>858</v>
      </c>
    </row>
    <row r="182" ht="11.25" customHeight="1">
      <c r="A182" s="63" t="s">
        <v>2253</v>
      </c>
      <c r="B182" s="63" t="s">
        <v>16</v>
      </c>
      <c r="C182" s="63" t="s">
        <v>2757</v>
      </c>
      <c r="D182" s="63" t="s">
        <v>2758</v>
      </c>
      <c r="E182" s="63" t="s">
        <v>2759</v>
      </c>
      <c r="F182" s="63" t="s">
        <v>2293</v>
      </c>
      <c r="G182" s="63" t="s">
        <v>2760</v>
      </c>
      <c r="H182" s="63" t="s">
        <v>28</v>
      </c>
      <c r="I182" s="63" t="s">
        <v>858</v>
      </c>
    </row>
    <row r="183" ht="11.25" customHeight="1">
      <c r="A183" s="63" t="s">
        <v>2253</v>
      </c>
      <c r="B183" s="63" t="s">
        <v>16</v>
      </c>
      <c r="C183" s="63" t="s">
        <v>2323</v>
      </c>
      <c r="D183" s="63" t="s">
        <v>2324</v>
      </c>
      <c r="E183" s="63" t="s">
        <v>2325</v>
      </c>
      <c r="F183" s="63" t="s">
        <v>2326</v>
      </c>
      <c r="G183" s="63" t="s">
        <v>2327</v>
      </c>
      <c r="H183" s="63" t="s">
        <v>28</v>
      </c>
      <c r="I183" s="63" t="s">
        <v>858</v>
      </c>
    </row>
    <row r="184" ht="11.25" customHeight="1">
      <c r="A184" s="63" t="s">
        <v>2253</v>
      </c>
      <c r="B184" s="63" t="s">
        <v>16</v>
      </c>
      <c r="C184" s="63" t="s">
        <v>2761</v>
      </c>
      <c r="D184" s="63" t="s">
        <v>2762</v>
      </c>
      <c r="E184" s="63" t="s">
        <v>2763</v>
      </c>
      <c r="F184" s="63" t="s">
        <v>2264</v>
      </c>
      <c r="G184" s="63" t="s">
        <v>28</v>
      </c>
      <c r="H184" s="63" t="s">
        <v>28</v>
      </c>
      <c r="I184" s="63" t="s">
        <v>858</v>
      </c>
    </row>
    <row r="185" ht="11.25" customHeight="1">
      <c r="A185" s="63" t="s">
        <v>2253</v>
      </c>
      <c r="B185" s="63" t="s">
        <v>16</v>
      </c>
      <c r="C185" s="63" t="s">
        <v>2331</v>
      </c>
      <c r="D185" s="63" t="s">
        <v>2332</v>
      </c>
      <c r="E185" s="63" t="s">
        <v>2333</v>
      </c>
      <c r="F185" s="63" t="s">
        <v>2334</v>
      </c>
      <c r="G185" s="63" t="s">
        <v>28</v>
      </c>
      <c r="H185" s="63" t="s">
        <v>28</v>
      </c>
      <c r="I185" s="63" t="s">
        <v>858</v>
      </c>
    </row>
    <row r="186" ht="11.25" customHeight="1">
      <c r="A186" s="63" t="s">
        <v>2253</v>
      </c>
      <c r="B186" s="63" t="s">
        <v>16</v>
      </c>
      <c r="C186" s="63" t="s">
        <v>2764</v>
      </c>
      <c r="D186" s="63" t="s">
        <v>2765</v>
      </c>
      <c r="E186" s="63" t="s">
        <v>2766</v>
      </c>
      <c r="F186" s="63" t="s">
        <v>2730</v>
      </c>
      <c r="G186" s="63" t="s">
        <v>2767</v>
      </c>
      <c r="H186" s="63" t="s">
        <v>28</v>
      </c>
      <c r="I186" s="63" t="s">
        <v>858</v>
      </c>
    </row>
    <row r="187" ht="11.25" customHeight="1">
      <c r="A187" s="63" t="s">
        <v>2253</v>
      </c>
      <c r="B187" s="63" t="s">
        <v>16</v>
      </c>
      <c r="C187" s="63" t="s">
        <v>2343</v>
      </c>
      <c r="D187" s="63" t="s">
        <v>2344</v>
      </c>
      <c r="E187" s="63" t="s">
        <v>2345</v>
      </c>
      <c r="F187" s="63" t="s">
        <v>2256</v>
      </c>
      <c r="G187" s="63" t="s">
        <v>2346</v>
      </c>
      <c r="H187" s="63" t="s">
        <v>28</v>
      </c>
      <c r="I187" s="63" t="s">
        <v>858</v>
      </c>
    </row>
    <row r="188" ht="11.25" customHeight="1">
      <c r="A188" s="63" t="s">
        <v>2253</v>
      </c>
      <c r="B188" s="63" t="s">
        <v>16</v>
      </c>
      <c r="C188" s="63" t="s">
        <v>2768</v>
      </c>
      <c r="D188" s="63" t="s">
        <v>2769</v>
      </c>
      <c r="E188" s="63" t="s">
        <v>2770</v>
      </c>
      <c r="F188" s="63" t="s">
        <v>2771</v>
      </c>
      <c r="G188" s="63" t="s">
        <v>28</v>
      </c>
      <c r="H188" s="63" t="s">
        <v>28</v>
      </c>
      <c r="I188" s="63" t="s">
        <v>858</v>
      </c>
    </row>
    <row r="189" ht="11.25" customHeight="1">
      <c r="A189" s="63" t="s">
        <v>2253</v>
      </c>
      <c r="B189" s="63" t="s">
        <v>16</v>
      </c>
      <c r="C189" s="63" t="s">
        <v>2365</v>
      </c>
      <c r="D189" s="63" t="s">
        <v>2366</v>
      </c>
      <c r="E189" s="63" t="s">
        <v>2363</v>
      </c>
      <c r="F189" s="63" t="s">
        <v>2367</v>
      </c>
      <c r="G189" s="63" t="s">
        <v>28</v>
      </c>
      <c r="H189" s="63" t="s">
        <v>28</v>
      </c>
      <c r="I189" s="63" t="s">
        <v>858</v>
      </c>
    </row>
    <row r="190" ht="11.25" customHeight="1">
      <c r="A190" s="63" t="s">
        <v>2253</v>
      </c>
      <c r="B190" s="63" t="s">
        <v>16</v>
      </c>
      <c r="C190" s="63" t="s">
        <v>2772</v>
      </c>
      <c r="D190" s="63" t="s">
        <v>2773</v>
      </c>
      <c r="E190" s="63" t="s">
        <v>2774</v>
      </c>
      <c r="F190" s="63" t="s">
        <v>2407</v>
      </c>
      <c r="G190" s="63" t="s">
        <v>28</v>
      </c>
      <c r="H190" s="63" t="s">
        <v>2775</v>
      </c>
      <c r="I190" s="63" t="s">
        <v>858</v>
      </c>
    </row>
    <row r="191" ht="11.25" customHeight="1">
      <c r="A191" s="63" t="s">
        <v>2253</v>
      </c>
      <c r="B191" s="63" t="s">
        <v>16</v>
      </c>
      <c r="C191" s="63" t="s">
        <v>2377</v>
      </c>
      <c r="D191" s="63" t="s">
        <v>2378</v>
      </c>
      <c r="E191" s="63" t="s">
        <v>2379</v>
      </c>
      <c r="F191" s="63" t="s">
        <v>2317</v>
      </c>
      <c r="G191" s="63" t="s">
        <v>28</v>
      </c>
      <c r="H191" s="63" t="s">
        <v>28</v>
      </c>
      <c r="I191" s="63" t="s">
        <v>858</v>
      </c>
    </row>
    <row r="192" ht="11.25" customHeight="1">
      <c r="A192" s="63" t="s">
        <v>2253</v>
      </c>
      <c r="B192" s="63" t="s">
        <v>16</v>
      </c>
      <c r="C192" s="63" t="s">
        <v>2384</v>
      </c>
      <c r="D192" s="63" t="s">
        <v>2385</v>
      </c>
      <c r="E192" s="63" t="s">
        <v>2386</v>
      </c>
      <c r="F192" s="63" t="s">
        <v>2387</v>
      </c>
      <c r="G192" s="63" t="s">
        <v>28</v>
      </c>
      <c r="H192" s="63" t="s">
        <v>2388</v>
      </c>
      <c r="I192" s="63" t="s">
        <v>858</v>
      </c>
    </row>
    <row r="193" ht="11.25" customHeight="1">
      <c r="A193" s="63" t="s">
        <v>2253</v>
      </c>
      <c r="B193" s="63" t="s">
        <v>16</v>
      </c>
      <c r="C193" s="63" t="s">
        <v>2776</v>
      </c>
      <c r="D193" s="63" t="s">
        <v>2777</v>
      </c>
      <c r="E193" s="63" t="s">
        <v>2778</v>
      </c>
      <c r="F193" s="63" t="s">
        <v>579</v>
      </c>
      <c r="G193" s="63" t="s">
        <v>28</v>
      </c>
      <c r="H193" s="63" t="s">
        <v>28</v>
      </c>
      <c r="I193" s="63" t="s">
        <v>858</v>
      </c>
    </row>
    <row r="194" ht="11.25" customHeight="1">
      <c r="A194" s="63" t="s">
        <v>2253</v>
      </c>
      <c r="B194" s="63" t="s">
        <v>16</v>
      </c>
      <c r="C194" s="63" t="s">
        <v>2779</v>
      </c>
      <c r="D194" s="63" t="s">
        <v>2780</v>
      </c>
      <c r="E194" s="63" t="s">
        <v>2781</v>
      </c>
      <c r="F194" s="63" t="s">
        <v>579</v>
      </c>
      <c r="G194" s="63" t="s">
        <v>28</v>
      </c>
      <c r="H194" s="63" t="s">
        <v>28</v>
      </c>
      <c r="I194" s="63" t="s">
        <v>858</v>
      </c>
    </row>
    <row r="195" ht="11.25" customHeight="1">
      <c r="A195" s="63" t="s">
        <v>2253</v>
      </c>
      <c r="B195" s="63" t="s">
        <v>16</v>
      </c>
      <c r="C195" s="63" t="s">
        <v>2782</v>
      </c>
      <c r="D195" s="63" t="s">
        <v>2783</v>
      </c>
      <c r="E195" s="63" t="s">
        <v>2784</v>
      </c>
      <c r="F195" s="63" t="s">
        <v>579</v>
      </c>
      <c r="G195" s="63" t="s">
        <v>28</v>
      </c>
      <c r="H195" s="63" t="s">
        <v>28</v>
      </c>
      <c r="I195" s="63" t="s">
        <v>858</v>
      </c>
    </row>
    <row r="196" ht="11.25" customHeight="1">
      <c r="A196" s="63" t="s">
        <v>2253</v>
      </c>
      <c r="B196" s="63" t="s">
        <v>16</v>
      </c>
      <c r="C196" s="63" t="s">
        <v>2408</v>
      </c>
      <c r="D196" s="63" t="s">
        <v>2409</v>
      </c>
      <c r="E196" s="63" t="s">
        <v>2410</v>
      </c>
      <c r="F196" s="63" t="s">
        <v>2371</v>
      </c>
      <c r="G196" s="63" t="s">
        <v>28</v>
      </c>
      <c r="H196" s="63" t="s">
        <v>28</v>
      </c>
      <c r="I196" s="63" t="s">
        <v>858</v>
      </c>
    </row>
    <row r="197" ht="11.25" customHeight="1">
      <c r="A197" s="63" t="s">
        <v>2253</v>
      </c>
      <c r="B197" s="63" t="s">
        <v>16</v>
      </c>
      <c r="C197" s="63" t="s">
        <v>2785</v>
      </c>
      <c r="D197" s="63" t="s">
        <v>2420</v>
      </c>
      <c r="E197" s="63" t="s">
        <v>2421</v>
      </c>
      <c r="F197" s="63" t="s">
        <v>2786</v>
      </c>
      <c r="G197" s="63" t="s">
        <v>28</v>
      </c>
      <c r="H197" s="63" t="s">
        <v>28</v>
      </c>
      <c r="I197" s="63" t="s">
        <v>858</v>
      </c>
    </row>
    <row r="198" ht="11.25" customHeight="1">
      <c r="A198" s="63" t="s">
        <v>2253</v>
      </c>
      <c r="B198" s="63" t="s">
        <v>16</v>
      </c>
      <c r="C198" s="63" t="s">
        <v>2734</v>
      </c>
      <c r="D198" s="63" t="s">
        <v>2420</v>
      </c>
      <c r="E198" s="63" t="s">
        <v>2421</v>
      </c>
      <c r="F198" s="63" t="s">
        <v>2735</v>
      </c>
      <c r="G198" s="63" t="s">
        <v>28</v>
      </c>
      <c r="H198" s="63" t="s">
        <v>28</v>
      </c>
      <c r="I198" s="63" t="s">
        <v>858</v>
      </c>
    </row>
    <row r="199" ht="11.25" customHeight="1">
      <c r="A199" s="63" t="s">
        <v>2253</v>
      </c>
      <c r="B199" s="63" t="s">
        <v>16</v>
      </c>
      <c r="C199" s="63" t="s">
        <v>2736</v>
      </c>
      <c r="D199" s="63" t="s">
        <v>2420</v>
      </c>
      <c r="E199" s="63" t="s">
        <v>2421</v>
      </c>
      <c r="F199" s="63" t="s">
        <v>2737</v>
      </c>
      <c r="G199" s="63" t="s">
        <v>28</v>
      </c>
      <c r="H199" s="63" t="s">
        <v>28</v>
      </c>
      <c r="I199" s="63" t="s">
        <v>858</v>
      </c>
    </row>
    <row r="200" ht="11.25" customHeight="1">
      <c r="A200" s="63" t="s">
        <v>2253</v>
      </c>
      <c r="B200" s="63" t="s">
        <v>16</v>
      </c>
      <c r="C200" s="63" t="s">
        <v>2738</v>
      </c>
      <c r="D200" s="63" t="s">
        <v>2420</v>
      </c>
      <c r="E200" s="63" t="s">
        <v>2421</v>
      </c>
      <c r="F200" s="63" t="s">
        <v>2739</v>
      </c>
      <c r="G200" s="63" t="s">
        <v>28</v>
      </c>
      <c r="H200" s="63" t="s">
        <v>28</v>
      </c>
      <c r="I200" s="63" t="s">
        <v>858</v>
      </c>
    </row>
    <row r="201" ht="11.25" customHeight="1">
      <c r="A201" s="63" t="s">
        <v>2253</v>
      </c>
      <c r="B201" s="63" t="s">
        <v>16</v>
      </c>
      <c r="C201" s="63" t="s">
        <v>2787</v>
      </c>
      <c r="D201" s="63" t="s">
        <v>2420</v>
      </c>
      <c r="E201" s="63" t="s">
        <v>2421</v>
      </c>
      <c r="F201" s="63" t="s">
        <v>2788</v>
      </c>
      <c r="G201" s="63" t="s">
        <v>28</v>
      </c>
      <c r="H201" s="63" t="s">
        <v>28</v>
      </c>
      <c r="I201" s="63" t="s">
        <v>858</v>
      </c>
    </row>
    <row r="202" ht="11.25" customHeight="1">
      <c r="A202" s="63" t="s">
        <v>2253</v>
      </c>
      <c r="B202" s="63" t="s">
        <v>16</v>
      </c>
      <c r="C202" s="63" t="s">
        <v>2740</v>
      </c>
      <c r="D202" s="63" t="s">
        <v>2420</v>
      </c>
      <c r="E202" s="63" t="s">
        <v>2421</v>
      </c>
      <c r="F202" s="63" t="s">
        <v>2741</v>
      </c>
      <c r="G202" s="63" t="s">
        <v>28</v>
      </c>
      <c r="H202" s="63" t="s">
        <v>28</v>
      </c>
      <c r="I202" s="63" t="s">
        <v>858</v>
      </c>
    </row>
    <row r="203" ht="11.25" customHeight="1">
      <c r="A203" s="63" t="s">
        <v>2253</v>
      </c>
      <c r="B203" s="63" t="s">
        <v>16</v>
      </c>
      <c r="C203" s="63" t="s">
        <v>2742</v>
      </c>
      <c r="D203" s="63" t="s">
        <v>2420</v>
      </c>
      <c r="E203" s="63" t="s">
        <v>2421</v>
      </c>
      <c r="F203" s="63" t="s">
        <v>2743</v>
      </c>
      <c r="G203" s="63" t="s">
        <v>28</v>
      </c>
      <c r="H203" s="63" t="s">
        <v>28</v>
      </c>
      <c r="I203" s="63" t="s">
        <v>858</v>
      </c>
    </row>
    <row r="204" ht="11.25" customHeight="1">
      <c r="A204" s="63" t="s">
        <v>2253</v>
      </c>
      <c r="B204" s="63" t="s">
        <v>16</v>
      </c>
      <c r="C204" s="63" t="s">
        <v>2744</v>
      </c>
      <c r="D204" s="63" t="s">
        <v>2420</v>
      </c>
      <c r="E204" s="63" t="s">
        <v>2421</v>
      </c>
      <c r="F204" s="63" t="s">
        <v>2745</v>
      </c>
      <c r="G204" s="63" t="s">
        <v>28</v>
      </c>
      <c r="H204" s="63" t="s">
        <v>28</v>
      </c>
      <c r="I204" s="63" t="s">
        <v>858</v>
      </c>
    </row>
    <row r="205" ht="11.25" customHeight="1">
      <c r="A205" s="63" t="s">
        <v>2253</v>
      </c>
      <c r="B205" s="63" t="s">
        <v>16</v>
      </c>
      <c r="C205" s="63" t="s">
        <v>2746</v>
      </c>
      <c r="D205" s="63" t="s">
        <v>2420</v>
      </c>
      <c r="E205" s="63" t="s">
        <v>2421</v>
      </c>
      <c r="F205" s="63" t="s">
        <v>2747</v>
      </c>
      <c r="G205" s="63" t="s">
        <v>28</v>
      </c>
      <c r="H205" s="63" t="s">
        <v>28</v>
      </c>
      <c r="I205" s="63" t="s">
        <v>858</v>
      </c>
    </row>
    <row r="206" ht="11.25" customHeight="1">
      <c r="A206" s="63" t="s">
        <v>2253</v>
      </c>
      <c r="B206" s="63" t="s">
        <v>16</v>
      </c>
      <c r="C206" s="63" t="s">
        <v>2748</v>
      </c>
      <c r="D206" s="63" t="s">
        <v>2420</v>
      </c>
      <c r="E206" s="63" t="s">
        <v>2421</v>
      </c>
      <c r="F206" s="63" t="s">
        <v>2749</v>
      </c>
      <c r="G206" s="63" t="s">
        <v>28</v>
      </c>
      <c r="H206" s="63" t="s">
        <v>28</v>
      </c>
      <c r="I206" s="63" t="s">
        <v>858</v>
      </c>
    </row>
    <row r="207" ht="11.25" customHeight="1">
      <c r="A207" s="63" t="s">
        <v>2253</v>
      </c>
      <c r="B207" s="63" t="s">
        <v>16</v>
      </c>
      <c r="C207" s="63" t="s">
        <v>2419</v>
      </c>
      <c r="D207" s="63" t="s">
        <v>2420</v>
      </c>
      <c r="E207" s="63" t="s">
        <v>2421</v>
      </c>
      <c r="F207" s="63" t="s">
        <v>2417</v>
      </c>
      <c r="G207" s="63" t="s">
        <v>28</v>
      </c>
      <c r="H207" s="63" t="s">
        <v>28</v>
      </c>
      <c r="I207" s="63" t="s">
        <v>858</v>
      </c>
    </row>
    <row r="208" ht="11.25" customHeight="1">
      <c r="A208" s="63" t="s">
        <v>2253</v>
      </c>
      <c r="B208" s="63" t="s">
        <v>16</v>
      </c>
      <c r="C208" s="63" t="s">
        <v>2789</v>
      </c>
      <c r="D208" s="63" t="s">
        <v>2790</v>
      </c>
      <c r="E208" s="63" t="s">
        <v>2791</v>
      </c>
      <c r="F208" s="63" t="s">
        <v>2293</v>
      </c>
      <c r="G208" s="63" t="s">
        <v>28</v>
      </c>
      <c r="H208" s="63" t="s">
        <v>28</v>
      </c>
      <c r="I208" s="63" t="s">
        <v>858</v>
      </c>
    </row>
    <row r="209" ht="11.25" customHeight="1">
      <c r="A209" s="63" t="s">
        <v>2253</v>
      </c>
      <c r="B209" s="63" t="s">
        <v>16</v>
      </c>
      <c r="C209" s="63" t="s">
        <v>2792</v>
      </c>
      <c r="D209" s="63" t="s">
        <v>2790</v>
      </c>
      <c r="E209" s="63" t="s">
        <v>2791</v>
      </c>
      <c r="F209" s="63" t="s">
        <v>2793</v>
      </c>
      <c r="G209" s="63" t="s">
        <v>28</v>
      </c>
      <c r="H209" s="63" t="s">
        <v>28</v>
      </c>
      <c r="I209" s="63" t="s">
        <v>858</v>
      </c>
    </row>
    <row r="210" ht="11.25" customHeight="1">
      <c r="A210" s="63" t="s">
        <v>2253</v>
      </c>
      <c r="B210" s="63" t="s">
        <v>16</v>
      </c>
      <c r="C210" s="63" t="s">
        <v>2794</v>
      </c>
      <c r="D210" s="63" t="s">
        <v>2751</v>
      </c>
      <c r="E210" s="63" t="s">
        <v>2421</v>
      </c>
      <c r="F210" s="63" t="s">
        <v>2795</v>
      </c>
      <c r="G210" s="63" t="s">
        <v>28</v>
      </c>
      <c r="H210" s="63" t="s">
        <v>28</v>
      </c>
      <c r="I210" s="63" t="s">
        <v>858</v>
      </c>
    </row>
    <row r="211" ht="11.25" customHeight="1">
      <c r="A211" s="63" t="s">
        <v>2253</v>
      </c>
      <c r="B211" s="63" t="s">
        <v>16</v>
      </c>
      <c r="C211" s="63" t="s">
        <v>2750</v>
      </c>
      <c r="D211" s="63" t="s">
        <v>2751</v>
      </c>
      <c r="E211" s="63" t="s">
        <v>2421</v>
      </c>
      <c r="F211" s="63" t="s">
        <v>2752</v>
      </c>
      <c r="G211" s="63" t="s">
        <v>28</v>
      </c>
      <c r="H211" s="63" t="s">
        <v>28</v>
      </c>
      <c r="I211" s="63" t="s">
        <v>858</v>
      </c>
    </row>
    <row r="212" ht="11.25" customHeight="1">
      <c r="A212" s="63" t="s">
        <v>2253</v>
      </c>
      <c r="B212" s="63" t="s">
        <v>16</v>
      </c>
      <c r="C212" s="63" t="s">
        <v>2796</v>
      </c>
      <c r="D212" s="63" t="s">
        <v>2797</v>
      </c>
      <c r="E212" s="63" t="s">
        <v>2798</v>
      </c>
      <c r="F212" s="63" t="s">
        <v>2305</v>
      </c>
      <c r="G212" s="63" t="s">
        <v>28</v>
      </c>
      <c r="H212" s="63" t="s">
        <v>28</v>
      </c>
      <c r="I212" s="63" t="s">
        <v>858</v>
      </c>
    </row>
    <row r="213" ht="11.25" customHeight="1">
      <c r="A213" s="63" t="s">
        <v>2253</v>
      </c>
      <c r="B213" s="63" t="s">
        <v>16</v>
      </c>
      <c r="C213" s="63" t="s">
        <v>2799</v>
      </c>
      <c r="D213" s="63" t="s">
        <v>2800</v>
      </c>
      <c r="E213" s="63" t="s">
        <v>2801</v>
      </c>
      <c r="F213" s="63" t="s">
        <v>2305</v>
      </c>
      <c r="G213" s="63" t="s">
        <v>28</v>
      </c>
      <c r="H213" s="63" t="s">
        <v>28</v>
      </c>
      <c r="I213" s="63" t="s">
        <v>858</v>
      </c>
    </row>
    <row r="214" ht="11.25" customHeight="1">
      <c r="A214" s="63" t="s">
        <v>2253</v>
      </c>
      <c r="B214" s="63" t="s">
        <v>16</v>
      </c>
      <c r="C214" s="63" t="s">
        <v>2802</v>
      </c>
      <c r="D214" s="63" t="s">
        <v>2803</v>
      </c>
      <c r="E214" s="63" t="s">
        <v>2804</v>
      </c>
      <c r="F214" s="63" t="s">
        <v>2305</v>
      </c>
      <c r="G214" s="63" t="s">
        <v>2805</v>
      </c>
      <c r="H214" s="63" t="s">
        <v>28</v>
      </c>
      <c r="I214" s="63" t="s">
        <v>858</v>
      </c>
    </row>
    <row r="215" ht="11.25" customHeight="1">
      <c r="A215" s="63" t="s">
        <v>2253</v>
      </c>
      <c r="B215" s="63" t="s">
        <v>16</v>
      </c>
      <c r="C215" s="63" t="s">
        <v>2806</v>
      </c>
      <c r="D215" s="63" t="s">
        <v>2807</v>
      </c>
      <c r="E215" s="63" t="s">
        <v>2808</v>
      </c>
      <c r="F215" s="63" t="s">
        <v>2511</v>
      </c>
      <c r="G215" s="63" t="s">
        <v>28</v>
      </c>
      <c r="H215" s="63" t="s">
        <v>28</v>
      </c>
      <c r="I215" s="63" t="s">
        <v>858</v>
      </c>
    </row>
    <row r="216" ht="11.25" customHeight="1">
      <c r="A216" s="63" t="s">
        <v>2253</v>
      </c>
      <c r="B216" s="63" t="s">
        <v>16</v>
      </c>
      <c r="C216" s="63" t="s">
        <v>2809</v>
      </c>
      <c r="D216" s="63" t="s">
        <v>2810</v>
      </c>
      <c r="E216" s="63" t="s">
        <v>2811</v>
      </c>
      <c r="F216" s="63" t="s">
        <v>2641</v>
      </c>
      <c r="G216" s="63" t="s">
        <v>28</v>
      </c>
      <c r="H216" s="63" t="s">
        <v>28</v>
      </c>
      <c r="I216" s="63" t="s">
        <v>858</v>
      </c>
    </row>
    <row r="217" ht="11.25" customHeight="1">
      <c r="A217" s="63" t="s">
        <v>2253</v>
      </c>
      <c r="B217" s="63" t="s">
        <v>16</v>
      </c>
      <c r="C217" s="63" t="s">
        <v>2812</v>
      </c>
      <c r="D217" s="63" t="s">
        <v>2813</v>
      </c>
      <c r="E217" s="63" t="s">
        <v>2814</v>
      </c>
      <c r="F217" s="63" t="s">
        <v>2326</v>
      </c>
      <c r="G217" s="63" t="s">
        <v>28</v>
      </c>
      <c r="H217" s="63" t="s">
        <v>28</v>
      </c>
      <c r="I217" s="63" t="s">
        <v>858</v>
      </c>
    </row>
    <row r="218" ht="11.25" customHeight="1">
      <c r="A218" s="63" t="s">
        <v>2253</v>
      </c>
      <c r="B218" s="63" t="s">
        <v>16</v>
      </c>
      <c r="C218" s="63" t="s">
        <v>2815</v>
      </c>
      <c r="D218" s="63" t="s">
        <v>2816</v>
      </c>
      <c r="E218" s="63" t="s">
        <v>2817</v>
      </c>
      <c r="F218" s="63" t="s">
        <v>2429</v>
      </c>
      <c r="G218" s="63" t="s">
        <v>2818</v>
      </c>
      <c r="H218" s="63" t="s">
        <v>28</v>
      </c>
      <c r="I218" s="63" t="s">
        <v>858</v>
      </c>
    </row>
    <row r="219" ht="11.25" customHeight="1">
      <c r="A219" s="63" t="s">
        <v>2253</v>
      </c>
      <c r="B219" s="63" t="s">
        <v>16</v>
      </c>
      <c r="C219" s="63" t="s">
        <v>2819</v>
      </c>
      <c r="D219" s="63" t="s">
        <v>2820</v>
      </c>
      <c r="E219" s="63" t="s">
        <v>2821</v>
      </c>
      <c r="F219" s="63" t="s">
        <v>2822</v>
      </c>
      <c r="G219" s="63" t="s">
        <v>28</v>
      </c>
      <c r="H219" s="63" t="s">
        <v>28</v>
      </c>
      <c r="I219" s="63" t="s">
        <v>858</v>
      </c>
    </row>
    <row r="220" ht="11.25" customHeight="1">
      <c r="A220" s="63" t="s">
        <v>2253</v>
      </c>
      <c r="B220" s="63" t="s">
        <v>16</v>
      </c>
      <c r="C220" s="63" t="s">
        <v>2823</v>
      </c>
      <c r="D220" s="63" t="s">
        <v>2824</v>
      </c>
      <c r="E220" s="63" t="s">
        <v>2825</v>
      </c>
      <c r="F220" s="63" t="s">
        <v>2448</v>
      </c>
      <c r="G220" s="63" t="s">
        <v>28</v>
      </c>
      <c r="H220" s="63" t="s">
        <v>2826</v>
      </c>
      <c r="I220" s="63" t="s">
        <v>858</v>
      </c>
    </row>
    <row r="221" ht="11.25" customHeight="1">
      <c r="A221" s="63" t="s">
        <v>2253</v>
      </c>
      <c r="B221" s="63" t="s">
        <v>16</v>
      </c>
      <c r="C221" s="63" t="s">
        <v>2827</v>
      </c>
      <c r="D221" s="63" t="s">
        <v>2828</v>
      </c>
      <c r="E221" s="63" t="s">
        <v>2829</v>
      </c>
      <c r="F221" s="63" t="s">
        <v>2326</v>
      </c>
      <c r="G221" s="63" t="s">
        <v>28</v>
      </c>
      <c r="H221" s="63" t="s">
        <v>2830</v>
      </c>
      <c r="I221" s="63" t="s">
        <v>858</v>
      </c>
    </row>
    <row r="222" ht="11.25" customHeight="1">
      <c r="A222" s="63" t="s">
        <v>2253</v>
      </c>
      <c r="B222" s="63" t="s">
        <v>16</v>
      </c>
      <c r="C222" s="63" t="s">
        <v>2426</v>
      </c>
      <c r="D222" s="63" t="s">
        <v>2427</v>
      </c>
      <c r="E222" s="63" t="s">
        <v>2428</v>
      </c>
      <c r="F222" s="63" t="s">
        <v>2429</v>
      </c>
      <c r="G222" s="63" t="s">
        <v>28</v>
      </c>
      <c r="H222" s="63" t="s">
        <v>28</v>
      </c>
      <c r="I222" s="63" t="s">
        <v>858</v>
      </c>
    </row>
    <row r="223" ht="11.25" customHeight="1">
      <c r="A223" s="63" t="s">
        <v>2253</v>
      </c>
      <c r="B223" s="63" t="s">
        <v>16</v>
      </c>
      <c r="C223" s="63" t="s">
        <v>2831</v>
      </c>
      <c r="D223" s="63" t="s">
        <v>2832</v>
      </c>
      <c r="E223" s="63" t="s">
        <v>2833</v>
      </c>
      <c r="F223" s="63" t="s">
        <v>2448</v>
      </c>
      <c r="G223" s="63" t="s">
        <v>2834</v>
      </c>
      <c r="H223" s="63" t="s">
        <v>28</v>
      </c>
      <c r="I223" s="63" t="s">
        <v>858</v>
      </c>
    </row>
    <row r="224" ht="11.25" customHeight="1">
      <c r="A224" s="63" t="s">
        <v>2253</v>
      </c>
      <c r="B224" s="63" t="s">
        <v>16</v>
      </c>
      <c r="C224" s="63" t="s">
        <v>2835</v>
      </c>
      <c r="D224" s="63" t="s">
        <v>2836</v>
      </c>
      <c r="E224" s="63" t="s">
        <v>2837</v>
      </c>
      <c r="F224" s="63" t="s">
        <v>2838</v>
      </c>
      <c r="G224" s="63" t="s">
        <v>28</v>
      </c>
      <c r="H224" s="63" t="s">
        <v>28</v>
      </c>
      <c r="I224" s="63" t="s">
        <v>858</v>
      </c>
    </row>
    <row r="225" ht="11.25" customHeight="1">
      <c r="A225" s="63" t="s">
        <v>2253</v>
      </c>
      <c r="B225" s="63" t="s">
        <v>16</v>
      </c>
      <c r="C225" s="63" t="s">
        <v>2839</v>
      </c>
      <c r="D225" s="63" t="s">
        <v>2840</v>
      </c>
      <c r="E225" s="63" t="s">
        <v>2841</v>
      </c>
      <c r="F225" s="63" t="s">
        <v>2448</v>
      </c>
      <c r="G225" s="63" t="s">
        <v>28</v>
      </c>
      <c r="H225" s="63" t="s">
        <v>2842</v>
      </c>
      <c r="I225" s="63" t="s">
        <v>858</v>
      </c>
    </row>
    <row r="226" ht="11.25" customHeight="1">
      <c r="A226" s="63" t="s">
        <v>2253</v>
      </c>
      <c r="B226" s="63" t="s">
        <v>16</v>
      </c>
      <c r="C226" s="63" t="s">
        <v>2843</v>
      </c>
      <c r="D226" s="63" t="s">
        <v>2844</v>
      </c>
      <c r="E226" s="63" t="s">
        <v>2845</v>
      </c>
      <c r="F226" s="63" t="s">
        <v>2305</v>
      </c>
      <c r="G226" s="63" t="s">
        <v>2846</v>
      </c>
      <c r="H226" s="63" t="s">
        <v>28</v>
      </c>
      <c r="I226" s="63" t="s">
        <v>858</v>
      </c>
    </row>
    <row r="227" ht="11.25" customHeight="1">
      <c r="A227" s="63" t="s">
        <v>2253</v>
      </c>
      <c r="B227" s="63" t="s">
        <v>16</v>
      </c>
      <c r="C227" s="63" t="s">
        <v>2847</v>
      </c>
      <c r="D227" s="63" t="s">
        <v>2848</v>
      </c>
      <c r="E227" s="63" t="s">
        <v>2849</v>
      </c>
      <c r="F227" s="63" t="s">
        <v>2305</v>
      </c>
      <c r="G227" s="63" t="s">
        <v>2850</v>
      </c>
      <c r="H227" s="63" t="s">
        <v>28</v>
      </c>
      <c r="I227" s="63" t="s">
        <v>858</v>
      </c>
    </row>
    <row r="228" ht="11.25" customHeight="1">
      <c r="A228" s="63" t="s">
        <v>2253</v>
      </c>
      <c r="B228" s="63" t="s">
        <v>16</v>
      </c>
      <c r="C228" s="63" t="s">
        <v>2434</v>
      </c>
      <c r="D228" s="63" t="s">
        <v>2435</v>
      </c>
      <c r="E228" s="63" t="s">
        <v>2436</v>
      </c>
      <c r="F228" s="63" t="s">
        <v>2437</v>
      </c>
      <c r="G228" s="63" t="s">
        <v>28</v>
      </c>
      <c r="H228" s="63" t="s">
        <v>28</v>
      </c>
      <c r="I228" s="63" t="s">
        <v>858</v>
      </c>
    </row>
    <row r="229" ht="11.25" customHeight="1">
      <c r="A229" s="63" t="s">
        <v>2253</v>
      </c>
      <c r="B229" s="63" t="s">
        <v>16</v>
      </c>
      <c r="C229" s="63" t="s">
        <v>2851</v>
      </c>
      <c r="D229" s="63" t="s">
        <v>2852</v>
      </c>
      <c r="E229" s="63" t="s">
        <v>2853</v>
      </c>
      <c r="F229" s="63" t="s">
        <v>2326</v>
      </c>
      <c r="G229" s="63" t="s">
        <v>28</v>
      </c>
      <c r="H229" s="63" t="s">
        <v>2854</v>
      </c>
      <c r="I229" s="63" t="s">
        <v>858</v>
      </c>
    </row>
    <row r="230" ht="11.25" customHeight="1">
      <c r="A230" s="63" t="s">
        <v>2253</v>
      </c>
      <c r="B230" s="63" t="s">
        <v>16</v>
      </c>
      <c r="C230" s="63" t="s">
        <v>2438</v>
      </c>
      <c r="D230" s="63" t="s">
        <v>2439</v>
      </c>
      <c r="E230" s="63" t="s">
        <v>2440</v>
      </c>
      <c r="F230" s="63" t="s">
        <v>2301</v>
      </c>
      <c r="G230" s="63" t="s">
        <v>28</v>
      </c>
      <c r="H230" s="63" t="s">
        <v>28</v>
      </c>
      <c r="I230" s="63" t="s">
        <v>858</v>
      </c>
    </row>
    <row r="231" ht="11.25" customHeight="1">
      <c r="A231" s="63" t="s">
        <v>2253</v>
      </c>
      <c r="B231" s="63" t="s">
        <v>16</v>
      </c>
      <c r="C231" s="63" t="s">
        <v>2441</v>
      </c>
      <c r="D231" s="63" t="s">
        <v>2442</v>
      </c>
      <c r="E231" s="63" t="s">
        <v>2443</v>
      </c>
      <c r="F231" s="63" t="s">
        <v>2301</v>
      </c>
      <c r="G231" s="63" t="s">
        <v>2444</v>
      </c>
      <c r="H231" s="63" t="s">
        <v>28</v>
      </c>
      <c r="I231" s="63" t="s">
        <v>858</v>
      </c>
    </row>
    <row r="232" ht="11.25" customHeight="1">
      <c r="A232" s="63" t="s">
        <v>2253</v>
      </c>
      <c r="B232" s="63" t="s">
        <v>16</v>
      </c>
      <c r="C232" s="63" t="s">
        <v>2445</v>
      </c>
      <c r="D232" s="63" t="s">
        <v>2446</v>
      </c>
      <c r="E232" s="63" t="s">
        <v>2447</v>
      </c>
      <c r="F232" s="63" t="s">
        <v>2448</v>
      </c>
      <c r="G232" s="63" t="s">
        <v>28</v>
      </c>
      <c r="H232" s="63" t="s">
        <v>28</v>
      </c>
      <c r="I232" s="63" t="s">
        <v>858</v>
      </c>
    </row>
    <row r="233" ht="11.25" customHeight="1">
      <c r="A233" s="63" t="s">
        <v>2253</v>
      </c>
      <c r="B233" s="63" t="s">
        <v>16</v>
      </c>
      <c r="C233" s="63" t="s">
        <v>2855</v>
      </c>
      <c r="D233" s="63" t="s">
        <v>2856</v>
      </c>
      <c r="E233" s="63" t="s">
        <v>2857</v>
      </c>
      <c r="F233" s="63" t="s">
        <v>2371</v>
      </c>
      <c r="G233" s="63" t="s">
        <v>28</v>
      </c>
      <c r="H233" s="63" t="s">
        <v>28</v>
      </c>
      <c r="I233" s="63" t="s">
        <v>858</v>
      </c>
    </row>
    <row r="234" ht="11.25" customHeight="1">
      <c r="A234" s="63" t="s">
        <v>2253</v>
      </c>
      <c r="B234" s="63" t="s">
        <v>16</v>
      </c>
      <c r="C234" s="63" t="s">
        <v>2858</v>
      </c>
      <c r="D234" s="63" t="s">
        <v>2859</v>
      </c>
      <c r="E234" s="63" t="s">
        <v>2860</v>
      </c>
      <c r="F234" s="63" t="s">
        <v>2334</v>
      </c>
      <c r="G234" s="63" t="s">
        <v>2861</v>
      </c>
      <c r="H234" s="63" t="s">
        <v>28</v>
      </c>
      <c r="I234" s="63" t="s">
        <v>858</v>
      </c>
    </row>
    <row r="235" ht="11.25" customHeight="1">
      <c r="A235" s="63" t="s">
        <v>2253</v>
      </c>
      <c r="B235" s="63" t="s">
        <v>16</v>
      </c>
      <c r="C235" s="63" t="s">
        <v>2862</v>
      </c>
      <c r="D235" s="63" t="s">
        <v>2863</v>
      </c>
      <c r="E235" s="63" t="s">
        <v>2864</v>
      </c>
      <c r="F235" s="63" t="s">
        <v>2399</v>
      </c>
      <c r="G235" s="63" t="s">
        <v>2865</v>
      </c>
      <c r="H235" s="63" t="s">
        <v>28</v>
      </c>
      <c r="I235" s="63" t="s">
        <v>858</v>
      </c>
    </row>
    <row r="236" ht="11.25" customHeight="1">
      <c r="A236" s="63" t="s">
        <v>2253</v>
      </c>
      <c r="B236" s="63" t="s">
        <v>16</v>
      </c>
      <c r="C236" s="63" t="s">
        <v>2449</v>
      </c>
      <c r="D236" s="63" t="s">
        <v>2450</v>
      </c>
      <c r="E236" s="63" t="s">
        <v>2451</v>
      </c>
      <c r="F236" s="63" t="s">
        <v>2305</v>
      </c>
      <c r="G236" s="63" t="s">
        <v>28</v>
      </c>
      <c r="H236" s="63" t="s">
        <v>28</v>
      </c>
      <c r="I236" s="63" t="s">
        <v>858</v>
      </c>
    </row>
    <row r="237" ht="11.25" customHeight="1">
      <c r="A237" s="63" t="s">
        <v>2253</v>
      </c>
      <c r="B237" s="63" t="s">
        <v>16</v>
      </c>
      <c r="C237" s="63" t="s">
        <v>2866</v>
      </c>
      <c r="D237" s="63" t="s">
        <v>2867</v>
      </c>
      <c r="E237" s="63" t="s">
        <v>2868</v>
      </c>
      <c r="F237" s="63" t="s">
        <v>2822</v>
      </c>
      <c r="G237" s="63" t="s">
        <v>28</v>
      </c>
      <c r="H237" s="63" t="s">
        <v>28</v>
      </c>
      <c r="I237" s="63" t="s">
        <v>858</v>
      </c>
    </row>
    <row r="238" ht="11.25" customHeight="1">
      <c r="A238" s="63" t="s">
        <v>2253</v>
      </c>
      <c r="B238" s="63" t="s">
        <v>16</v>
      </c>
      <c r="C238" s="63" t="s">
        <v>2452</v>
      </c>
      <c r="D238" s="63" t="s">
        <v>2453</v>
      </c>
      <c r="E238" s="63" t="s">
        <v>2454</v>
      </c>
      <c r="F238" s="63" t="s">
        <v>2437</v>
      </c>
      <c r="G238" s="63" t="s">
        <v>28</v>
      </c>
      <c r="H238" s="63" t="s">
        <v>28</v>
      </c>
      <c r="I238" s="63" t="s">
        <v>858</v>
      </c>
    </row>
    <row r="239" ht="11.25" customHeight="1">
      <c r="A239" s="63" t="s">
        <v>2253</v>
      </c>
      <c r="B239" s="63" t="s">
        <v>16</v>
      </c>
      <c r="C239" s="63" t="s">
        <v>2869</v>
      </c>
      <c r="D239" s="63" t="s">
        <v>2870</v>
      </c>
      <c r="E239" s="63" t="s">
        <v>2871</v>
      </c>
      <c r="F239" s="63" t="s">
        <v>2334</v>
      </c>
      <c r="G239" s="63" t="s">
        <v>28</v>
      </c>
      <c r="H239" s="63" t="s">
        <v>28</v>
      </c>
      <c r="I239" s="63" t="s">
        <v>858</v>
      </c>
    </row>
    <row r="240" ht="11.25" customHeight="1">
      <c r="A240" s="63" t="s">
        <v>2253</v>
      </c>
      <c r="B240" s="63" t="s">
        <v>16</v>
      </c>
      <c r="C240" s="63" t="s">
        <v>2872</v>
      </c>
      <c r="D240" s="63" t="s">
        <v>2873</v>
      </c>
      <c r="E240" s="63" t="s">
        <v>2874</v>
      </c>
      <c r="F240" s="63" t="s">
        <v>2730</v>
      </c>
      <c r="G240" s="63" t="s">
        <v>28</v>
      </c>
      <c r="H240" s="63" t="s">
        <v>28</v>
      </c>
      <c r="I240" s="63" t="s">
        <v>858</v>
      </c>
    </row>
    <row r="241" ht="11.25" customHeight="1">
      <c r="A241" s="63" t="s">
        <v>2253</v>
      </c>
      <c r="B241" s="63" t="s">
        <v>16</v>
      </c>
      <c r="C241" s="63" t="s">
        <v>2875</v>
      </c>
      <c r="D241" s="63" t="s">
        <v>2876</v>
      </c>
      <c r="E241" s="63" t="s">
        <v>2877</v>
      </c>
      <c r="F241" s="63" t="s">
        <v>2260</v>
      </c>
      <c r="G241" s="63" t="s">
        <v>28</v>
      </c>
      <c r="H241" s="63" t="s">
        <v>28</v>
      </c>
      <c r="I241" s="63" t="s">
        <v>858</v>
      </c>
    </row>
    <row r="242" ht="11.25" customHeight="1">
      <c r="A242" s="63" t="s">
        <v>2253</v>
      </c>
      <c r="B242" s="63" t="s">
        <v>16</v>
      </c>
      <c r="C242" s="63" t="s">
        <v>2455</v>
      </c>
      <c r="D242" s="63" t="s">
        <v>2456</v>
      </c>
      <c r="E242" s="63" t="s">
        <v>2457</v>
      </c>
      <c r="F242" s="63" t="s">
        <v>2387</v>
      </c>
      <c r="G242" s="63" t="s">
        <v>28</v>
      </c>
      <c r="H242" s="63" t="s">
        <v>28</v>
      </c>
      <c r="I242" s="63" t="s">
        <v>858</v>
      </c>
    </row>
    <row r="243" ht="11.25" customHeight="1">
      <c r="A243" s="63" t="s">
        <v>2253</v>
      </c>
      <c r="B243" s="63" t="s">
        <v>16</v>
      </c>
      <c r="C243" s="63" t="s">
        <v>2878</v>
      </c>
      <c r="D243" s="63" t="s">
        <v>2879</v>
      </c>
      <c r="E243" s="63" t="s">
        <v>2880</v>
      </c>
      <c r="F243" s="63" t="s">
        <v>2730</v>
      </c>
      <c r="G243" s="63" t="s">
        <v>28</v>
      </c>
      <c r="H243" s="63" t="s">
        <v>28</v>
      </c>
      <c r="I243" s="63" t="s">
        <v>858</v>
      </c>
    </row>
    <row r="244" ht="11.25" customHeight="1">
      <c r="A244" s="63" t="s">
        <v>2253</v>
      </c>
      <c r="B244" s="63" t="s">
        <v>16</v>
      </c>
      <c r="C244" s="63" t="s">
        <v>2458</v>
      </c>
      <c r="D244" s="63" t="s">
        <v>2459</v>
      </c>
      <c r="E244" s="63" t="s">
        <v>2460</v>
      </c>
      <c r="F244" s="63" t="s">
        <v>2417</v>
      </c>
      <c r="G244" s="63" t="s">
        <v>28</v>
      </c>
      <c r="H244" s="63" t="s">
        <v>2274</v>
      </c>
      <c r="I244" s="63" t="s">
        <v>858</v>
      </c>
    </row>
    <row r="245" ht="11.25" customHeight="1">
      <c r="A245" s="63" t="s">
        <v>2253</v>
      </c>
      <c r="B245" s="63" t="s">
        <v>16</v>
      </c>
      <c r="C245" s="63" t="s">
        <v>2468</v>
      </c>
      <c r="D245" s="63" t="s">
        <v>2469</v>
      </c>
      <c r="E245" s="63" t="s">
        <v>2470</v>
      </c>
      <c r="F245" s="63" t="s">
        <v>2471</v>
      </c>
      <c r="G245" s="63" t="s">
        <v>28</v>
      </c>
      <c r="H245" s="63" t="s">
        <v>28</v>
      </c>
      <c r="I245" s="63" t="s">
        <v>858</v>
      </c>
    </row>
    <row r="246" ht="11.25" customHeight="1">
      <c r="A246" s="63" t="s">
        <v>2253</v>
      </c>
      <c r="B246" s="63" t="s">
        <v>16</v>
      </c>
      <c r="C246" s="63" t="s">
        <v>2881</v>
      </c>
      <c r="D246" s="63" t="s">
        <v>2882</v>
      </c>
      <c r="E246" s="63" t="s">
        <v>50</v>
      </c>
      <c r="F246" s="63" t="s">
        <v>2883</v>
      </c>
      <c r="G246" s="63" t="s">
        <v>28</v>
      </c>
      <c r="H246" s="63" t="s">
        <v>28</v>
      </c>
      <c r="I246" s="63" t="s">
        <v>858</v>
      </c>
    </row>
    <row r="247" ht="11.25" customHeight="1">
      <c r="A247" s="63" t="s">
        <v>2253</v>
      </c>
      <c r="B247" s="63" t="s">
        <v>16</v>
      </c>
      <c r="C247" s="63" t="s">
        <v>2884</v>
      </c>
      <c r="D247" s="63" t="s">
        <v>2885</v>
      </c>
      <c r="E247" s="63" t="s">
        <v>2886</v>
      </c>
      <c r="F247" s="63" t="s">
        <v>2260</v>
      </c>
      <c r="G247" s="63" t="s">
        <v>28</v>
      </c>
      <c r="H247" s="63" t="s">
        <v>28</v>
      </c>
      <c r="I247" s="63" t="s">
        <v>858</v>
      </c>
    </row>
    <row r="248" ht="11.25" customHeight="1">
      <c r="A248" s="63" t="s">
        <v>2253</v>
      </c>
      <c r="B248" s="63" t="s">
        <v>16</v>
      </c>
      <c r="C248" s="63" t="s">
        <v>2489</v>
      </c>
      <c r="D248" s="63" t="s">
        <v>2490</v>
      </c>
      <c r="E248" s="63" t="s">
        <v>2491</v>
      </c>
      <c r="F248" s="63" t="s">
        <v>2301</v>
      </c>
      <c r="G248" s="63" t="s">
        <v>28</v>
      </c>
      <c r="H248" s="63" t="s">
        <v>28</v>
      </c>
      <c r="I248" s="63" t="s">
        <v>858</v>
      </c>
    </row>
    <row r="249" ht="11.25" customHeight="1">
      <c r="A249" s="63" t="s">
        <v>2253</v>
      </c>
      <c r="B249" s="63" t="s">
        <v>16</v>
      </c>
      <c r="C249" s="63" t="s">
        <v>2887</v>
      </c>
      <c r="D249" s="63" t="s">
        <v>2888</v>
      </c>
      <c r="E249" s="63" t="s">
        <v>2889</v>
      </c>
      <c r="F249" s="63" t="s">
        <v>2317</v>
      </c>
      <c r="G249" s="63" t="s">
        <v>2890</v>
      </c>
      <c r="H249" s="63" t="s">
        <v>28</v>
      </c>
      <c r="I249" s="63" t="s">
        <v>858</v>
      </c>
    </row>
    <row r="250" ht="11.25" customHeight="1">
      <c r="A250" s="63" t="s">
        <v>2253</v>
      </c>
      <c r="B250" s="63" t="s">
        <v>16</v>
      </c>
      <c r="C250" s="63" t="s">
        <v>2891</v>
      </c>
      <c r="D250" s="63" t="s">
        <v>2892</v>
      </c>
      <c r="E250" s="63" t="s">
        <v>2893</v>
      </c>
      <c r="F250" s="63" t="s">
        <v>2268</v>
      </c>
      <c r="G250" s="63" t="s">
        <v>2894</v>
      </c>
      <c r="H250" s="63" t="s">
        <v>28</v>
      </c>
      <c r="I250" s="63" t="s">
        <v>858</v>
      </c>
    </row>
    <row r="251" ht="11.25" customHeight="1">
      <c r="A251" s="63" t="s">
        <v>2253</v>
      </c>
      <c r="B251" s="63" t="s">
        <v>16</v>
      </c>
      <c r="C251" s="63" t="s">
        <v>2895</v>
      </c>
      <c r="D251" s="63" t="s">
        <v>2896</v>
      </c>
      <c r="E251" s="63" t="s">
        <v>2897</v>
      </c>
      <c r="F251" s="63" t="s">
        <v>2898</v>
      </c>
      <c r="G251" s="63" t="s">
        <v>28</v>
      </c>
      <c r="H251" s="63" t="s">
        <v>28</v>
      </c>
      <c r="I251" s="63" t="s">
        <v>858</v>
      </c>
    </row>
    <row r="252" ht="11.25" customHeight="1">
      <c r="A252" s="63" t="s">
        <v>2253</v>
      </c>
      <c r="B252" s="63" t="s">
        <v>16</v>
      </c>
      <c r="C252" s="63" t="s">
        <v>2899</v>
      </c>
      <c r="D252" s="63" t="s">
        <v>2900</v>
      </c>
      <c r="E252" s="63" t="s">
        <v>2901</v>
      </c>
      <c r="F252" s="63" t="s">
        <v>2902</v>
      </c>
      <c r="G252" s="63" t="s">
        <v>28</v>
      </c>
      <c r="H252" s="63" t="s">
        <v>2903</v>
      </c>
      <c r="I252" s="63" t="s">
        <v>858</v>
      </c>
    </row>
    <row r="253" ht="11.25" customHeight="1">
      <c r="A253" s="63" t="s">
        <v>2253</v>
      </c>
      <c r="B253" s="63" t="s">
        <v>16</v>
      </c>
      <c r="C253" s="63" t="s">
        <v>2904</v>
      </c>
      <c r="D253" s="63" t="s">
        <v>2905</v>
      </c>
      <c r="E253" s="63" t="s">
        <v>2906</v>
      </c>
      <c r="F253" s="63" t="s">
        <v>2264</v>
      </c>
      <c r="G253" s="63" t="s">
        <v>2907</v>
      </c>
      <c r="H253" s="63" t="s">
        <v>28</v>
      </c>
      <c r="I253" s="63" t="s">
        <v>858</v>
      </c>
    </row>
    <row r="254" ht="11.25" customHeight="1">
      <c r="A254" s="63" t="s">
        <v>2253</v>
      </c>
      <c r="B254" s="63" t="s">
        <v>16</v>
      </c>
      <c r="C254" s="63" t="s">
        <v>2908</v>
      </c>
      <c r="D254" s="63" t="s">
        <v>2909</v>
      </c>
      <c r="E254" s="63" t="s">
        <v>2910</v>
      </c>
      <c r="F254" s="63" t="s">
        <v>2293</v>
      </c>
      <c r="G254" s="63" t="s">
        <v>28</v>
      </c>
      <c r="H254" s="63" t="s">
        <v>28</v>
      </c>
      <c r="I254" s="63" t="s">
        <v>858</v>
      </c>
    </row>
    <row r="255" ht="11.25" customHeight="1">
      <c r="A255" s="63" t="s">
        <v>2253</v>
      </c>
      <c r="B255" s="63" t="s">
        <v>16</v>
      </c>
      <c r="C255" s="63" t="s">
        <v>2911</v>
      </c>
      <c r="D255" s="63" t="s">
        <v>2912</v>
      </c>
      <c r="E255" s="63" t="s">
        <v>2913</v>
      </c>
      <c r="F255" s="63" t="s">
        <v>2902</v>
      </c>
      <c r="G255" s="63" t="s">
        <v>28</v>
      </c>
      <c r="H255" s="63" t="s">
        <v>28</v>
      </c>
      <c r="I255" s="63" t="s">
        <v>858</v>
      </c>
    </row>
    <row r="256" ht="11.25" customHeight="1">
      <c r="A256" s="63" t="s">
        <v>2253</v>
      </c>
      <c r="B256" s="63" t="s">
        <v>16</v>
      </c>
      <c r="C256" s="63" t="s">
        <v>2914</v>
      </c>
      <c r="D256" s="63" t="s">
        <v>2915</v>
      </c>
      <c r="E256" s="63" t="s">
        <v>2916</v>
      </c>
      <c r="F256" s="63" t="s">
        <v>2703</v>
      </c>
      <c r="G256" s="63" t="s">
        <v>28</v>
      </c>
      <c r="H256" s="63" t="s">
        <v>28</v>
      </c>
      <c r="I256" s="63" t="s">
        <v>858</v>
      </c>
    </row>
    <row r="257" ht="11.25" customHeight="1">
      <c r="A257" s="63" t="s">
        <v>2253</v>
      </c>
      <c r="B257" s="63" t="s">
        <v>16</v>
      </c>
      <c r="C257" s="63" t="s">
        <v>2917</v>
      </c>
      <c r="D257" s="63" t="s">
        <v>2918</v>
      </c>
      <c r="E257" s="63" t="s">
        <v>2919</v>
      </c>
      <c r="F257" s="63" t="s">
        <v>2730</v>
      </c>
      <c r="G257" s="63" t="s">
        <v>2920</v>
      </c>
      <c r="H257" s="63" t="s">
        <v>28</v>
      </c>
      <c r="I257" s="63" t="s">
        <v>858</v>
      </c>
    </row>
    <row r="258" ht="11.25" customHeight="1">
      <c r="A258" s="63" t="s">
        <v>2253</v>
      </c>
      <c r="B258" s="63" t="s">
        <v>16</v>
      </c>
      <c r="C258" s="63" t="s">
        <v>2508</v>
      </c>
      <c r="D258" s="63" t="s">
        <v>2509</v>
      </c>
      <c r="E258" s="63" t="s">
        <v>2510</v>
      </c>
      <c r="F258" s="63" t="s">
        <v>2511</v>
      </c>
      <c r="G258" s="63" t="s">
        <v>2512</v>
      </c>
      <c r="H258" s="63" t="s">
        <v>2513</v>
      </c>
      <c r="I258" s="63" t="s">
        <v>858</v>
      </c>
    </row>
    <row r="259" ht="11.25" customHeight="1">
      <c r="A259" s="63" t="s">
        <v>2253</v>
      </c>
      <c r="B259" s="63" t="s">
        <v>16</v>
      </c>
      <c r="C259" s="63" t="s">
        <v>2921</v>
      </c>
      <c r="D259" s="63" t="s">
        <v>2922</v>
      </c>
      <c r="E259" s="63" t="s">
        <v>2923</v>
      </c>
      <c r="F259" s="63" t="s">
        <v>2305</v>
      </c>
      <c r="G259" s="63" t="s">
        <v>28</v>
      </c>
      <c r="H259" s="63" t="s">
        <v>28</v>
      </c>
      <c r="I259" s="63" t="s">
        <v>858</v>
      </c>
    </row>
    <row r="260" ht="11.25" customHeight="1">
      <c r="A260" s="63" t="s">
        <v>2253</v>
      </c>
      <c r="B260" s="63" t="s">
        <v>16</v>
      </c>
      <c r="C260" s="63" t="s">
        <v>2924</v>
      </c>
      <c r="D260" s="63" t="s">
        <v>2925</v>
      </c>
      <c r="E260" s="63" t="s">
        <v>2926</v>
      </c>
      <c r="F260" s="63" t="s">
        <v>2511</v>
      </c>
      <c r="G260" s="63" t="s">
        <v>28</v>
      </c>
      <c r="H260" s="63" t="s">
        <v>28</v>
      </c>
      <c r="I260" s="63" t="s">
        <v>858</v>
      </c>
    </row>
    <row r="261" ht="11.25" customHeight="1">
      <c r="A261" s="63" t="s">
        <v>2253</v>
      </c>
      <c r="B261" s="63" t="s">
        <v>16</v>
      </c>
      <c r="C261" s="63" t="s">
        <v>2927</v>
      </c>
      <c r="D261" s="63" t="s">
        <v>2928</v>
      </c>
      <c r="E261" s="63" t="s">
        <v>2929</v>
      </c>
      <c r="F261" s="63" t="s">
        <v>2305</v>
      </c>
      <c r="G261" s="63" t="s">
        <v>2930</v>
      </c>
      <c r="H261" s="63" t="s">
        <v>28</v>
      </c>
      <c r="I261" s="63" t="s">
        <v>858</v>
      </c>
    </row>
    <row r="262" ht="11.25" customHeight="1">
      <c r="A262" s="63" t="s">
        <v>2253</v>
      </c>
      <c r="B262" s="63" t="s">
        <v>16</v>
      </c>
      <c r="C262" s="63" t="s">
        <v>2931</v>
      </c>
      <c r="D262" s="63" t="s">
        <v>2932</v>
      </c>
      <c r="E262" s="63" t="s">
        <v>2933</v>
      </c>
      <c r="F262" s="63" t="s">
        <v>2334</v>
      </c>
      <c r="G262" s="63" t="s">
        <v>28</v>
      </c>
      <c r="H262" s="63" t="s">
        <v>2934</v>
      </c>
      <c r="I262" s="63" t="s">
        <v>858</v>
      </c>
    </row>
    <row r="263" ht="11.25" customHeight="1">
      <c r="A263" s="63" t="s">
        <v>2253</v>
      </c>
      <c r="B263" s="63" t="s">
        <v>16</v>
      </c>
      <c r="C263" s="63" t="s">
        <v>2935</v>
      </c>
      <c r="D263" s="63" t="s">
        <v>2936</v>
      </c>
      <c r="E263" s="63" t="s">
        <v>2937</v>
      </c>
      <c r="F263" s="63" t="s">
        <v>2256</v>
      </c>
      <c r="G263" s="63" t="s">
        <v>28</v>
      </c>
      <c r="H263" s="63" t="s">
        <v>28</v>
      </c>
      <c r="I263" s="63" t="s">
        <v>858</v>
      </c>
    </row>
    <row r="264" ht="11.25" customHeight="1">
      <c r="A264" s="63" t="s">
        <v>2253</v>
      </c>
      <c r="B264" s="63" t="s">
        <v>16</v>
      </c>
      <c r="C264" s="63" t="s">
        <v>2522</v>
      </c>
      <c r="D264" s="63" t="s">
        <v>2523</v>
      </c>
      <c r="E264" s="63" t="s">
        <v>2524</v>
      </c>
      <c r="F264" s="63" t="s">
        <v>2525</v>
      </c>
      <c r="G264" s="63" t="s">
        <v>28</v>
      </c>
      <c r="H264" s="63" t="s">
        <v>28</v>
      </c>
      <c r="I264" s="63" t="s">
        <v>858</v>
      </c>
    </row>
    <row r="265" ht="11.25" customHeight="1">
      <c r="A265" s="63" t="s">
        <v>2253</v>
      </c>
      <c r="B265" s="63" t="s">
        <v>16</v>
      </c>
      <c r="C265" s="63" t="s">
        <v>2938</v>
      </c>
      <c r="D265" s="63" t="s">
        <v>2939</v>
      </c>
      <c r="E265" s="63" t="s">
        <v>2940</v>
      </c>
      <c r="F265" s="63" t="s">
        <v>2260</v>
      </c>
      <c r="G265" s="63" t="s">
        <v>28</v>
      </c>
      <c r="H265" s="63" t="s">
        <v>28</v>
      </c>
      <c r="I265" s="63" t="s">
        <v>858</v>
      </c>
    </row>
    <row r="266" ht="11.25" customHeight="1">
      <c r="A266" s="63" t="s">
        <v>2253</v>
      </c>
      <c r="B266" s="63" t="s">
        <v>16</v>
      </c>
      <c r="C266" s="63" t="s">
        <v>2526</v>
      </c>
      <c r="D266" s="63" t="s">
        <v>2527</v>
      </c>
      <c r="E266" s="63" t="s">
        <v>2528</v>
      </c>
      <c r="F266" s="63" t="s">
        <v>2511</v>
      </c>
      <c r="G266" s="63" t="s">
        <v>28</v>
      </c>
      <c r="H266" s="63" t="s">
        <v>28</v>
      </c>
      <c r="I266" s="63" t="s">
        <v>858</v>
      </c>
    </row>
    <row r="267" ht="11.25" customHeight="1">
      <c r="A267" s="63" t="s">
        <v>2253</v>
      </c>
      <c r="B267" s="63" t="s">
        <v>16</v>
      </c>
      <c r="C267" s="63" t="s">
        <v>2532</v>
      </c>
      <c r="D267" s="63" t="s">
        <v>2533</v>
      </c>
      <c r="E267" s="63" t="s">
        <v>2534</v>
      </c>
      <c r="F267" s="63" t="s">
        <v>2511</v>
      </c>
      <c r="G267" s="63" t="s">
        <v>28</v>
      </c>
      <c r="H267" s="63" t="s">
        <v>28</v>
      </c>
      <c r="I267" s="63" t="s">
        <v>858</v>
      </c>
    </row>
    <row r="268" ht="11.25" customHeight="1">
      <c r="A268" s="63" t="s">
        <v>2253</v>
      </c>
      <c r="B268" s="63" t="s">
        <v>16</v>
      </c>
      <c r="C268" s="63" t="s">
        <v>2941</v>
      </c>
      <c r="D268" s="63" t="s">
        <v>2942</v>
      </c>
      <c r="E268" s="63" t="s">
        <v>2943</v>
      </c>
      <c r="F268" s="63" t="s">
        <v>2511</v>
      </c>
      <c r="G268" s="63" t="s">
        <v>28</v>
      </c>
      <c r="H268" s="63" t="s">
        <v>28</v>
      </c>
      <c r="I268" s="63" t="s">
        <v>858</v>
      </c>
    </row>
    <row r="269" ht="11.25" customHeight="1">
      <c r="A269" s="63" t="s">
        <v>2253</v>
      </c>
      <c r="B269" s="63" t="s">
        <v>16</v>
      </c>
      <c r="C269" s="63" t="s">
        <v>2944</v>
      </c>
      <c r="D269" s="63" t="s">
        <v>2945</v>
      </c>
      <c r="E269" s="63" t="s">
        <v>2946</v>
      </c>
      <c r="F269" s="63" t="s">
        <v>2387</v>
      </c>
      <c r="G269" s="63" t="s">
        <v>2947</v>
      </c>
      <c r="H269" s="63" t="s">
        <v>28</v>
      </c>
      <c r="I269" s="63" t="s">
        <v>858</v>
      </c>
    </row>
    <row r="270" ht="11.25" customHeight="1">
      <c r="A270" s="63" t="s">
        <v>2253</v>
      </c>
      <c r="B270" s="63" t="s">
        <v>16</v>
      </c>
      <c r="C270" s="63" t="s">
        <v>2948</v>
      </c>
      <c r="D270" s="63" t="s">
        <v>2949</v>
      </c>
      <c r="E270" s="63" t="s">
        <v>2950</v>
      </c>
      <c r="F270" s="63" t="s">
        <v>2260</v>
      </c>
      <c r="G270" s="63" t="s">
        <v>2951</v>
      </c>
      <c r="H270" s="63" t="s">
        <v>2952</v>
      </c>
      <c r="I270" s="63" t="s">
        <v>858</v>
      </c>
    </row>
    <row r="271" ht="11.25" customHeight="1">
      <c r="A271" s="63" t="s">
        <v>2253</v>
      </c>
      <c r="B271" s="63" t="s">
        <v>16</v>
      </c>
      <c r="C271" s="63" t="s">
        <v>2953</v>
      </c>
      <c r="D271" s="63" t="s">
        <v>2954</v>
      </c>
      <c r="E271" s="63" t="s">
        <v>2955</v>
      </c>
      <c r="F271" s="63" t="s">
        <v>2407</v>
      </c>
      <c r="G271" s="63" t="s">
        <v>28</v>
      </c>
      <c r="H271" s="63" t="s">
        <v>28</v>
      </c>
      <c r="I271" s="63" t="s">
        <v>858</v>
      </c>
    </row>
    <row r="272" ht="11.25" customHeight="1">
      <c r="A272" s="63" t="s">
        <v>2253</v>
      </c>
      <c r="B272" s="63" t="s">
        <v>16</v>
      </c>
      <c r="C272" s="63" t="s">
        <v>2956</v>
      </c>
      <c r="D272" s="63" t="s">
        <v>2957</v>
      </c>
      <c r="E272" s="63" t="s">
        <v>2958</v>
      </c>
      <c r="F272" s="63" t="s">
        <v>2730</v>
      </c>
      <c r="G272" s="63" t="s">
        <v>2959</v>
      </c>
      <c r="H272" s="63" t="s">
        <v>28</v>
      </c>
      <c r="I272" s="63" t="s">
        <v>858</v>
      </c>
    </row>
    <row r="273" ht="11.25" customHeight="1">
      <c r="A273" s="63" t="s">
        <v>2253</v>
      </c>
      <c r="B273" s="63" t="s">
        <v>16</v>
      </c>
      <c r="C273" s="63" t="s">
        <v>2960</v>
      </c>
      <c r="D273" s="63" t="s">
        <v>2961</v>
      </c>
      <c r="E273" s="63" t="s">
        <v>2962</v>
      </c>
      <c r="F273" s="63" t="s">
        <v>2326</v>
      </c>
      <c r="G273" s="63" t="s">
        <v>2963</v>
      </c>
      <c r="H273" s="63" t="s">
        <v>28</v>
      </c>
      <c r="I273" s="63" t="s">
        <v>858</v>
      </c>
    </row>
    <row r="274" ht="11.25" customHeight="1">
      <c r="A274" s="63" t="s">
        <v>2253</v>
      </c>
      <c r="B274" s="63" t="s">
        <v>16</v>
      </c>
      <c r="C274" s="63" t="s">
        <v>2964</v>
      </c>
      <c r="D274" s="63" t="s">
        <v>2965</v>
      </c>
      <c r="E274" s="63" t="s">
        <v>2966</v>
      </c>
      <c r="F274" s="63" t="s">
        <v>2268</v>
      </c>
      <c r="G274" s="63" t="s">
        <v>2967</v>
      </c>
      <c r="H274" s="63" t="s">
        <v>28</v>
      </c>
      <c r="I274" s="63" t="s">
        <v>858</v>
      </c>
    </row>
    <row r="275" ht="11.25" customHeight="1">
      <c r="A275" s="63" t="s">
        <v>2253</v>
      </c>
      <c r="B275" s="63" t="s">
        <v>16</v>
      </c>
      <c r="C275" s="63" t="s">
        <v>2544</v>
      </c>
      <c r="D275" s="63" t="s">
        <v>2545</v>
      </c>
      <c r="E275" s="63" t="s">
        <v>2546</v>
      </c>
      <c r="F275" s="63" t="s">
        <v>2511</v>
      </c>
      <c r="G275" s="63" t="s">
        <v>28</v>
      </c>
      <c r="H275" s="63" t="s">
        <v>28</v>
      </c>
      <c r="I275" s="63" t="s">
        <v>858</v>
      </c>
    </row>
    <row r="276" ht="11.25" customHeight="1">
      <c r="A276" s="63" t="s">
        <v>2253</v>
      </c>
      <c r="B276" s="63" t="s">
        <v>16</v>
      </c>
      <c r="C276" s="63" t="s">
        <v>2968</v>
      </c>
      <c r="D276" s="63" t="s">
        <v>2969</v>
      </c>
      <c r="E276" s="63" t="s">
        <v>2970</v>
      </c>
      <c r="F276" s="63" t="s">
        <v>2387</v>
      </c>
      <c r="G276" s="63" t="s">
        <v>28</v>
      </c>
      <c r="H276" s="63" t="s">
        <v>28</v>
      </c>
      <c r="I276" s="63" t="s">
        <v>858</v>
      </c>
    </row>
    <row r="277" ht="11.25" customHeight="1">
      <c r="A277" s="63" t="s">
        <v>2253</v>
      </c>
      <c r="B277" s="63" t="s">
        <v>16</v>
      </c>
      <c r="C277" s="63" t="s">
        <v>2971</v>
      </c>
      <c r="D277" s="63" t="s">
        <v>2972</v>
      </c>
      <c r="E277" s="63" t="s">
        <v>2973</v>
      </c>
      <c r="F277" s="63" t="s">
        <v>2317</v>
      </c>
      <c r="G277" s="63" t="s">
        <v>2974</v>
      </c>
      <c r="H277" s="63" t="s">
        <v>28</v>
      </c>
      <c r="I277" s="63" t="s">
        <v>858</v>
      </c>
    </row>
    <row r="278" ht="11.25" customHeight="1">
      <c r="A278" s="63" t="s">
        <v>2253</v>
      </c>
      <c r="B278" s="63" t="s">
        <v>16</v>
      </c>
      <c r="C278" s="63" t="s">
        <v>2565</v>
      </c>
      <c r="D278" s="63" t="s">
        <v>2566</v>
      </c>
      <c r="E278" s="63" t="s">
        <v>2567</v>
      </c>
      <c r="F278" s="63" t="s">
        <v>2305</v>
      </c>
      <c r="G278" s="63" t="s">
        <v>28</v>
      </c>
      <c r="H278" s="63" t="s">
        <v>28</v>
      </c>
      <c r="I278" s="63" t="s">
        <v>858</v>
      </c>
    </row>
    <row r="279" ht="11.25" customHeight="1">
      <c r="A279" s="63" t="s">
        <v>2253</v>
      </c>
      <c r="B279" s="63" t="s">
        <v>16</v>
      </c>
      <c r="C279" s="63" t="s">
        <v>2568</v>
      </c>
      <c r="D279" s="63" t="s">
        <v>2569</v>
      </c>
      <c r="E279" s="63" t="s">
        <v>2570</v>
      </c>
      <c r="F279" s="63" t="s">
        <v>2260</v>
      </c>
      <c r="G279" s="63" t="s">
        <v>28</v>
      </c>
      <c r="H279" s="63" t="s">
        <v>28</v>
      </c>
      <c r="I279" s="63" t="s">
        <v>858</v>
      </c>
    </row>
    <row r="280" ht="11.25" customHeight="1">
      <c r="A280" s="63" t="s">
        <v>2253</v>
      </c>
      <c r="B280" s="63" t="s">
        <v>16</v>
      </c>
      <c r="C280" s="63" t="s">
        <v>2583</v>
      </c>
      <c r="D280" s="63" t="s">
        <v>2584</v>
      </c>
      <c r="E280" s="63" t="s">
        <v>2585</v>
      </c>
      <c r="F280" s="63" t="s">
        <v>2478</v>
      </c>
      <c r="G280" s="63" t="s">
        <v>2586</v>
      </c>
      <c r="H280" s="63" t="s">
        <v>28</v>
      </c>
      <c r="I280" s="63" t="s">
        <v>858</v>
      </c>
    </row>
    <row r="281" ht="11.25" customHeight="1">
      <c r="A281" s="63" t="s">
        <v>2253</v>
      </c>
      <c r="B281" s="63" t="s">
        <v>16</v>
      </c>
      <c r="C281" s="63" t="s">
        <v>2975</v>
      </c>
      <c r="D281" s="63" t="s">
        <v>2976</v>
      </c>
      <c r="E281" s="63" t="s">
        <v>2977</v>
      </c>
      <c r="F281" s="63" t="s">
        <v>2326</v>
      </c>
      <c r="G281" s="63" t="s">
        <v>2978</v>
      </c>
      <c r="H281" s="63" t="s">
        <v>2979</v>
      </c>
      <c r="I281" s="63" t="s">
        <v>858</v>
      </c>
    </row>
    <row r="282" ht="11.25" customHeight="1">
      <c r="A282" s="63" t="s">
        <v>2253</v>
      </c>
      <c r="B282" s="63" t="s">
        <v>16</v>
      </c>
      <c r="C282" s="63" t="s">
        <v>2980</v>
      </c>
      <c r="D282" s="63" t="s">
        <v>2981</v>
      </c>
      <c r="E282" s="63" t="s">
        <v>2982</v>
      </c>
      <c r="F282" s="63" t="s">
        <v>2464</v>
      </c>
      <c r="G282" s="63" t="s">
        <v>28</v>
      </c>
      <c r="H282" s="63" t="s">
        <v>28</v>
      </c>
      <c r="I282" s="63" t="s">
        <v>858</v>
      </c>
    </row>
    <row r="283" ht="11.25" customHeight="1">
      <c r="A283" s="63" t="s">
        <v>2253</v>
      </c>
      <c r="B283" s="63" t="s">
        <v>16</v>
      </c>
      <c r="C283" s="63" t="s">
        <v>2983</v>
      </c>
      <c r="D283" s="63" t="s">
        <v>2984</v>
      </c>
      <c r="E283" s="63" t="s">
        <v>2985</v>
      </c>
      <c r="F283" s="63" t="s">
        <v>2407</v>
      </c>
      <c r="G283" s="63" t="s">
        <v>28</v>
      </c>
      <c r="H283" s="63" t="s">
        <v>28</v>
      </c>
      <c r="I283" s="63" t="s">
        <v>858</v>
      </c>
    </row>
    <row r="284" ht="11.25" customHeight="1">
      <c r="A284" s="63" t="s">
        <v>2253</v>
      </c>
      <c r="B284" s="63" t="s">
        <v>16</v>
      </c>
      <c r="C284" s="63" t="s">
        <v>2603</v>
      </c>
      <c r="D284" s="63" t="s">
        <v>2604</v>
      </c>
      <c r="E284" s="63" t="s">
        <v>2605</v>
      </c>
      <c r="F284" s="63" t="s">
        <v>2260</v>
      </c>
      <c r="G284" s="63" t="s">
        <v>28</v>
      </c>
      <c r="H284" s="63" t="s">
        <v>28</v>
      </c>
      <c r="I284" s="63" t="s">
        <v>858</v>
      </c>
    </row>
    <row r="285" ht="11.25" customHeight="1">
      <c r="A285" s="63" t="s">
        <v>2253</v>
      </c>
      <c r="B285" s="63" t="s">
        <v>16</v>
      </c>
      <c r="C285" s="63" t="s">
        <v>2986</v>
      </c>
      <c r="D285" s="63" t="s">
        <v>2987</v>
      </c>
      <c r="E285" s="63" t="s">
        <v>2988</v>
      </c>
      <c r="F285" s="63" t="s">
        <v>2989</v>
      </c>
      <c r="G285" s="63" t="s">
        <v>28</v>
      </c>
      <c r="H285" s="63" t="s">
        <v>28</v>
      </c>
      <c r="I285" s="63" t="s">
        <v>858</v>
      </c>
    </row>
    <row r="286" ht="11.25" customHeight="1">
      <c r="A286" s="63" t="s">
        <v>2253</v>
      </c>
      <c r="B286" s="63" t="s">
        <v>16</v>
      </c>
      <c r="C286" s="63" t="s">
        <v>2990</v>
      </c>
      <c r="D286" s="63" t="s">
        <v>2991</v>
      </c>
      <c r="E286" s="63" t="s">
        <v>2992</v>
      </c>
      <c r="F286" s="63" t="s">
        <v>2478</v>
      </c>
      <c r="G286" s="63" t="s">
        <v>28</v>
      </c>
      <c r="H286" s="63" t="s">
        <v>28</v>
      </c>
      <c r="I286" s="63" t="s">
        <v>858</v>
      </c>
    </row>
    <row r="287" ht="11.25" customHeight="1">
      <c r="A287" s="63" t="s">
        <v>2253</v>
      </c>
      <c r="B287" s="63" t="s">
        <v>16</v>
      </c>
      <c r="C287" s="63" t="s">
        <v>2993</v>
      </c>
      <c r="D287" s="63" t="s">
        <v>2994</v>
      </c>
      <c r="E287" s="63" t="s">
        <v>2995</v>
      </c>
      <c r="F287" s="63" t="s">
        <v>2293</v>
      </c>
      <c r="G287" s="63" t="s">
        <v>28</v>
      </c>
      <c r="H287" s="63" t="s">
        <v>28</v>
      </c>
      <c r="I287" s="63" t="s">
        <v>858</v>
      </c>
    </row>
    <row r="288" ht="11.25" customHeight="1">
      <c r="A288" s="63" t="s">
        <v>2253</v>
      </c>
      <c r="B288" s="63" t="s">
        <v>16</v>
      </c>
      <c r="C288" s="63" t="s">
        <v>2606</v>
      </c>
      <c r="D288" s="63" t="s">
        <v>2607</v>
      </c>
      <c r="E288" s="63" t="s">
        <v>2608</v>
      </c>
      <c r="F288" s="63" t="s">
        <v>2387</v>
      </c>
      <c r="G288" s="63" t="s">
        <v>2327</v>
      </c>
      <c r="H288" s="63" t="s">
        <v>28</v>
      </c>
      <c r="I288" s="63" t="s">
        <v>858</v>
      </c>
    </row>
    <row r="289" ht="11.25" customHeight="1">
      <c r="A289" s="63" t="s">
        <v>2253</v>
      </c>
      <c r="B289" s="63" t="s">
        <v>16</v>
      </c>
      <c r="C289" s="63" t="s">
        <v>2996</v>
      </c>
      <c r="D289" s="63" t="s">
        <v>2997</v>
      </c>
      <c r="E289" s="63" t="s">
        <v>2998</v>
      </c>
      <c r="F289" s="63" t="s">
        <v>2407</v>
      </c>
      <c r="G289" s="63" t="s">
        <v>2999</v>
      </c>
      <c r="H289" s="63" t="s">
        <v>3000</v>
      </c>
      <c r="I289" s="63" t="s">
        <v>858</v>
      </c>
    </row>
    <row r="290" ht="11.25" customHeight="1">
      <c r="A290" s="63" t="s">
        <v>2253</v>
      </c>
      <c r="B290" s="63" t="s">
        <v>16</v>
      </c>
      <c r="C290" s="63" t="s">
        <v>3001</v>
      </c>
      <c r="D290" s="63" t="s">
        <v>3002</v>
      </c>
      <c r="E290" s="63" t="s">
        <v>3003</v>
      </c>
      <c r="F290" s="63" t="s">
        <v>2407</v>
      </c>
      <c r="G290" s="63" t="s">
        <v>28</v>
      </c>
      <c r="H290" s="63" t="s">
        <v>2934</v>
      </c>
      <c r="I290" s="63" t="s">
        <v>858</v>
      </c>
    </row>
    <row r="291" ht="11.25" customHeight="1">
      <c r="A291" s="63" t="s">
        <v>2253</v>
      </c>
      <c r="B291" s="63" t="s">
        <v>16</v>
      </c>
      <c r="C291" s="63" t="s">
        <v>3004</v>
      </c>
      <c r="D291" s="63" t="s">
        <v>3005</v>
      </c>
      <c r="E291" s="63" t="s">
        <v>3006</v>
      </c>
      <c r="F291" s="63" t="s">
        <v>2387</v>
      </c>
      <c r="G291" s="63" t="s">
        <v>3007</v>
      </c>
      <c r="H291" s="63" t="s">
        <v>28</v>
      </c>
      <c r="I291" s="63" t="s">
        <v>858</v>
      </c>
    </row>
    <row r="292" ht="11.25" customHeight="1">
      <c r="A292" s="63" t="s">
        <v>2253</v>
      </c>
      <c r="B292" s="63" t="s">
        <v>16</v>
      </c>
      <c r="C292" s="63" t="s">
        <v>2615</v>
      </c>
      <c r="D292" s="63" t="s">
        <v>2616</v>
      </c>
      <c r="E292" s="63" t="s">
        <v>2617</v>
      </c>
      <c r="F292" s="63" t="s">
        <v>2618</v>
      </c>
      <c r="G292" s="63" t="s">
        <v>28</v>
      </c>
      <c r="H292" s="63" t="s">
        <v>2619</v>
      </c>
      <c r="I292" s="63" t="s">
        <v>858</v>
      </c>
    </row>
    <row r="293" ht="11.25" customHeight="1">
      <c r="A293" s="63" t="s">
        <v>2253</v>
      </c>
      <c r="B293" s="63" t="s">
        <v>16</v>
      </c>
      <c r="C293" s="63" t="s">
        <v>3008</v>
      </c>
      <c r="D293" s="63" t="s">
        <v>3009</v>
      </c>
      <c r="E293" s="63" t="s">
        <v>3010</v>
      </c>
      <c r="F293" s="63" t="s">
        <v>2326</v>
      </c>
      <c r="G293" s="63" t="s">
        <v>28</v>
      </c>
      <c r="H293" s="63" t="s">
        <v>28</v>
      </c>
      <c r="I293" s="63" t="s">
        <v>858</v>
      </c>
    </row>
    <row r="294" ht="11.25" customHeight="1">
      <c r="A294" s="63" t="s">
        <v>2253</v>
      </c>
      <c r="B294" s="63" t="s">
        <v>16</v>
      </c>
      <c r="C294" s="63" t="s">
        <v>2638</v>
      </c>
      <c r="D294" s="63" t="s">
        <v>2639</v>
      </c>
      <c r="E294" s="63" t="s">
        <v>2640</v>
      </c>
      <c r="F294" s="63" t="s">
        <v>2641</v>
      </c>
      <c r="G294" s="63" t="s">
        <v>28</v>
      </c>
      <c r="H294" s="63" t="s">
        <v>28</v>
      </c>
      <c r="I294" s="63" t="s">
        <v>858</v>
      </c>
    </row>
    <row r="295" ht="11.25" customHeight="1">
      <c r="A295" s="63" t="s">
        <v>2253</v>
      </c>
      <c r="B295" s="63" t="s">
        <v>16</v>
      </c>
      <c r="C295" s="63" t="s">
        <v>3011</v>
      </c>
      <c r="D295" s="63" t="s">
        <v>3012</v>
      </c>
      <c r="E295" s="63" t="s">
        <v>3013</v>
      </c>
      <c r="F295" s="63" t="s">
        <v>2293</v>
      </c>
      <c r="G295" s="63" t="s">
        <v>28</v>
      </c>
      <c r="H295" s="63" t="s">
        <v>3014</v>
      </c>
      <c r="I295" s="63" t="s">
        <v>858</v>
      </c>
    </row>
    <row r="296" ht="11.25" customHeight="1">
      <c r="A296" s="63" t="s">
        <v>2253</v>
      </c>
      <c r="B296" s="63" t="s">
        <v>16</v>
      </c>
      <c r="C296" s="63" t="s">
        <v>3015</v>
      </c>
      <c r="D296" s="63" t="s">
        <v>3016</v>
      </c>
      <c r="E296" s="63" t="s">
        <v>3017</v>
      </c>
      <c r="F296" s="63" t="s">
        <v>2326</v>
      </c>
      <c r="G296" s="63" t="s">
        <v>28</v>
      </c>
      <c r="H296" s="63" t="s">
        <v>2934</v>
      </c>
      <c r="I296" s="63" t="s">
        <v>858</v>
      </c>
    </row>
    <row r="297" ht="11.25" customHeight="1">
      <c r="A297" s="63" t="s">
        <v>2253</v>
      </c>
      <c r="B297" s="63" t="s">
        <v>16</v>
      </c>
      <c r="C297" s="63" t="s">
        <v>3018</v>
      </c>
      <c r="D297" s="63" t="s">
        <v>3019</v>
      </c>
      <c r="E297" s="63" t="s">
        <v>3020</v>
      </c>
      <c r="F297" s="63" t="s">
        <v>2511</v>
      </c>
      <c r="G297" s="63" t="s">
        <v>28</v>
      </c>
      <c r="H297" s="63" t="s">
        <v>28</v>
      </c>
      <c r="I297" s="63" t="s">
        <v>858</v>
      </c>
    </row>
    <row r="298" ht="11.25" customHeight="1">
      <c r="A298" s="63" t="s">
        <v>2253</v>
      </c>
      <c r="B298" s="63" t="s">
        <v>16</v>
      </c>
      <c r="C298" s="63" t="s">
        <v>3021</v>
      </c>
      <c r="D298" s="63" t="s">
        <v>3022</v>
      </c>
      <c r="E298" s="63" t="s">
        <v>3023</v>
      </c>
      <c r="F298" s="63" t="s">
        <v>3024</v>
      </c>
      <c r="G298" s="63" t="s">
        <v>28</v>
      </c>
      <c r="H298" s="63" t="s">
        <v>3025</v>
      </c>
      <c r="I298" s="63" t="s">
        <v>858</v>
      </c>
    </row>
    <row r="299" ht="11.25" customHeight="1">
      <c r="A299" s="63" t="s">
        <v>2253</v>
      </c>
      <c r="B299" s="63" t="s">
        <v>16</v>
      </c>
      <c r="C299" s="63" t="s">
        <v>3026</v>
      </c>
      <c r="D299" s="63" t="s">
        <v>3027</v>
      </c>
      <c r="E299" s="63" t="s">
        <v>3028</v>
      </c>
      <c r="F299" s="63" t="s">
        <v>2260</v>
      </c>
      <c r="G299" s="63" t="s">
        <v>28</v>
      </c>
      <c r="H299" s="63" t="s">
        <v>3029</v>
      </c>
      <c r="I299" s="63" t="s">
        <v>858</v>
      </c>
    </row>
    <row r="300" ht="11.25" customHeight="1">
      <c r="A300" s="63" t="s">
        <v>2253</v>
      </c>
      <c r="B300" s="63" t="s">
        <v>16</v>
      </c>
      <c r="C300" s="63" t="s">
        <v>3030</v>
      </c>
      <c r="D300" s="63" t="s">
        <v>3031</v>
      </c>
      <c r="E300" s="63" t="s">
        <v>3032</v>
      </c>
      <c r="F300" s="63" t="s">
        <v>3033</v>
      </c>
      <c r="G300" s="63" t="s">
        <v>28</v>
      </c>
      <c r="H300" s="63" t="s">
        <v>2934</v>
      </c>
      <c r="I300" s="63" t="s">
        <v>858</v>
      </c>
    </row>
    <row r="301" ht="11.25" customHeight="1">
      <c r="A301" s="63" t="s">
        <v>2253</v>
      </c>
      <c r="B301" s="63" t="s">
        <v>16</v>
      </c>
      <c r="C301" s="63" t="s">
        <v>3034</v>
      </c>
      <c r="D301" s="63" t="s">
        <v>3035</v>
      </c>
      <c r="E301" s="63" t="s">
        <v>3036</v>
      </c>
      <c r="F301" s="63" t="s">
        <v>2618</v>
      </c>
      <c r="G301" s="63" t="s">
        <v>28</v>
      </c>
      <c r="H301" s="63" t="s">
        <v>28</v>
      </c>
      <c r="I301" s="63" t="s">
        <v>858</v>
      </c>
    </row>
    <row r="302" ht="11.25" customHeight="1">
      <c r="A302" s="63" t="s">
        <v>2253</v>
      </c>
      <c r="B302" s="63" t="s">
        <v>16</v>
      </c>
      <c r="C302" s="63" t="s">
        <v>3037</v>
      </c>
      <c r="D302" s="63" t="s">
        <v>3038</v>
      </c>
      <c r="E302" s="63" t="s">
        <v>3039</v>
      </c>
      <c r="F302" s="63" t="s">
        <v>2371</v>
      </c>
      <c r="G302" s="63" t="s">
        <v>28</v>
      </c>
      <c r="H302" s="63" t="s">
        <v>28</v>
      </c>
      <c r="I302" s="63" t="s">
        <v>858</v>
      </c>
    </row>
    <row r="303" ht="11.25" customHeight="1">
      <c r="A303" s="63" t="s">
        <v>2253</v>
      </c>
      <c r="B303" s="63" t="s">
        <v>16</v>
      </c>
      <c r="C303" s="63" t="s">
        <v>3040</v>
      </c>
      <c r="D303" s="63" t="s">
        <v>3041</v>
      </c>
      <c r="E303" s="63" t="s">
        <v>3042</v>
      </c>
      <c r="F303" s="63" t="s">
        <v>2256</v>
      </c>
      <c r="G303" s="63" t="s">
        <v>28</v>
      </c>
      <c r="H303" s="63" t="s">
        <v>28</v>
      </c>
      <c r="I303" s="63" t="s">
        <v>858</v>
      </c>
    </row>
    <row r="304" ht="11.25" customHeight="1">
      <c r="A304" s="63" t="s">
        <v>2253</v>
      </c>
      <c r="B304" s="63" t="s">
        <v>16</v>
      </c>
      <c r="C304" s="63" t="s">
        <v>3043</v>
      </c>
      <c r="D304" s="63" t="s">
        <v>3044</v>
      </c>
      <c r="E304" s="63" t="s">
        <v>3045</v>
      </c>
      <c r="F304" s="63" t="s">
        <v>2326</v>
      </c>
      <c r="G304" s="63" t="s">
        <v>28</v>
      </c>
      <c r="H304" s="63" t="s">
        <v>28</v>
      </c>
      <c r="I304" s="63" t="s">
        <v>858</v>
      </c>
    </row>
    <row r="305" ht="11.25" customHeight="1">
      <c r="A305" s="63" t="s">
        <v>2253</v>
      </c>
      <c r="B305" s="63" t="s">
        <v>16</v>
      </c>
      <c r="C305" s="63" t="s">
        <v>3046</v>
      </c>
      <c r="D305" s="63" t="s">
        <v>3047</v>
      </c>
      <c r="E305" s="63" t="s">
        <v>3048</v>
      </c>
      <c r="F305" s="63" t="s">
        <v>2317</v>
      </c>
      <c r="G305" s="63" t="s">
        <v>3049</v>
      </c>
      <c r="H305" s="63" t="s">
        <v>28</v>
      </c>
      <c r="I305" s="63" t="s">
        <v>858</v>
      </c>
    </row>
    <row r="306" ht="11.25" customHeight="1">
      <c r="A306" s="63" t="s">
        <v>2253</v>
      </c>
      <c r="B306" s="63" t="s">
        <v>16</v>
      </c>
      <c r="C306" s="63" t="s">
        <v>3050</v>
      </c>
      <c r="D306" s="63" t="s">
        <v>3051</v>
      </c>
      <c r="E306" s="63" t="s">
        <v>2255</v>
      </c>
      <c r="F306" s="63" t="s">
        <v>2256</v>
      </c>
      <c r="G306" s="63" t="s">
        <v>28</v>
      </c>
      <c r="H306" s="63" t="s">
        <v>28</v>
      </c>
      <c r="I306" s="63" t="s">
        <v>858</v>
      </c>
    </row>
    <row r="307" ht="11.25" customHeight="1">
      <c r="A307" s="63" t="s">
        <v>2253</v>
      </c>
      <c r="B307" s="63" t="s">
        <v>16</v>
      </c>
      <c r="C307" s="63" t="s">
        <v>3052</v>
      </c>
      <c r="D307" s="63" t="s">
        <v>3053</v>
      </c>
      <c r="E307" s="63" t="s">
        <v>3054</v>
      </c>
      <c r="F307" s="63" t="s">
        <v>2260</v>
      </c>
      <c r="G307" s="63" t="s">
        <v>28</v>
      </c>
      <c r="H307" s="63" t="s">
        <v>28</v>
      </c>
      <c r="I307" s="63" t="s">
        <v>858</v>
      </c>
    </row>
    <row r="308" ht="11.25" customHeight="1">
      <c r="A308" s="63" t="s">
        <v>2253</v>
      </c>
      <c r="B308" s="63" t="s">
        <v>16</v>
      </c>
      <c r="C308" s="63" t="s">
        <v>3055</v>
      </c>
      <c r="D308" s="63" t="s">
        <v>3056</v>
      </c>
      <c r="E308" s="63" t="s">
        <v>3057</v>
      </c>
      <c r="F308" s="63" t="s">
        <v>2260</v>
      </c>
      <c r="G308" s="63" t="s">
        <v>28</v>
      </c>
      <c r="H308" s="63" t="s">
        <v>28</v>
      </c>
      <c r="I308" s="63" t="s">
        <v>858</v>
      </c>
    </row>
    <row r="309" ht="11.25" customHeight="1">
      <c r="A309" s="63" t="s">
        <v>2253</v>
      </c>
      <c r="B309" s="63" t="s">
        <v>16</v>
      </c>
      <c r="C309" s="63" t="s">
        <v>2645</v>
      </c>
      <c r="D309" s="63" t="s">
        <v>2646</v>
      </c>
      <c r="E309" s="63" t="s">
        <v>2647</v>
      </c>
      <c r="F309" s="63" t="s">
        <v>2278</v>
      </c>
      <c r="G309" s="63" t="s">
        <v>28</v>
      </c>
      <c r="H309" s="63" t="s">
        <v>28</v>
      </c>
      <c r="I309" s="63" t="s">
        <v>858</v>
      </c>
    </row>
    <row r="310" ht="11.25" customHeight="1">
      <c r="A310" s="63" t="s">
        <v>2253</v>
      </c>
      <c r="B310" s="63" t="s">
        <v>16</v>
      </c>
      <c r="C310" s="63" t="s">
        <v>2656</v>
      </c>
      <c r="D310" s="63" t="s">
        <v>2657</v>
      </c>
      <c r="E310" s="63" t="s">
        <v>2658</v>
      </c>
      <c r="F310" s="63" t="s">
        <v>2618</v>
      </c>
      <c r="G310" s="63" t="s">
        <v>2659</v>
      </c>
      <c r="H310" s="63" t="s">
        <v>28</v>
      </c>
      <c r="I310" s="63" t="s">
        <v>858</v>
      </c>
    </row>
    <row r="311" ht="11.25" customHeight="1">
      <c r="A311" s="63" t="s">
        <v>2253</v>
      </c>
      <c r="B311" s="63" t="s">
        <v>16</v>
      </c>
      <c r="C311" s="63" t="s">
        <v>2660</v>
      </c>
      <c r="D311" s="63" t="s">
        <v>2661</v>
      </c>
      <c r="E311" s="63" t="s">
        <v>2662</v>
      </c>
      <c r="F311" s="63" t="s">
        <v>2317</v>
      </c>
      <c r="G311" s="63" t="s">
        <v>2663</v>
      </c>
      <c r="H311" s="63" t="s">
        <v>28</v>
      </c>
      <c r="I311" s="63" t="s">
        <v>858</v>
      </c>
    </row>
    <row r="312" ht="11.25" customHeight="1">
      <c r="A312" s="63" t="s">
        <v>2253</v>
      </c>
      <c r="B312" s="63" t="s">
        <v>16</v>
      </c>
      <c r="C312" s="63" t="s">
        <v>3058</v>
      </c>
      <c r="D312" s="63" t="s">
        <v>3059</v>
      </c>
      <c r="E312" s="63" t="s">
        <v>3060</v>
      </c>
      <c r="F312" s="63" t="s">
        <v>2371</v>
      </c>
      <c r="G312" s="63" t="s">
        <v>28</v>
      </c>
      <c r="H312" s="63" t="s">
        <v>28</v>
      </c>
      <c r="I312" s="63" t="s">
        <v>858</v>
      </c>
    </row>
    <row r="313" ht="11.25" customHeight="1">
      <c r="A313" s="63" t="s">
        <v>2253</v>
      </c>
      <c r="B313" s="63" t="s">
        <v>16</v>
      </c>
      <c r="C313" s="63" t="s">
        <v>3061</v>
      </c>
      <c r="D313" s="63" t="s">
        <v>3062</v>
      </c>
      <c r="E313" s="63" t="s">
        <v>3063</v>
      </c>
      <c r="F313" s="63" t="s">
        <v>2511</v>
      </c>
      <c r="G313" s="63" t="s">
        <v>28</v>
      </c>
      <c r="H313" s="63" t="s">
        <v>28</v>
      </c>
      <c r="I313" s="63" t="s">
        <v>858</v>
      </c>
    </row>
    <row r="314" ht="11.25" customHeight="1">
      <c r="A314" s="63" t="s">
        <v>2253</v>
      </c>
      <c r="B314" s="63" t="s">
        <v>16</v>
      </c>
      <c r="C314" s="63" t="s">
        <v>3064</v>
      </c>
      <c r="D314" s="63" t="s">
        <v>3065</v>
      </c>
      <c r="E314" s="63" t="s">
        <v>3066</v>
      </c>
      <c r="F314" s="63" t="s">
        <v>3033</v>
      </c>
      <c r="G314" s="63" t="s">
        <v>28</v>
      </c>
      <c r="H314" s="63" t="s">
        <v>28</v>
      </c>
      <c r="I314" s="63" t="s">
        <v>858</v>
      </c>
    </row>
    <row r="315" ht="11.25" customHeight="1">
      <c r="A315" s="63" t="s">
        <v>2253</v>
      </c>
      <c r="B315" s="63" t="s">
        <v>16</v>
      </c>
      <c r="C315" s="63" t="s">
        <v>3067</v>
      </c>
      <c r="D315" s="63" t="s">
        <v>3068</v>
      </c>
      <c r="E315" s="63" t="s">
        <v>3069</v>
      </c>
      <c r="F315" s="63" t="s">
        <v>2407</v>
      </c>
      <c r="G315" s="63" t="s">
        <v>28</v>
      </c>
      <c r="H315" s="63" t="s">
        <v>28</v>
      </c>
      <c r="I315" s="63" t="s">
        <v>858</v>
      </c>
    </row>
    <row r="316" ht="11.25" customHeight="1">
      <c r="A316" s="63" t="s">
        <v>2253</v>
      </c>
      <c r="B316" s="63" t="s">
        <v>16</v>
      </c>
      <c r="C316" s="63" t="s">
        <v>2674</v>
      </c>
      <c r="D316" s="63" t="s">
        <v>2675</v>
      </c>
      <c r="E316" s="63" t="s">
        <v>2676</v>
      </c>
      <c r="F316" s="63" t="s">
        <v>2478</v>
      </c>
      <c r="G316" s="63" t="s">
        <v>28</v>
      </c>
      <c r="H316" s="63" t="s">
        <v>28</v>
      </c>
      <c r="I316" s="63" t="s">
        <v>858</v>
      </c>
    </row>
    <row r="317" ht="11.25" customHeight="1">
      <c r="A317" s="63" t="s">
        <v>2253</v>
      </c>
      <c r="B317" s="63" t="s">
        <v>16</v>
      </c>
      <c r="C317" s="63" t="s">
        <v>2680</v>
      </c>
      <c r="D317" s="63" t="s">
        <v>2681</v>
      </c>
      <c r="E317" s="63" t="s">
        <v>2682</v>
      </c>
      <c r="F317" s="63" t="s">
        <v>2683</v>
      </c>
      <c r="G317" s="63" t="s">
        <v>2684</v>
      </c>
      <c r="H317" s="63" t="s">
        <v>28</v>
      </c>
      <c r="I317" s="63" t="s">
        <v>858</v>
      </c>
    </row>
    <row r="318" ht="11.25" customHeight="1">
      <c r="A318" s="63" t="s">
        <v>2253</v>
      </c>
      <c r="B318" s="63" t="s">
        <v>16</v>
      </c>
      <c r="C318" s="63" t="s">
        <v>2685</v>
      </c>
      <c r="D318" s="63" t="s">
        <v>2686</v>
      </c>
      <c r="E318" s="63" t="s">
        <v>2687</v>
      </c>
      <c r="F318" s="63" t="s">
        <v>2478</v>
      </c>
      <c r="G318" s="63" t="s">
        <v>28</v>
      </c>
      <c r="H318" s="63" t="s">
        <v>28</v>
      </c>
      <c r="I318" s="63" t="s">
        <v>858</v>
      </c>
    </row>
    <row r="319" ht="11.25" customHeight="1">
      <c r="A319" s="63" t="s">
        <v>2253</v>
      </c>
      <c r="B319" s="63" t="s">
        <v>16</v>
      </c>
      <c r="C319" s="63" t="s">
        <v>2691</v>
      </c>
      <c r="D319" s="63" t="s">
        <v>2692</v>
      </c>
      <c r="E319" s="63" t="s">
        <v>2693</v>
      </c>
      <c r="F319" s="63" t="s">
        <v>2293</v>
      </c>
      <c r="G319" s="63" t="s">
        <v>28</v>
      </c>
      <c r="H319" s="63" t="s">
        <v>28</v>
      </c>
      <c r="I319" s="63" t="s">
        <v>858</v>
      </c>
    </row>
    <row r="320" ht="11.25" customHeight="1">
      <c r="A320" s="63" t="s">
        <v>2253</v>
      </c>
      <c r="B320" s="63" t="s">
        <v>16</v>
      </c>
      <c r="C320" s="63" t="s">
        <v>2694</v>
      </c>
      <c r="D320" s="63" t="s">
        <v>2695</v>
      </c>
      <c r="E320" s="63" t="s">
        <v>2696</v>
      </c>
      <c r="F320" s="63" t="s">
        <v>2407</v>
      </c>
      <c r="G320" s="63" t="s">
        <v>28</v>
      </c>
      <c r="H320" s="63" t="s">
        <v>28</v>
      </c>
      <c r="I320" s="63" t="s">
        <v>858</v>
      </c>
    </row>
    <row r="321" ht="11.25" customHeight="1">
      <c r="A321" s="63" t="s">
        <v>2253</v>
      </c>
      <c r="B321" s="63" t="s">
        <v>16</v>
      </c>
      <c r="C321" s="63" t="s">
        <v>3070</v>
      </c>
      <c r="D321" s="63" t="s">
        <v>3071</v>
      </c>
      <c r="E321" s="63" t="s">
        <v>3072</v>
      </c>
      <c r="F321" s="63" t="s">
        <v>2838</v>
      </c>
      <c r="G321" s="63" t="s">
        <v>28</v>
      </c>
      <c r="H321" s="63" t="s">
        <v>28</v>
      </c>
      <c r="I321" s="63" t="s">
        <v>858</v>
      </c>
    </row>
    <row r="322" ht="11.25" customHeight="1">
      <c r="A322" s="63" t="s">
        <v>2253</v>
      </c>
      <c r="B322" s="63" t="s">
        <v>16</v>
      </c>
      <c r="C322" s="63" t="s">
        <v>3073</v>
      </c>
      <c r="D322" s="63" t="s">
        <v>3074</v>
      </c>
      <c r="E322" s="63" t="s">
        <v>3075</v>
      </c>
      <c r="F322" s="63" t="s">
        <v>2838</v>
      </c>
      <c r="G322" s="63" t="s">
        <v>28</v>
      </c>
      <c r="H322" s="63" t="s">
        <v>28</v>
      </c>
      <c r="I322" s="63" t="s">
        <v>858</v>
      </c>
    </row>
    <row r="323" ht="11.25" customHeight="1">
      <c r="A323" s="63" t="s">
        <v>2253</v>
      </c>
      <c r="B323" s="63" t="s">
        <v>16</v>
      </c>
      <c r="C323" s="63" t="s">
        <v>3076</v>
      </c>
      <c r="D323" s="63" t="s">
        <v>3077</v>
      </c>
      <c r="E323" s="63" t="s">
        <v>3078</v>
      </c>
      <c r="F323" s="63" t="s">
        <v>2293</v>
      </c>
      <c r="G323" s="63" t="s">
        <v>28</v>
      </c>
      <c r="H323" s="63" t="s">
        <v>28</v>
      </c>
      <c r="I323" s="63" t="s">
        <v>858</v>
      </c>
    </row>
    <row r="324" ht="11.25" customHeight="1">
      <c r="A324" s="63" t="s">
        <v>2253</v>
      </c>
      <c r="B324" s="63" t="s">
        <v>16</v>
      </c>
      <c r="C324" s="63" t="s">
        <v>3079</v>
      </c>
      <c r="D324" s="63" t="s">
        <v>3080</v>
      </c>
      <c r="E324" s="63" t="s">
        <v>3081</v>
      </c>
      <c r="F324" s="63" t="s">
        <v>2703</v>
      </c>
      <c r="G324" s="63" t="s">
        <v>28</v>
      </c>
      <c r="H324" s="63" t="s">
        <v>28</v>
      </c>
      <c r="I324" s="63" t="s">
        <v>858</v>
      </c>
    </row>
    <row r="325" ht="11.25" customHeight="1">
      <c r="A325" s="63" t="s">
        <v>2253</v>
      </c>
      <c r="B325" s="63" t="s">
        <v>16</v>
      </c>
      <c r="C325" s="63" t="s">
        <v>3082</v>
      </c>
      <c r="D325" s="63" t="s">
        <v>3083</v>
      </c>
      <c r="E325" s="63" t="s">
        <v>3084</v>
      </c>
      <c r="F325" s="63" t="s">
        <v>2464</v>
      </c>
      <c r="G325" s="63" t="s">
        <v>28</v>
      </c>
      <c r="H325" s="63" t="s">
        <v>28</v>
      </c>
      <c r="I325" s="63" t="s">
        <v>858</v>
      </c>
    </row>
    <row r="326" ht="11.25" customHeight="1">
      <c r="A326" s="63" t="s">
        <v>2253</v>
      </c>
      <c r="B326" s="63" t="s">
        <v>16</v>
      </c>
      <c r="C326" s="63" t="s">
        <v>2700</v>
      </c>
      <c r="D326" s="63" t="s">
        <v>2701</v>
      </c>
      <c r="E326" s="63" t="s">
        <v>2702</v>
      </c>
      <c r="F326" s="63" t="s">
        <v>2703</v>
      </c>
      <c r="G326" s="63" t="s">
        <v>28</v>
      </c>
      <c r="H326" s="63" t="s">
        <v>28</v>
      </c>
      <c r="I326" s="63" t="s">
        <v>858</v>
      </c>
    </row>
    <row r="327" ht="11.25" customHeight="1">
      <c r="A327" s="63" t="s">
        <v>2253</v>
      </c>
      <c r="B327" s="63" t="s">
        <v>16</v>
      </c>
      <c r="C327" s="63" t="s">
        <v>3085</v>
      </c>
      <c r="D327" s="63" t="s">
        <v>3086</v>
      </c>
      <c r="E327" s="63" t="s">
        <v>3087</v>
      </c>
      <c r="F327" s="63" t="s">
        <v>2407</v>
      </c>
      <c r="G327" s="63" t="s">
        <v>28</v>
      </c>
      <c r="H327" s="63" t="s">
        <v>28</v>
      </c>
      <c r="I327" s="63" t="s">
        <v>858</v>
      </c>
    </row>
    <row r="328" ht="11.25" customHeight="1">
      <c r="A328" s="63" t="s">
        <v>2253</v>
      </c>
      <c r="B328" s="63" t="s">
        <v>16</v>
      </c>
      <c r="C328" s="63" t="s">
        <v>3088</v>
      </c>
      <c r="D328" s="63" t="s">
        <v>3089</v>
      </c>
      <c r="E328" s="63" t="s">
        <v>3090</v>
      </c>
      <c r="F328" s="63" t="s">
        <v>2898</v>
      </c>
      <c r="G328" s="63" t="s">
        <v>3091</v>
      </c>
      <c r="H328" s="63" t="s">
        <v>28</v>
      </c>
      <c r="I328" s="63" t="s">
        <v>858</v>
      </c>
    </row>
    <row r="329" ht="11.25" customHeight="1">
      <c r="A329" s="63" t="s">
        <v>2253</v>
      </c>
      <c r="B329" s="63" t="s">
        <v>16</v>
      </c>
      <c r="C329" s="63" t="s">
        <v>3092</v>
      </c>
      <c r="D329" s="63" t="s">
        <v>3093</v>
      </c>
      <c r="E329" s="63" t="s">
        <v>3094</v>
      </c>
      <c r="F329" s="63" t="s">
        <v>2371</v>
      </c>
      <c r="G329" s="63" t="s">
        <v>28</v>
      </c>
      <c r="H329" s="63" t="s">
        <v>28</v>
      </c>
      <c r="I329" s="63" t="s">
        <v>858</v>
      </c>
    </row>
    <row r="330" ht="11.25" customHeight="1">
      <c r="A330" s="63" t="s">
        <v>2253</v>
      </c>
      <c r="B330" s="63" t="s">
        <v>16</v>
      </c>
      <c r="C330" s="63" t="s">
        <v>3095</v>
      </c>
      <c r="D330" s="63" t="s">
        <v>3096</v>
      </c>
      <c r="E330" s="63" t="s">
        <v>3097</v>
      </c>
      <c r="F330" s="63" t="s">
        <v>2399</v>
      </c>
      <c r="G330" s="63" t="s">
        <v>28</v>
      </c>
      <c r="H330" s="63" t="s">
        <v>28</v>
      </c>
      <c r="I330" s="63" t="s">
        <v>858</v>
      </c>
    </row>
    <row r="331" ht="11.25" customHeight="1">
      <c r="A331" s="63" t="s">
        <v>2253</v>
      </c>
      <c r="B331" s="63" t="s">
        <v>16</v>
      </c>
      <c r="C331" s="63" t="s">
        <v>3098</v>
      </c>
      <c r="D331" s="63" t="s">
        <v>3099</v>
      </c>
      <c r="E331" s="63" t="s">
        <v>3100</v>
      </c>
      <c r="F331" s="63" t="s">
        <v>2260</v>
      </c>
      <c r="G331" s="63" t="s">
        <v>28</v>
      </c>
      <c r="H331" s="63" t="s">
        <v>3101</v>
      </c>
      <c r="I331" s="63" t="s">
        <v>858</v>
      </c>
    </row>
    <row r="332" ht="11.25" customHeight="1">
      <c r="A332" s="63" t="s">
        <v>2253</v>
      </c>
      <c r="B332" s="63" t="s">
        <v>16</v>
      </c>
      <c r="C332" s="63" t="s">
        <v>3102</v>
      </c>
      <c r="D332" s="63" t="s">
        <v>3103</v>
      </c>
      <c r="E332" s="63" t="s">
        <v>3104</v>
      </c>
      <c r="F332" s="63" t="s">
        <v>2437</v>
      </c>
      <c r="G332" s="63" t="s">
        <v>28</v>
      </c>
      <c r="H332" s="63" t="s">
        <v>28</v>
      </c>
      <c r="I332" s="63" t="s">
        <v>858</v>
      </c>
    </row>
    <row r="333" ht="11.25" customHeight="1">
      <c r="A333" s="63" t="s">
        <v>2253</v>
      </c>
      <c r="B333" s="63" t="s">
        <v>16</v>
      </c>
      <c r="C333" s="63" t="s">
        <v>3105</v>
      </c>
      <c r="D333" s="63" t="s">
        <v>3106</v>
      </c>
      <c r="E333" s="63" t="s">
        <v>3107</v>
      </c>
      <c r="F333" s="63" t="s">
        <v>2838</v>
      </c>
      <c r="G333" s="63" t="s">
        <v>3108</v>
      </c>
      <c r="H333" s="63" t="s">
        <v>3109</v>
      </c>
      <c r="I333" s="63" t="s">
        <v>858</v>
      </c>
    </row>
    <row r="334" ht="11.25" customHeight="1">
      <c r="A334" s="63" t="s">
        <v>2253</v>
      </c>
      <c r="B334" s="63" t="s">
        <v>16</v>
      </c>
      <c r="C334" s="63" t="s">
        <v>3110</v>
      </c>
      <c r="D334" s="63" t="s">
        <v>3111</v>
      </c>
      <c r="E334" s="63" t="s">
        <v>3112</v>
      </c>
      <c r="F334" s="63" t="s">
        <v>2326</v>
      </c>
      <c r="G334" s="63" t="s">
        <v>28</v>
      </c>
      <c r="H334" s="63" t="s">
        <v>28</v>
      </c>
      <c r="I334" s="63" t="s">
        <v>858</v>
      </c>
    </row>
    <row r="335" ht="11.25" customHeight="1">
      <c r="A335" s="63" t="s">
        <v>2253</v>
      </c>
      <c r="B335" s="63" t="s">
        <v>16</v>
      </c>
      <c r="C335" s="63" t="s">
        <v>28</v>
      </c>
      <c r="D335" s="63" t="s">
        <v>2254</v>
      </c>
      <c r="E335" s="63" t="s">
        <v>2255</v>
      </c>
      <c r="F335" s="63" t="s">
        <v>2256</v>
      </c>
      <c r="G335" s="63" t="s">
        <v>28</v>
      </c>
      <c r="H335" s="63" t="s">
        <v>28</v>
      </c>
      <c r="I335" s="63" t="s">
        <v>911</v>
      </c>
    </row>
    <row r="336" ht="11.25" customHeight="1">
      <c r="A336" s="63" t="s">
        <v>2253</v>
      </c>
      <c r="B336" s="63" t="s">
        <v>16</v>
      </c>
      <c r="C336" s="63" t="s">
        <v>2257</v>
      </c>
      <c r="D336" s="63" t="s">
        <v>2258</v>
      </c>
      <c r="E336" s="63" t="s">
        <v>2259</v>
      </c>
      <c r="F336" s="63" t="s">
        <v>2260</v>
      </c>
      <c r="G336" s="63" t="s">
        <v>28</v>
      </c>
      <c r="H336" s="63" t="s">
        <v>28</v>
      </c>
      <c r="I336" s="63" t="s">
        <v>911</v>
      </c>
    </row>
    <row r="337" ht="11.25" customHeight="1">
      <c r="A337" s="63" t="s">
        <v>2253</v>
      </c>
      <c r="B337" s="63" t="s">
        <v>16</v>
      </c>
      <c r="C337" s="63" t="s">
        <v>2275</v>
      </c>
      <c r="D337" s="63" t="s">
        <v>2276</v>
      </c>
      <c r="E337" s="63" t="s">
        <v>2277</v>
      </c>
      <c r="F337" s="63" t="s">
        <v>2278</v>
      </c>
      <c r="G337" s="63" t="s">
        <v>28</v>
      </c>
      <c r="H337" s="63" t="s">
        <v>28</v>
      </c>
      <c r="I337" s="63" t="s">
        <v>911</v>
      </c>
    </row>
    <row r="338" ht="11.25" customHeight="1">
      <c r="A338" s="63" t="s">
        <v>2253</v>
      </c>
      <c r="B338" s="63" t="s">
        <v>16</v>
      </c>
      <c r="C338" s="63" t="s">
        <v>2282</v>
      </c>
      <c r="D338" s="63" t="s">
        <v>47</v>
      </c>
      <c r="E338" s="63" t="s">
        <v>50</v>
      </c>
      <c r="F338" s="63" t="s">
        <v>2283</v>
      </c>
      <c r="G338" s="63" t="s">
        <v>2281</v>
      </c>
      <c r="H338" s="63" t="s">
        <v>28</v>
      </c>
      <c r="I338" s="63" t="s">
        <v>911</v>
      </c>
    </row>
    <row r="339" ht="11.25" customHeight="1">
      <c r="A339" s="63" t="s">
        <v>2253</v>
      </c>
      <c r="B339" s="63" t="s">
        <v>16</v>
      </c>
      <c r="C339" s="63" t="s">
        <v>2290</v>
      </c>
      <c r="D339" s="63" t="s">
        <v>2291</v>
      </c>
      <c r="E339" s="63" t="s">
        <v>2292</v>
      </c>
      <c r="F339" s="63" t="s">
        <v>2293</v>
      </c>
      <c r="G339" s="63" t="s">
        <v>28</v>
      </c>
      <c r="H339" s="63" t="s">
        <v>28</v>
      </c>
      <c r="I339" s="63" t="s">
        <v>911</v>
      </c>
    </row>
    <row r="340" ht="11.25" customHeight="1">
      <c r="A340" s="63" t="s">
        <v>2253</v>
      </c>
      <c r="B340" s="63" t="s">
        <v>16</v>
      </c>
      <c r="C340" s="63" t="s">
        <v>2302</v>
      </c>
      <c r="D340" s="63" t="s">
        <v>2303</v>
      </c>
      <c r="E340" s="63" t="s">
        <v>2304</v>
      </c>
      <c r="F340" s="63" t="s">
        <v>2305</v>
      </c>
      <c r="G340" s="63" t="s">
        <v>28</v>
      </c>
      <c r="H340" s="63" t="s">
        <v>28</v>
      </c>
      <c r="I340" s="63" t="s">
        <v>911</v>
      </c>
    </row>
    <row r="341" ht="11.25" customHeight="1">
      <c r="A341" s="63" t="s">
        <v>2253</v>
      </c>
      <c r="B341" s="63" t="s">
        <v>16</v>
      </c>
      <c r="C341" s="63" t="s">
        <v>2753</v>
      </c>
      <c r="D341" s="63" t="s">
        <v>2754</v>
      </c>
      <c r="E341" s="63" t="s">
        <v>2755</v>
      </c>
      <c r="F341" s="63" t="s">
        <v>2525</v>
      </c>
      <c r="G341" s="63" t="s">
        <v>2756</v>
      </c>
      <c r="H341" s="63" t="s">
        <v>28</v>
      </c>
      <c r="I341" s="63" t="s">
        <v>911</v>
      </c>
    </row>
    <row r="342" ht="11.25" customHeight="1">
      <c r="A342" s="63" t="s">
        <v>2253</v>
      </c>
      <c r="B342" s="63" t="s">
        <v>16</v>
      </c>
      <c r="C342" s="63" t="s">
        <v>3113</v>
      </c>
      <c r="D342" s="63" t="s">
        <v>3114</v>
      </c>
      <c r="E342" s="63" t="s">
        <v>3115</v>
      </c>
      <c r="F342" s="63" t="s">
        <v>2256</v>
      </c>
      <c r="G342" s="63" t="s">
        <v>28</v>
      </c>
      <c r="H342" s="63" t="s">
        <v>28</v>
      </c>
      <c r="I342" s="63" t="s">
        <v>911</v>
      </c>
    </row>
    <row r="343" ht="11.25" customHeight="1">
      <c r="A343" s="63" t="s">
        <v>2253</v>
      </c>
      <c r="B343" s="63" t="s">
        <v>16</v>
      </c>
      <c r="C343" s="63" t="s">
        <v>2311</v>
      </c>
      <c r="D343" s="63" t="s">
        <v>2312</v>
      </c>
      <c r="E343" s="63" t="s">
        <v>2313</v>
      </c>
      <c r="F343" s="63" t="s">
        <v>2264</v>
      </c>
      <c r="G343" s="63" t="s">
        <v>28</v>
      </c>
      <c r="H343" s="63" t="s">
        <v>28</v>
      </c>
      <c r="I343" s="63" t="s">
        <v>911</v>
      </c>
    </row>
    <row r="344" ht="11.25" customHeight="1">
      <c r="A344" s="63" t="s">
        <v>2253</v>
      </c>
      <c r="B344" s="63" t="s">
        <v>16</v>
      </c>
      <c r="C344" s="63" t="s">
        <v>2314</v>
      </c>
      <c r="D344" s="63" t="s">
        <v>2315</v>
      </c>
      <c r="E344" s="63" t="s">
        <v>2316</v>
      </c>
      <c r="F344" s="63" t="s">
        <v>2317</v>
      </c>
      <c r="G344" s="63" t="s">
        <v>28</v>
      </c>
      <c r="H344" s="63" t="s">
        <v>28</v>
      </c>
      <c r="I344" s="63" t="s">
        <v>911</v>
      </c>
    </row>
    <row r="345" ht="11.25" customHeight="1">
      <c r="A345" s="63" t="s">
        <v>2253</v>
      </c>
      <c r="B345" s="63" t="s">
        <v>16</v>
      </c>
      <c r="C345" s="63" t="s">
        <v>3116</v>
      </c>
      <c r="D345" s="63" t="s">
        <v>3117</v>
      </c>
      <c r="E345" s="63" t="s">
        <v>3118</v>
      </c>
      <c r="F345" s="63" t="s">
        <v>2260</v>
      </c>
      <c r="G345" s="63" t="s">
        <v>3119</v>
      </c>
      <c r="H345" s="63" t="s">
        <v>28</v>
      </c>
      <c r="I345" s="63" t="s">
        <v>911</v>
      </c>
    </row>
    <row r="346" ht="11.25" customHeight="1">
      <c r="A346" s="63" t="s">
        <v>2253</v>
      </c>
      <c r="B346" s="63" t="s">
        <v>16</v>
      </c>
      <c r="C346" s="63" t="s">
        <v>2757</v>
      </c>
      <c r="D346" s="63" t="s">
        <v>2758</v>
      </c>
      <c r="E346" s="63" t="s">
        <v>2759</v>
      </c>
      <c r="F346" s="63" t="s">
        <v>2293</v>
      </c>
      <c r="G346" s="63" t="s">
        <v>2760</v>
      </c>
      <c r="H346" s="63" t="s">
        <v>28</v>
      </c>
      <c r="I346" s="63" t="s">
        <v>911</v>
      </c>
    </row>
    <row r="347" ht="11.25" customHeight="1">
      <c r="A347" s="63" t="s">
        <v>2253</v>
      </c>
      <c r="B347" s="63" t="s">
        <v>16</v>
      </c>
      <c r="C347" s="63" t="s">
        <v>2761</v>
      </c>
      <c r="D347" s="63" t="s">
        <v>2762</v>
      </c>
      <c r="E347" s="63" t="s">
        <v>2763</v>
      </c>
      <c r="F347" s="63" t="s">
        <v>2264</v>
      </c>
      <c r="G347" s="63" t="s">
        <v>28</v>
      </c>
      <c r="H347" s="63" t="s">
        <v>28</v>
      </c>
      <c r="I347" s="63" t="s">
        <v>911</v>
      </c>
    </row>
    <row r="348" ht="11.25" customHeight="1">
      <c r="A348" s="63" t="s">
        <v>2253</v>
      </c>
      <c r="B348" s="63" t="s">
        <v>16</v>
      </c>
      <c r="C348" s="63" t="s">
        <v>2331</v>
      </c>
      <c r="D348" s="63" t="s">
        <v>2332</v>
      </c>
      <c r="E348" s="63" t="s">
        <v>2333</v>
      </c>
      <c r="F348" s="63" t="s">
        <v>2334</v>
      </c>
      <c r="G348" s="63" t="s">
        <v>28</v>
      </c>
      <c r="H348" s="63" t="s">
        <v>28</v>
      </c>
      <c r="I348" s="63" t="s">
        <v>911</v>
      </c>
    </row>
    <row r="349" ht="11.25" customHeight="1">
      <c r="A349" s="63" t="s">
        <v>2253</v>
      </c>
      <c r="B349" s="63" t="s">
        <v>16</v>
      </c>
      <c r="C349" s="63" t="s">
        <v>2764</v>
      </c>
      <c r="D349" s="63" t="s">
        <v>2765</v>
      </c>
      <c r="E349" s="63" t="s">
        <v>2766</v>
      </c>
      <c r="F349" s="63" t="s">
        <v>2730</v>
      </c>
      <c r="G349" s="63" t="s">
        <v>2767</v>
      </c>
      <c r="H349" s="63" t="s">
        <v>28</v>
      </c>
      <c r="I349" s="63" t="s">
        <v>911</v>
      </c>
    </row>
    <row r="350" ht="11.25" customHeight="1">
      <c r="A350" s="63" t="s">
        <v>2253</v>
      </c>
      <c r="B350" s="63" t="s">
        <v>16</v>
      </c>
      <c r="C350" s="63" t="s">
        <v>2343</v>
      </c>
      <c r="D350" s="63" t="s">
        <v>2344</v>
      </c>
      <c r="E350" s="63" t="s">
        <v>2345</v>
      </c>
      <c r="F350" s="63" t="s">
        <v>2256</v>
      </c>
      <c r="G350" s="63" t="s">
        <v>2346</v>
      </c>
      <c r="H350" s="63" t="s">
        <v>28</v>
      </c>
      <c r="I350" s="63" t="s">
        <v>911</v>
      </c>
    </row>
    <row r="351" ht="11.25" customHeight="1">
      <c r="A351" s="63" t="s">
        <v>2253</v>
      </c>
      <c r="B351" s="63" t="s">
        <v>16</v>
      </c>
      <c r="C351" s="63" t="s">
        <v>2768</v>
      </c>
      <c r="D351" s="63" t="s">
        <v>2769</v>
      </c>
      <c r="E351" s="63" t="s">
        <v>2770</v>
      </c>
      <c r="F351" s="63" t="s">
        <v>2771</v>
      </c>
      <c r="G351" s="63" t="s">
        <v>28</v>
      </c>
      <c r="H351" s="63" t="s">
        <v>28</v>
      </c>
      <c r="I351" s="63" t="s">
        <v>911</v>
      </c>
    </row>
    <row r="352" ht="11.25" customHeight="1">
      <c r="A352" s="63" t="s">
        <v>2253</v>
      </c>
      <c r="B352" s="63" t="s">
        <v>16</v>
      </c>
      <c r="C352" s="63" t="s">
        <v>2365</v>
      </c>
      <c r="D352" s="63" t="s">
        <v>2366</v>
      </c>
      <c r="E352" s="63" t="s">
        <v>2363</v>
      </c>
      <c r="F352" s="63" t="s">
        <v>2367</v>
      </c>
      <c r="G352" s="63" t="s">
        <v>28</v>
      </c>
      <c r="H352" s="63" t="s">
        <v>28</v>
      </c>
      <c r="I352" s="63" t="s">
        <v>911</v>
      </c>
    </row>
    <row r="353" ht="11.25" customHeight="1">
      <c r="A353" s="63" t="s">
        <v>2253</v>
      </c>
      <c r="B353" s="63" t="s">
        <v>16</v>
      </c>
      <c r="C353" s="63" t="s">
        <v>2772</v>
      </c>
      <c r="D353" s="63" t="s">
        <v>2773</v>
      </c>
      <c r="E353" s="63" t="s">
        <v>2774</v>
      </c>
      <c r="F353" s="63" t="s">
        <v>2407</v>
      </c>
      <c r="G353" s="63" t="s">
        <v>28</v>
      </c>
      <c r="H353" s="63" t="s">
        <v>2775</v>
      </c>
      <c r="I353" s="63" t="s">
        <v>911</v>
      </c>
    </row>
    <row r="354" ht="11.25" customHeight="1">
      <c r="A354" s="63" t="s">
        <v>2253</v>
      </c>
      <c r="B354" s="63" t="s">
        <v>16</v>
      </c>
      <c r="C354" s="63" t="s">
        <v>2384</v>
      </c>
      <c r="D354" s="63" t="s">
        <v>2385</v>
      </c>
      <c r="E354" s="63" t="s">
        <v>2386</v>
      </c>
      <c r="F354" s="63" t="s">
        <v>2387</v>
      </c>
      <c r="G354" s="63" t="s">
        <v>28</v>
      </c>
      <c r="H354" s="63" t="s">
        <v>2388</v>
      </c>
      <c r="I354" s="63" t="s">
        <v>911</v>
      </c>
    </row>
    <row r="355" ht="11.25" customHeight="1">
      <c r="A355" s="63" t="s">
        <v>2253</v>
      </c>
      <c r="B355" s="63" t="s">
        <v>16</v>
      </c>
      <c r="C355" s="63" t="s">
        <v>2779</v>
      </c>
      <c r="D355" s="63" t="s">
        <v>2780</v>
      </c>
      <c r="E355" s="63" t="s">
        <v>2781</v>
      </c>
      <c r="F355" s="63" t="s">
        <v>579</v>
      </c>
      <c r="G355" s="63" t="s">
        <v>28</v>
      </c>
      <c r="H355" s="63" t="s">
        <v>28</v>
      </c>
      <c r="I355" s="63" t="s">
        <v>911</v>
      </c>
    </row>
    <row r="356" ht="11.25" customHeight="1">
      <c r="A356" s="63" t="s">
        <v>2253</v>
      </c>
      <c r="B356" s="63" t="s">
        <v>16</v>
      </c>
      <c r="C356" s="63" t="s">
        <v>3120</v>
      </c>
      <c r="D356" s="63" t="s">
        <v>3121</v>
      </c>
      <c r="E356" s="63" t="s">
        <v>3122</v>
      </c>
      <c r="F356" s="63" t="s">
        <v>579</v>
      </c>
      <c r="G356" s="63" t="s">
        <v>2599</v>
      </c>
      <c r="H356" s="63" t="s">
        <v>28</v>
      </c>
      <c r="I356" s="63" t="s">
        <v>911</v>
      </c>
    </row>
    <row r="357" ht="11.25" customHeight="1">
      <c r="A357" s="63" t="s">
        <v>2253</v>
      </c>
      <c r="B357" s="63" t="s">
        <v>16</v>
      </c>
      <c r="C357" s="63" t="s">
        <v>2785</v>
      </c>
      <c r="D357" s="63" t="s">
        <v>2420</v>
      </c>
      <c r="E357" s="63" t="s">
        <v>2421</v>
      </c>
      <c r="F357" s="63" t="s">
        <v>2786</v>
      </c>
      <c r="G357" s="63" t="s">
        <v>28</v>
      </c>
      <c r="H357" s="63" t="s">
        <v>28</v>
      </c>
      <c r="I357" s="63" t="s">
        <v>911</v>
      </c>
    </row>
    <row r="358" ht="11.25" customHeight="1">
      <c r="A358" s="63" t="s">
        <v>2253</v>
      </c>
      <c r="B358" s="63" t="s">
        <v>16</v>
      </c>
      <c r="C358" s="63" t="s">
        <v>2734</v>
      </c>
      <c r="D358" s="63" t="s">
        <v>2420</v>
      </c>
      <c r="E358" s="63" t="s">
        <v>2421</v>
      </c>
      <c r="F358" s="63" t="s">
        <v>2735</v>
      </c>
      <c r="G358" s="63" t="s">
        <v>28</v>
      </c>
      <c r="H358" s="63" t="s">
        <v>28</v>
      </c>
      <c r="I358" s="63" t="s">
        <v>911</v>
      </c>
    </row>
    <row r="359" ht="11.25" customHeight="1">
      <c r="A359" s="63" t="s">
        <v>2253</v>
      </c>
      <c r="B359" s="63" t="s">
        <v>16</v>
      </c>
      <c r="C359" s="63" t="s">
        <v>2736</v>
      </c>
      <c r="D359" s="63" t="s">
        <v>2420</v>
      </c>
      <c r="E359" s="63" t="s">
        <v>2421</v>
      </c>
      <c r="F359" s="63" t="s">
        <v>2737</v>
      </c>
      <c r="G359" s="63" t="s">
        <v>28</v>
      </c>
      <c r="H359" s="63" t="s">
        <v>28</v>
      </c>
      <c r="I359" s="63" t="s">
        <v>911</v>
      </c>
    </row>
    <row r="360" ht="11.25" customHeight="1">
      <c r="A360" s="63" t="s">
        <v>2253</v>
      </c>
      <c r="B360" s="63" t="s">
        <v>16</v>
      </c>
      <c r="C360" s="63" t="s">
        <v>2738</v>
      </c>
      <c r="D360" s="63" t="s">
        <v>2420</v>
      </c>
      <c r="E360" s="63" t="s">
        <v>2421</v>
      </c>
      <c r="F360" s="63" t="s">
        <v>2739</v>
      </c>
      <c r="G360" s="63" t="s">
        <v>28</v>
      </c>
      <c r="H360" s="63" t="s">
        <v>28</v>
      </c>
      <c r="I360" s="63" t="s">
        <v>911</v>
      </c>
    </row>
    <row r="361" ht="11.25" customHeight="1">
      <c r="A361" s="63" t="s">
        <v>2253</v>
      </c>
      <c r="B361" s="63" t="s">
        <v>16</v>
      </c>
      <c r="C361" s="63" t="s">
        <v>2787</v>
      </c>
      <c r="D361" s="63" t="s">
        <v>2420</v>
      </c>
      <c r="E361" s="63" t="s">
        <v>2421</v>
      </c>
      <c r="F361" s="63" t="s">
        <v>2788</v>
      </c>
      <c r="G361" s="63" t="s">
        <v>28</v>
      </c>
      <c r="H361" s="63" t="s">
        <v>28</v>
      </c>
      <c r="I361" s="63" t="s">
        <v>911</v>
      </c>
    </row>
    <row r="362" ht="11.25" customHeight="1">
      <c r="A362" s="63" t="s">
        <v>2253</v>
      </c>
      <c r="B362" s="63" t="s">
        <v>16</v>
      </c>
      <c r="C362" s="63" t="s">
        <v>2740</v>
      </c>
      <c r="D362" s="63" t="s">
        <v>2420</v>
      </c>
      <c r="E362" s="63" t="s">
        <v>2421</v>
      </c>
      <c r="F362" s="63" t="s">
        <v>2741</v>
      </c>
      <c r="G362" s="63" t="s">
        <v>28</v>
      </c>
      <c r="H362" s="63" t="s">
        <v>28</v>
      </c>
      <c r="I362" s="63" t="s">
        <v>911</v>
      </c>
    </row>
    <row r="363" ht="11.25" customHeight="1">
      <c r="A363" s="63" t="s">
        <v>2253</v>
      </c>
      <c r="B363" s="63" t="s">
        <v>16</v>
      </c>
      <c r="C363" s="63" t="s">
        <v>2742</v>
      </c>
      <c r="D363" s="63" t="s">
        <v>2420</v>
      </c>
      <c r="E363" s="63" t="s">
        <v>2421</v>
      </c>
      <c r="F363" s="63" t="s">
        <v>2743</v>
      </c>
      <c r="G363" s="63" t="s">
        <v>28</v>
      </c>
      <c r="H363" s="63" t="s">
        <v>28</v>
      </c>
      <c r="I363" s="63" t="s">
        <v>911</v>
      </c>
    </row>
    <row r="364" ht="11.25" customHeight="1">
      <c r="A364" s="63" t="s">
        <v>2253</v>
      </c>
      <c r="B364" s="63" t="s">
        <v>16</v>
      </c>
      <c r="C364" s="63" t="s">
        <v>2744</v>
      </c>
      <c r="D364" s="63" t="s">
        <v>2420</v>
      </c>
      <c r="E364" s="63" t="s">
        <v>2421</v>
      </c>
      <c r="F364" s="63" t="s">
        <v>2745</v>
      </c>
      <c r="G364" s="63" t="s">
        <v>28</v>
      </c>
      <c r="H364" s="63" t="s">
        <v>28</v>
      </c>
      <c r="I364" s="63" t="s">
        <v>911</v>
      </c>
    </row>
    <row r="365" ht="11.25" customHeight="1">
      <c r="A365" s="63" t="s">
        <v>2253</v>
      </c>
      <c r="B365" s="63" t="s">
        <v>16</v>
      </c>
      <c r="C365" s="63" t="s">
        <v>2746</v>
      </c>
      <c r="D365" s="63" t="s">
        <v>2420</v>
      </c>
      <c r="E365" s="63" t="s">
        <v>2421</v>
      </c>
      <c r="F365" s="63" t="s">
        <v>2747</v>
      </c>
      <c r="G365" s="63" t="s">
        <v>28</v>
      </c>
      <c r="H365" s="63" t="s">
        <v>28</v>
      </c>
      <c r="I365" s="63" t="s">
        <v>911</v>
      </c>
    </row>
    <row r="366" ht="11.25" customHeight="1">
      <c r="A366" s="63" t="s">
        <v>2253</v>
      </c>
      <c r="B366" s="63" t="s">
        <v>16</v>
      </c>
      <c r="C366" s="63" t="s">
        <v>2748</v>
      </c>
      <c r="D366" s="63" t="s">
        <v>2420</v>
      </c>
      <c r="E366" s="63" t="s">
        <v>2421</v>
      </c>
      <c r="F366" s="63" t="s">
        <v>2749</v>
      </c>
      <c r="G366" s="63" t="s">
        <v>28</v>
      </c>
      <c r="H366" s="63" t="s">
        <v>28</v>
      </c>
      <c r="I366" s="63" t="s">
        <v>911</v>
      </c>
    </row>
    <row r="367" ht="11.25" customHeight="1">
      <c r="A367" s="63" t="s">
        <v>2253</v>
      </c>
      <c r="B367" s="63" t="s">
        <v>16</v>
      </c>
      <c r="C367" s="63" t="s">
        <v>2419</v>
      </c>
      <c r="D367" s="63" t="s">
        <v>2420</v>
      </c>
      <c r="E367" s="63" t="s">
        <v>2421</v>
      </c>
      <c r="F367" s="63" t="s">
        <v>2417</v>
      </c>
      <c r="G367" s="63" t="s">
        <v>28</v>
      </c>
      <c r="H367" s="63" t="s">
        <v>28</v>
      </c>
      <c r="I367" s="63" t="s">
        <v>911</v>
      </c>
    </row>
    <row r="368" ht="11.25" customHeight="1">
      <c r="A368" s="63" t="s">
        <v>2253</v>
      </c>
      <c r="B368" s="63" t="s">
        <v>16</v>
      </c>
      <c r="C368" s="63" t="s">
        <v>2789</v>
      </c>
      <c r="D368" s="63" t="s">
        <v>2790</v>
      </c>
      <c r="E368" s="63" t="s">
        <v>2791</v>
      </c>
      <c r="F368" s="63" t="s">
        <v>2293</v>
      </c>
      <c r="G368" s="63" t="s">
        <v>28</v>
      </c>
      <c r="H368" s="63" t="s">
        <v>28</v>
      </c>
      <c r="I368" s="63" t="s">
        <v>911</v>
      </c>
    </row>
    <row r="369" ht="11.25" customHeight="1">
      <c r="A369" s="63" t="s">
        <v>2253</v>
      </c>
      <c r="B369" s="63" t="s">
        <v>16</v>
      </c>
      <c r="C369" s="63" t="s">
        <v>2792</v>
      </c>
      <c r="D369" s="63" t="s">
        <v>2790</v>
      </c>
      <c r="E369" s="63" t="s">
        <v>2791</v>
      </c>
      <c r="F369" s="63" t="s">
        <v>2793</v>
      </c>
      <c r="G369" s="63" t="s">
        <v>28</v>
      </c>
      <c r="H369" s="63" t="s">
        <v>28</v>
      </c>
      <c r="I369" s="63" t="s">
        <v>911</v>
      </c>
    </row>
    <row r="370" ht="11.25" customHeight="1">
      <c r="A370" s="63" t="s">
        <v>2253</v>
      </c>
      <c r="B370" s="63" t="s">
        <v>16</v>
      </c>
      <c r="C370" s="63" t="s">
        <v>2794</v>
      </c>
      <c r="D370" s="63" t="s">
        <v>2751</v>
      </c>
      <c r="E370" s="63" t="s">
        <v>2421</v>
      </c>
      <c r="F370" s="63" t="s">
        <v>2795</v>
      </c>
      <c r="G370" s="63" t="s">
        <v>28</v>
      </c>
      <c r="H370" s="63" t="s">
        <v>28</v>
      </c>
      <c r="I370" s="63" t="s">
        <v>911</v>
      </c>
    </row>
    <row r="371" ht="11.25" customHeight="1">
      <c r="A371" s="63" t="s">
        <v>2253</v>
      </c>
      <c r="B371" s="63" t="s">
        <v>16</v>
      </c>
      <c r="C371" s="63" t="s">
        <v>2750</v>
      </c>
      <c r="D371" s="63" t="s">
        <v>2751</v>
      </c>
      <c r="E371" s="63" t="s">
        <v>2421</v>
      </c>
      <c r="F371" s="63" t="s">
        <v>2752</v>
      </c>
      <c r="G371" s="63" t="s">
        <v>28</v>
      </c>
      <c r="H371" s="63" t="s">
        <v>28</v>
      </c>
      <c r="I371" s="63" t="s">
        <v>911</v>
      </c>
    </row>
    <row r="372" ht="11.25" customHeight="1">
      <c r="A372" s="63" t="s">
        <v>2253</v>
      </c>
      <c r="B372" s="63" t="s">
        <v>16</v>
      </c>
      <c r="C372" s="63" t="s">
        <v>2796</v>
      </c>
      <c r="D372" s="63" t="s">
        <v>2797</v>
      </c>
      <c r="E372" s="63" t="s">
        <v>2798</v>
      </c>
      <c r="F372" s="63" t="s">
        <v>2305</v>
      </c>
      <c r="G372" s="63" t="s">
        <v>28</v>
      </c>
      <c r="H372" s="63" t="s">
        <v>28</v>
      </c>
      <c r="I372" s="63" t="s">
        <v>911</v>
      </c>
    </row>
    <row r="373" ht="11.25" customHeight="1">
      <c r="A373" s="63" t="s">
        <v>2253</v>
      </c>
      <c r="B373" s="63" t="s">
        <v>16</v>
      </c>
      <c r="C373" s="63" t="s">
        <v>3123</v>
      </c>
      <c r="D373" s="63" t="s">
        <v>3124</v>
      </c>
      <c r="E373" s="63" t="s">
        <v>3125</v>
      </c>
      <c r="F373" s="63" t="s">
        <v>2542</v>
      </c>
      <c r="G373" s="63" t="s">
        <v>3126</v>
      </c>
      <c r="H373" s="63" t="s">
        <v>28</v>
      </c>
      <c r="I373" s="63" t="s">
        <v>911</v>
      </c>
    </row>
    <row r="374" ht="11.25" customHeight="1">
      <c r="A374" s="63" t="s">
        <v>2253</v>
      </c>
      <c r="B374" s="63" t="s">
        <v>16</v>
      </c>
      <c r="C374" s="63" t="s">
        <v>2802</v>
      </c>
      <c r="D374" s="63" t="s">
        <v>2803</v>
      </c>
      <c r="E374" s="63" t="s">
        <v>2804</v>
      </c>
      <c r="F374" s="63" t="s">
        <v>2305</v>
      </c>
      <c r="G374" s="63" t="s">
        <v>2805</v>
      </c>
      <c r="H374" s="63" t="s">
        <v>28</v>
      </c>
      <c r="I374" s="63" t="s">
        <v>911</v>
      </c>
    </row>
    <row r="375" ht="11.25" customHeight="1">
      <c r="A375" s="63" t="s">
        <v>2253</v>
      </c>
      <c r="B375" s="63" t="s">
        <v>16</v>
      </c>
      <c r="C375" s="63" t="s">
        <v>2806</v>
      </c>
      <c r="D375" s="63" t="s">
        <v>2807</v>
      </c>
      <c r="E375" s="63" t="s">
        <v>2808</v>
      </c>
      <c r="F375" s="63" t="s">
        <v>2511</v>
      </c>
      <c r="G375" s="63" t="s">
        <v>28</v>
      </c>
      <c r="H375" s="63" t="s">
        <v>28</v>
      </c>
      <c r="I375" s="63" t="s">
        <v>911</v>
      </c>
    </row>
    <row r="376" ht="11.25" customHeight="1">
      <c r="A376" s="63" t="s">
        <v>2253</v>
      </c>
      <c r="B376" s="63" t="s">
        <v>16</v>
      </c>
      <c r="C376" s="63" t="s">
        <v>2809</v>
      </c>
      <c r="D376" s="63" t="s">
        <v>2810</v>
      </c>
      <c r="E376" s="63" t="s">
        <v>2811</v>
      </c>
      <c r="F376" s="63" t="s">
        <v>2641</v>
      </c>
      <c r="G376" s="63" t="s">
        <v>28</v>
      </c>
      <c r="H376" s="63" t="s">
        <v>28</v>
      </c>
      <c r="I376" s="63" t="s">
        <v>911</v>
      </c>
    </row>
    <row r="377" ht="11.25" customHeight="1">
      <c r="A377" s="63" t="s">
        <v>2253</v>
      </c>
      <c r="B377" s="63" t="s">
        <v>16</v>
      </c>
      <c r="C377" s="63" t="s">
        <v>2812</v>
      </c>
      <c r="D377" s="63" t="s">
        <v>2813</v>
      </c>
      <c r="E377" s="63" t="s">
        <v>2814</v>
      </c>
      <c r="F377" s="63" t="s">
        <v>2326</v>
      </c>
      <c r="G377" s="63" t="s">
        <v>28</v>
      </c>
      <c r="H377" s="63" t="s">
        <v>28</v>
      </c>
      <c r="I377" s="63" t="s">
        <v>911</v>
      </c>
    </row>
    <row r="378" ht="11.25" customHeight="1">
      <c r="A378" s="63" t="s">
        <v>2253</v>
      </c>
      <c r="B378" s="63" t="s">
        <v>16</v>
      </c>
      <c r="C378" s="63" t="s">
        <v>2815</v>
      </c>
      <c r="D378" s="63" t="s">
        <v>2816</v>
      </c>
      <c r="E378" s="63" t="s">
        <v>2817</v>
      </c>
      <c r="F378" s="63" t="s">
        <v>2429</v>
      </c>
      <c r="G378" s="63" t="s">
        <v>2818</v>
      </c>
      <c r="H378" s="63" t="s">
        <v>28</v>
      </c>
      <c r="I378" s="63" t="s">
        <v>911</v>
      </c>
    </row>
    <row r="379" ht="11.25" customHeight="1">
      <c r="A379" s="63" t="s">
        <v>2253</v>
      </c>
      <c r="B379" s="63" t="s">
        <v>16</v>
      </c>
      <c r="C379" s="63" t="s">
        <v>2823</v>
      </c>
      <c r="D379" s="63" t="s">
        <v>2824</v>
      </c>
      <c r="E379" s="63" t="s">
        <v>2825</v>
      </c>
      <c r="F379" s="63" t="s">
        <v>2448</v>
      </c>
      <c r="G379" s="63" t="s">
        <v>28</v>
      </c>
      <c r="H379" s="63" t="s">
        <v>2826</v>
      </c>
      <c r="I379" s="63" t="s">
        <v>911</v>
      </c>
    </row>
    <row r="380" ht="11.25" customHeight="1">
      <c r="A380" s="63" t="s">
        <v>2253</v>
      </c>
      <c r="B380" s="63" t="s">
        <v>16</v>
      </c>
      <c r="C380" s="63" t="s">
        <v>2827</v>
      </c>
      <c r="D380" s="63" t="s">
        <v>2828</v>
      </c>
      <c r="E380" s="63" t="s">
        <v>2829</v>
      </c>
      <c r="F380" s="63" t="s">
        <v>2326</v>
      </c>
      <c r="G380" s="63" t="s">
        <v>28</v>
      </c>
      <c r="H380" s="63" t="s">
        <v>2830</v>
      </c>
      <c r="I380" s="63" t="s">
        <v>911</v>
      </c>
    </row>
    <row r="381" ht="11.25" customHeight="1">
      <c r="A381" s="63" t="s">
        <v>2253</v>
      </c>
      <c r="B381" s="63" t="s">
        <v>16</v>
      </c>
      <c r="C381" s="63" t="s">
        <v>2426</v>
      </c>
      <c r="D381" s="63" t="s">
        <v>2427</v>
      </c>
      <c r="E381" s="63" t="s">
        <v>2428</v>
      </c>
      <c r="F381" s="63" t="s">
        <v>2429</v>
      </c>
      <c r="G381" s="63" t="s">
        <v>28</v>
      </c>
      <c r="H381" s="63" t="s">
        <v>28</v>
      </c>
      <c r="I381" s="63" t="s">
        <v>911</v>
      </c>
    </row>
    <row r="382" ht="11.25" customHeight="1">
      <c r="A382" s="63" t="s">
        <v>2253</v>
      </c>
      <c r="B382" s="63" t="s">
        <v>16</v>
      </c>
      <c r="C382" s="63" t="s">
        <v>2831</v>
      </c>
      <c r="D382" s="63" t="s">
        <v>2832</v>
      </c>
      <c r="E382" s="63" t="s">
        <v>2833</v>
      </c>
      <c r="F382" s="63" t="s">
        <v>2448</v>
      </c>
      <c r="G382" s="63" t="s">
        <v>2834</v>
      </c>
      <c r="H382" s="63" t="s">
        <v>28</v>
      </c>
      <c r="I382" s="63" t="s">
        <v>911</v>
      </c>
    </row>
    <row r="383" ht="11.25" customHeight="1">
      <c r="A383" s="63" t="s">
        <v>2253</v>
      </c>
      <c r="B383" s="63" t="s">
        <v>16</v>
      </c>
      <c r="C383" s="63" t="s">
        <v>2835</v>
      </c>
      <c r="D383" s="63" t="s">
        <v>2836</v>
      </c>
      <c r="E383" s="63" t="s">
        <v>2837</v>
      </c>
      <c r="F383" s="63" t="s">
        <v>2838</v>
      </c>
      <c r="G383" s="63" t="s">
        <v>28</v>
      </c>
      <c r="H383" s="63" t="s">
        <v>28</v>
      </c>
      <c r="I383" s="63" t="s">
        <v>911</v>
      </c>
    </row>
    <row r="384" ht="11.25" customHeight="1">
      <c r="A384" s="63" t="s">
        <v>2253</v>
      </c>
      <c r="B384" s="63" t="s">
        <v>16</v>
      </c>
      <c r="C384" s="63" t="s">
        <v>2839</v>
      </c>
      <c r="D384" s="63" t="s">
        <v>2840</v>
      </c>
      <c r="E384" s="63" t="s">
        <v>2841</v>
      </c>
      <c r="F384" s="63" t="s">
        <v>2448</v>
      </c>
      <c r="G384" s="63" t="s">
        <v>28</v>
      </c>
      <c r="H384" s="63" t="s">
        <v>2842</v>
      </c>
      <c r="I384" s="63" t="s">
        <v>911</v>
      </c>
    </row>
    <row r="385" ht="11.25" customHeight="1">
      <c r="A385" s="63" t="s">
        <v>2253</v>
      </c>
      <c r="B385" s="63" t="s">
        <v>16</v>
      </c>
      <c r="C385" s="63" t="s">
        <v>2843</v>
      </c>
      <c r="D385" s="63" t="s">
        <v>2844</v>
      </c>
      <c r="E385" s="63" t="s">
        <v>2845</v>
      </c>
      <c r="F385" s="63" t="s">
        <v>2305</v>
      </c>
      <c r="G385" s="63" t="s">
        <v>2846</v>
      </c>
      <c r="H385" s="63" t="s">
        <v>28</v>
      </c>
      <c r="I385" s="63" t="s">
        <v>911</v>
      </c>
    </row>
    <row r="386" ht="11.25" customHeight="1">
      <c r="A386" s="63" t="s">
        <v>2253</v>
      </c>
      <c r="B386" s="63" t="s">
        <v>16</v>
      </c>
      <c r="C386" s="63" t="s">
        <v>2847</v>
      </c>
      <c r="D386" s="63" t="s">
        <v>2848</v>
      </c>
      <c r="E386" s="63" t="s">
        <v>2849</v>
      </c>
      <c r="F386" s="63" t="s">
        <v>2305</v>
      </c>
      <c r="G386" s="63" t="s">
        <v>2850</v>
      </c>
      <c r="H386" s="63" t="s">
        <v>28</v>
      </c>
      <c r="I386" s="63" t="s">
        <v>911</v>
      </c>
    </row>
    <row r="387" ht="11.25" customHeight="1">
      <c r="A387" s="63" t="s">
        <v>2253</v>
      </c>
      <c r="B387" s="63" t="s">
        <v>16</v>
      </c>
      <c r="C387" s="63" t="s">
        <v>2434</v>
      </c>
      <c r="D387" s="63" t="s">
        <v>2435</v>
      </c>
      <c r="E387" s="63" t="s">
        <v>2436</v>
      </c>
      <c r="F387" s="63" t="s">
        <v>2437</v>
      </c>
      <c r="G387" s="63" t="s">
        <v>28</v>
      </c>
      <c r="H387" s="63" t="s">
        <v>28</v>
      </c>
      <c r="I387" s="63" t="s">
        <v>911</v>
      </c>
    </row>
    <row r="388" ht="11.25" customHeight="1">
      <c r="A388" s="63" t="s">
        <v>2253</v>
      </c>
      <c r="B388" s="63" t="s">
        <v>16</v>
      </c>
      <c r="C388" s="63" t="s">
        <v>3127</v>
      </c>
      <c r="D388" s="63" t="s">
        <v>3128</v>
      </c>
      <c r="E388" s="63" t="s">
        <v>3129</v>
      </c>
      <c r="F388" s="63" t="s">
        <v>2448</v>
      </c>
      <c r="G388" s="63" t="s">
        <v>28</v>
      </c>
      <c r="H388" s="63" t="s">
        <v>28</v>
      </c>
      <c r="I388" s="63" t="s">
        <v>911</v>
      </c>
    </row>
    <row r="389" ht="11.25" customHeight="1">
      <c r="A389" s="63" t="s">
        <v>2253</v>
      </c>
      <c r="B389" s="63" t="s">
        <v>16</v>
      </c>
      <c r="C389" s="63" t="s">
        <v>2438</v>
      </c>
      <c r="D389" s="63" t="s">
        <v>2439</v>
      </c>
      <c r="E389" s="63" t="s">
        <v>2440</v>
      </c>
      <c r="F389" s="63" t="s">
        <v>2301</v>
      </c>
      <c r="G389" s="63" t="s">
        <v>28</v>
      </c>
      <c r="H389" s="63" t="s">
        <v>28</v>
      </c>
      <c r="I389" s="63" t="s">
        <v>911</v>
      </c>
    </row>
    <row r="390" ht="11.25" customHeight="1">
      <c r="A390" s="63" t="s">
        <v>2253</v>
      </c>
      <c r="B390" s="63" t="s">
        <v>16</v>
      </c>
      <c r="C390" s="63" t="s">
        <v>2441</v>
      </c>
      <c r="D390" s="63" t="s">
        <v>2442</v>
      </c>
      <c r="E390" s="63" t="s">
        <v>2443</v>
      </c>
      <c r="F390" s="63" t="s">
        <v>2301</v>
      </c>
      <c r="G390" s="63" t="s">
        <v>2444</v>
      </c>
      <c r="H390" s="63" t="s">
        <v>28</v>
      </c>
      <c r="I390" s="63" t="s">
        <v>911</v>
      </c>
    </row>
    <row r="391" ht="11.25" customHeight="1">
      <c r="A391" s="63" t="s">
        <v>2253</v>
      </c>
      <c r="B391" s="63" t="s">
        <v>16</v>
      </c>
      <c r="C391" s="63" t="s">
        <v>2445</v>
      </c>
      <c r="D391" s="63" t="s">
        <v>2446</v>
      </c>
      <c r="E391" s="63" t="s">
        <v>2447</v>
      </c>
      <c r="F391" s="63" t="s">
        <v>2448</v>
      </c>
      <c r="G391" s="63" t="s">
        <v>28</v>
      </c>
      <c r="H391" s="63" t="s">
        <v>28</v>
      </c>
      <c r="I391" s="63" t="s">
        <v>911</v>
      </c>
    </row>
    <row r="392" ht="11.25" customHeight="1">
      <c r="A392" s="63" t="s">
        <v>2253</v>
      </c>
      <c r="B392" s="63" t="s">
        <v>16</v>
      </c>
      <c r="C392" s="63" t="s">
        <v>2855</v>
      </c>
      <c r="D392" s="63" t="s">
        <v>2856</v>
      </c>
      <c r="E392" s="63" t="s">
        <v>2857</v>
      </c>
      <c r="F392" s="63" t="s">
        <v>2371</v>
      </c>
      <c r="G392" s="63" t="s">
        <v>28</v>
      </c>
      <c r="H392" s="63" t="s">
        <v>28</v>
      </c>
      <c r="I392" s="63" t="s">
        <v>911</v>
      </c>
    </row>
    <row r="393" ht="11.25" customHeight="1">
      <c r="A393" s="63" t="s">
        <v>2253</v>
      </c>
      <c r="B393" s="63" t="s">
        <v>16</v>
      </c>
      <c r="C393" s="63" t="s">
        <v>2858</v>
      </c>
      <c r="D393" s="63" t="s">
        <v>2859</v>
      </c>
      <c r="E393" s="63" t="s">
        <v>2860</v>
      </c>
      <c r="F393" s="63" t="s">
        <v>2334</v>
      </c>
      <c r="G393" s="63" t="s">
        <v>2861</v>
      </c>
      <c r="H393" s="63" t="s">
        <v>28</v>
      </c>
      <c r="I393" s="63" t="s">
        <v>911</v>
      </c>
    </row>
    <row r="394" ht="11.25" customHeight="1">
      <c r="A394" s="63" t="s">
        <v>2253</v>
      </c>
      <c r="B394" s="63" t="s">
        <v>16</v>
      </c>
      <c r="C394" s="63" t="s">
        <v>2862</v>
      </c>
      <c r="D394" s="63" t="s">
        <v>2863</v>
      </c>
      <c r="E394" s="63" t="s">
        <v>2864</v>
      </c>
      <c r="F394" s="63" t="s">
        <v>2399</v>
      </c>
      <c r="G394" s="63" t="s">
        <v>2865</v>
      </c>
      <c r="H394" s="63" t="s">
        <v>28</v>
      </c>
      <c r="I394" s="63" t="s">
        <v>911</v>
      </c>
    </row>
    <row r="395" ht="11.25" customHeight="1">
      <c r="A395" s="63" t="s">
        <v>2253</v>
      </c>
      <c r="B395" s="63" t="s">
        <v>16</v>
      </c>
      <c r="C395" s="63" t="s">
        <v>2449</v>
      </c>
      <c r="D395" s="63" t="s">
        <v>2450</v>
      </c>
      <c r="E395" s="63" t="s">
        <v>2451</v>
      </c>
      <c r="F395" s="63" t="s">
        <v>2305</v>
      </c>
      <c r="G395" s="63" t="s">
        <v>28</v>
      </c>
      <c r="H395" s="63" t="s">
        <v>28</v>
      </c>
      <c r="I395" s="63" t="s">
        <v>911</v>
      </c>
    </row>
    <row r="396" ht="11.25" customHeight="1">
      <c r="A396" s="63" t="s">
        <v>2253</v>
      </c>
      <c r="B396" s="63" t="s">
        <v>16</v>
      </c>
      <c r="C396" s="63" t="s">
        <v>2866</v>
      </c>
      <c r="D396" s="63" t="s">
        <v>2867</v>
      </c>
      <c r="E396" s="63" t="s">
        <v>2868</v>
      </c>
      <c r="F396" s="63" t="s">
        <v>2822</v>
      </c>
      <c r="G396" s="63" t="s">
        <v>28</v>
      </c>
      <c r="H396" s="63" t="s">
        <v>28</v>
      </c>
      <c r="I396" s="63" t="s">
        <v>911</v>
      </c>
    </row>
    <row r="397" ht="11.25" customHeight="1">
      <c r="A397" s="63" t="s">
        <v>2253</v>
      </c>
      <c r="B397" s="63" t="s">
        <v>16</v>
      </c>
      <c r="C397" s="63" t="s">
        <v>2452</v>
      </c>
      <c r="D397" s="63" t="s">
        <v>2453</v>
      </c>
      <c r="E397" s="63" t="s">
        <v>2454</v>
      </c>
      <c r="F397" s="63" t="s">
        <v>2437</v>
      </c>
      <c r="G397" s="63" t="s">
        <v>28</v>
      </c>
      <c r="H397" s="63" t="s">
        <v>28</v>
      </c>
      <c r="I397" s="63" t="s">
        <v>911</v>
      </c>
    </row>
    <row r="398" ht="11.25" customHeight="1">
      <c r="A398" s="63" t="s">
        <v>2253</v>
      </c>
      <c r="B398" s="63" t="s">
        <v>16</v>
      </c>
      <c r="C398" s="63" t="s">
        <v>2869</v>
      </c>
      <c r="D398" s="63" t="s">
        <v>2870</v>
      </c>
      <c r="E398" s="63" t="s">
        <v>2871</v>
      </c>
      <c r="F398" s="63" t="s">
        <v>2334</v>
      </c>
      <c r="G398" s="63" t="s">
        <v>28</v>
      </c>
      <c r="H398" s="63" t="s">
        <v>28</v>
      </c>
      <c r="I398" s="63" t="s">
        <v>911</v>
      </c>
    </row>
    <row r="399" ht="11.25" customHeight="1">
      <c r="A399" s="63" t="s">
        <v>2253</v>
      </c>
      <c r="B399" s="63" t="s">
        <v>16</v>
      </c>
      <c r="C399" s="63" t="s">
        <v>2872</v>
      </c>
      <c r="D399" s="63" t="s">
        <v>2873</v>
      </c>
      <c r="E399" s="63" t="s">
        <v>2874</v>
      </c>
      <c r="F399" s="63" t="s">
        <v>2730</v>
      </c>
      <c r="G399" s="63" t="s">
        <v>28</v>
      </c>
      <c r="H399" s="63" t="s">
        <v>28</v>
      </c>
      <c r="I399" s="63" t="s">
        <v>911</v>
      </c>
    </row>
    <row r="400" ht="11.25" customHeight="1">
      <c r="A400" s="63" t="s">
        <v>2253</v>
      </c>
      <c r="B400" s="63" t="s">
        <v>16</v>
      </c>
      <c r="C400" s="63" t="s">
        <v>2875</v>
      </c>
      <c r="D400" s="63" t="s">
        <v>2876</v>
      </c>
      <c r="E400" s="63" t="s">
        <v>2877</v>
      </c>
      <c r="F400" s="63" t="s">
        <v>2260</v>
      </c>
      <c r="G400" s="63" t="s">
        <v>28</v>
      </c>
      <c r="H400" s="63" t="s">
        <v>28</v>
      </c>
      <c r="I400" s="63" t="s">
        <v>911</v>
      </c>
    </row>
    <row r="401" ht="11.25" customHeight="1">
      <c r="A401" s="63" t="s">
        <v>2253</v>
      </c>
      <c r="B401" s="63" t="s">
        <v>16</v>
      </c>
      <c r="C401" s="63" t="s">
        <v>2455</v>
      </c>
      <c r="D401" s="63" t="s">
        <v>2456</v>
      </c>
      <c r="E401" s="63" t="s">
        <v>2457</v>
      </c>
      <c r="F401" s="63" t="s">
        <v>2387</v>
      </c>
      <c r="G401" s="63" t="s">
        <v>28</v>
      </c>
      <c r="H401" s="63" t="s">
        <v>28</v>
      </c>
      <c r="I401" s="63" t="s">
        <v>911</v>
      </c>
    </row>
    <row r="402" ht="11.25" customHeight="1">
      <c r="A402" s="63" t="s">
        <v>2253</v>
      </c>
      <c r="B402" s="63" t="s">
        <v>16</v>
      </c>
      <c r="C402" s="63" t="s">
        <v>2878</v>
      </c>
      <c r="D402" s="63" t="s">
        <v>2879</v>
      </c>
      <c r="E402" s="63" t="s">
        <v>2880</v>
      </c>
      <c r="F402" s="63" t="s">
        <v>2730</v>
      </c>
      <c r="G402" s="63" t="s">
        <v>28</v>
      </c>
      <c r="H402" s="63" t="s">
        <v>28</v>
      </c>
      <c r="I402" s="63" t="s">
        <v>911</v>
      </c>
    </row>
    <row r="403" ht="11.25" customHeight="1">
      <c r="A403" s="63" t="s">
        <v>2253</v>
      </c>
      <c r="B403" s="63" t="s">
        <v>16</v>
      </c>
      <c r="C403" s="63" t="s">
        <v>2458</v>
      </c>
      <c r="D403" s="63" t="s">
        <v>2459</v>
      </c>
      <c r="E403" s="63" t="s">
        <v>2460</v>
      </c>
      <c r="F403" s="63" t="s">
        <v>2417</v>
      </c>
      <c r="G403" s="63" t="s">
        <v>28</v>
      </c>
      <c r="H403" s="63" t="s">
        <v>2274</v>
      </c>
      <c r="I403" s="63" t="s">
        <v>911</v>
      </c>
    </row>
    <row r="404" ht="11.25" customHeight="1">
      <c r="A404" s="63" t="s">
        <v>2253</v>
      </c>
      <c r="B404" s="63" t="s">
        <v>16</v>
      </c>
      <c r="C404" s="63" t="s">
        <v>2468</v>
      </c>
      <c r="D404" s="63" t="s">
        <v>2469</v>
      </c>
      <c r="E404" s="63" t="s">
        <v>2470</v>
      </c>
      <c r="F404" s="63" t="s">
        <v>2471</v>
      </c>
      <c r="G404" s="63" t="s">
        <v>28</v>
      </c>
      <c r="H404" s="63" t="s">
        <v>28</v>
      </c>
      <c r="I404" s="63" t="s">
        <v>911</v>
      </c>
    </row>
    <row r="405" ht="11.25" customHeight="1">
      <c r="A405" s="63" t="s">
        <v>2253</v>
      </c>
      <c r="B405" s="63" t="s">
        <v>16</v>
      </c>
      <c r="C405" s="63" t="s">
        <v>3130</v>
      </c>
      <c r="D405" s="63" t="s">
        <v>3131</v>
      </c>
      <c r="E405" s="63" t="s">
        <v>3132</v>
      </c>
      <c r="F405" s="63" t="s">
        <v>2326</v>
      </c>
      <c r="G405" s="63" t="s">
        <v>28</v>
      </c>
      <c r="H405" s="63" t="s">
        <v>28</v>
      </c>
      <c r="I405" s="63" t="s">
        <v>911</v>
      </c>
    </row>
    <row r="406" ht="11.25" customHeight="1">
      <c r="A406" s="63" t="s">
        <v>2253</v>
      </c>
      <c r="B406" s="63" t="s">
        <v>16</v>
      </c>
      <c r="C406" s="63" t="s">
        <v>2489</v>
      </c>
      <c r="D406" s="63" t="s">
        <v>2490</v>
      </c>
      <c r="E406" s="63" t="s">
        <v>2491</v>
      </c>
      <c r="F406" s="63" t="s">
        <v>2301</v>
      </c>
      <c r="G406" s="63" t="s">
        <v>28</v>
      </c>
      <c r="H406" s="63" t="s">
        <v>28</v>
      </c>
      <c r="I406" s="63" t="s">
        <v>911</v>
      </c>
    </row>
    <row r="407" ht="11.25" customHeight="1">
      <c r="A407" s="63" t="s">
        <v>2253</v>
      </c>
      <c r="B407" s="63" t="s">
        <v>16</v>
      </c>
      <c r="C407" s="63" t="s">
        <v>2887</v>
      </c>
      <c r="D407" s="63" t="s">
        <v>2888</v>
      </c>
      <c r="E407" s="63" t="s">
        <v>2889</v>
      </c>
      <c r="F407" s="63" t="s">
        <v>2317</v>
      </c>
      <c r="G407" s="63" t="s">
        <v>2890</v>
      </c>
      <c r="H407" s="63" t="s">
        <v>28</v>
      </c>
      <c r="I407" s="63" t="s">
        <v>911</v>
      </c>
    </row>
    <row r="408" ht="11.25" customHeight="1">
      <c r="A408" s="63" t="s">
        <v>2253</v>
      </c>
      <c r="B408" s="63" t="s">
        <v>16</v>
      </c>
      <c r="C408" s="63" t="s">
        <v>2891</v>
      </c>
      <c r="D408" s="63" t="s">
        <v>2892</v>
      </c>
      <c r="E408" s="63" t="s">
        <v>2893</v>
      </c>
      <c r="F408" s="63" t="s">
        <v>2268</v>
      </c>
      <c r="G408" s="63" t="s">
        <v>2894</v>
      </c>
      <c r="H408" s="63" t="s">
        <v>28</v>
      </c>
      <c r="I408" s="63" t="s">
        <v>911</v>
      </c>
    </row>
    <row r="409" ht="11.25" customHeight="1">
      <c r="A409" s="63" t="s">
        <v>2253</v>
      </c>
      <c r="B409" s="63" t="s">
        <v>16</v>
      </c>
      <c r="C409" s="63" t="s">
        <v>3133</v>
      </c>
      <c r="D409" s="63" t="s">
        <v>3134</v>
      </c>
      <c r="E409" s="63" t="s">
        <v>3135</v>
      </c>
      <c r="F409" s="63" t="s">
        <v>2260</v>
      </c>
      <c r="G409" s="63" t="s">
        <v>3136</v>
      </c>
      <c r="H409" s="63" t="s">
        <v>28</v>
      </c>
      <c r="I409" s="63" t="s">
        <v>911</v>
      </c>
    </row>
    <row r="410" ht="11.25" customHeight="1">
      <c r="A410" s="63" t="s">
        <v>2253</v>
      </c>
      <c r="B410" s="63" t="s">
        <v>16</v>
      </c>
      <c r="C410" s="63" t="s">
        <v>2895</v>
      </c>
      <c r="D410" s="63" t="s">
        <v>2896</v>
      </c>
      <c r="E410" s="63" t="s">
        <v>2897</v>
      </c>
      <c r="F410" s="63" t="s">
        <v>2898</v>
      </c>
      <c r="G410" s="63" t="s">
        <v>28</v>
      </c>
      <c r="H410" s="63" t="s">
        <v>28</v>
      </c>
      <c r="I410" s="63" t="s">
        <v>911</v>
      </c>
    </row>
    <row r="411" ht="11.25" customHeight="1">
      <c r="A411" s="63" t="s">
        <v>2253</v>
      </c>
      <c r="B411" s="63" t="s">
        <v>16</v>
      </c>
      <c r="C411" s="63" t="s">
        <v>2899</v>
      </c>
      <c r="D411" s="63" t="s">
        <v>2900</v>
      </c>
      <c r="E411" s="63" t="s">
        <v>2901</v>
      </c>
      <c r="F411" s="63" t="s">
        <v>2902</v>
      </c>
      <c r="G411" s="63" t="s">
        <v>28</v>
      </c>
      <c r="H411" s="63" t="s">
        <v>2903</v>
      </c>
      <c r="I411" s="63" t="s">
        <v>911</v>
      </c>
    </row>
    <row r="412" ht="11.25" customHeight="1">
      <c r="A412" s="63" t="s">
        <v>2253</v>
      </c>
      <c r="B412" s="63" t="s">
        <v>16</v>
      </c>
      <c r="C412" s="63" t="s">
        <v>2908</v>
      </c>
      <c r="D412" s="63" t="s">
        <v>2909</v>
      </c>
      <c r="E412" s="63" t="s">
        <v>2910</v>
      </c>
      <c r="F412" s="63" t="s">
        <v>2293</v>
      </c>
      <c r="G412" s="63" t="s">
        <v>28</v>
      </c>
      <c r="H412" s="63" t="s">
        <v>28</v>
      </c>
      <c r="I412" s="63" t="s">
        <v>911</v>
      </c>
    </row>
    <row r="413" ht="11.25" customHeight="1">
      <c r="A413" s="63" t="s">
        <v>2253</v>
      </c>
      <c r="B413" s="63" t="s">
        <v>16</v>
      </c>
      <c r="C413" s="63" t="s">
        <v>2911</v>
      </c>
      <c r="D413" s="63" t="s">
        <v>2912</v>
      </c>
      <c r="E413" s="63" t="s">
        <v>2913</v>
      </c>
      <c r="F413" s="63" t="s">
        <v>2902</v>
      </c>
      <c r="G413" s="63" t="s">
        <v>28</v>
      </c>
      <c r="H413" s="63" t="s">
        <v>28</v>
      </c>
      <c r="I413" s="63" t="s">
        <v>911</v>
      </c>
    </row>
    <row r="414" ht="11.25" customHeight="1">
      <c r="A414" s="63" t="s">
        <v>2253</v>
      </c>
      <c r="B414" s="63" t="s">
        <v>16</v>
      </c>
      <c r="C414" s="63" t="s">
        <v>2914</v>
      </c>
      <c r="D414" s="63" t="s">
        <v>2915</v>
      </c>
      <c r="E414" s="63" t="s">
        <v>2916</v>
      </c>
      <c r="F414" s="63" t="s">
        <v>2703</v>
      </c>
      <c r="G414" s="63" t="s">
        <v>28</v>
      </c>
      <c r="H414" s="63" t="s">
        <v>28</v>
      </c>
      <c r="I414" s="63" t="s">
        <v>911</v>
      </c>
    </row>
    <row r="415" ht="11.25" customHeight="1">
      <c r="A415" s="63" t="s">
        <v>2253</v>
      </c>
      <c r="B415" s="63" t="s">
        <v>16</v>
      </c>
      <c r="C415" s="63" t="s">
        <v>3137</v>
      </c>
      <c r="D415" s="63" t="s">
        <v>3138</v>
      </c>
      <c r="E415" s="63" t="s">
        <v>3139</v>
      </c>
      <c r="F415" s="63" t="s">
        <v>2264</v>
      </c>
      <c r="G415" s="63" t="s">
        <v>2907</v>
      </c>
      <c r="H415" s="63" t="s">
        <v>28</v>
      </c>
      <c r="I415" s="63" t="s">
        <v>911</v>
      </c>
    </row>
    <row r="416" ht="11.25" customHeight="1">
      <c r="A416" s="63" t="s">
        <v>2253</v>
      </c>
      <c r="B416" s="63" t="s">
        <v>16</v>
      </c>
      <c r="C416" s="63" t="s">
        <v>3140</v>
      </c>
      <c r="D416" s="63" t="s">
        <v>3138</v>
      </c>
      <c r="E416" s="63" t="s">
        <v>3141</v>
      </c>
      <c r="F416" s="63" t="s">
        <v>2730</v>
      </c>
      <c r="G416" s="63" t="s">
        <v>2920</v>
      </c>
      <c r="H416" s="63" t="s">
        <v>28</v>
      </c>
      <c r="I416" s="63" t="s">
        <v>911</v>
      </c>
    </row>
    <row r="417" ht="11.25" customHeight="1">
      <c r="A417" s="63" t="s">
        <v>2253</v>
      </c>
      <c r="B417" s="63" t="s">
        <v>16</v>
      </c>
      <c r="C417" s="63" t="s">
        <v>2508</v>
      </c>
      <c r="D417" s="63" t="s">
        <v>2509</v>
      </c>
      <c r="E417" s="63" t="s">
        <v>2510</v>
      </c>
      <c r="F417" s="63" t="s">
        <v>2511</v>
      </c>
      <c r="G417" s="63" t="s">
        <v>2512</v>
      </c>
      <c r="H417" s="63" t="s">
        <v>2513</v>
      </c>
      <c r="I417" s="63" t="s">
        <v>911</v>
      </c>
    </row>
    <row r="418" ht="11.25" customHeight="1">
      <c r="A418" s="63" t="s">
        <v>2253</v>
      </c>
      <c r="B418" s="63" t="s">
        <v>16</v>
      </c>
      <c r="C418" s="63" t="s">
        <v>2921</v>
      </c>
      <c r="D418" s="63" t="s">
        <v>2922</v>
      </c>
      <c r="E418" s="63" t="s">
        <v>2923</v>
      </c>
      <c r="F418" s="63" t="s">
        <v>2305</v>
      </c>
      <c r="G418" s="63" t="s">
        <v>28</v>
      </c>
      <c r="H418" s="63" t="s">
        <v>28</v>
      </c>
      <c r="I418" s="63" t="s">
        <v>911</v>
      </c>
    </row>
    <row r="419" ht="11.25" customHeight="1">
      <c r="A419" s="63" t="s">
        <v>2253</v>
      </c>
      <c r="B419" s="63" t="s">
        <v>16</v>
      </c>
      <c r="C419" s="63" t="s">
        <v>3142</v>
      </c>
      <c r="D419" s="63" t="s">
        <v>3143</v>
      </c>
      <c r="E419" s="63" t="s">
        <v>3144</v>
      </c>
      <c r="F419" s="63" t="s">
        <v>2260</v>
      </c>
      <c r="G419" s="63" t="s">
        <v>28</v>
      </c>
      <c r="H419" s="63" t="s">
        <v>28</v>
      </c>
      <c r="I419" s="63" t="s">
        <v>911</v>
      </c>
    </row>
    <row r="420" ht="11.25" customHeight="1">
      <c r="A420" s="63" t="s">
        <v>2253</v>
      </c>
      <c r="B420" s="63" t="s">
        <v>16</v>
      </c>
      <c r="C420" s="63" t="s">
        <v>2927</v>
      </c>
      <c r="D420" s="63" t="s">
        <v>2928</v>
      </c>
      <c r="E420" s="63" t="s">
        <v>2929</v>
      </c>
      <c r="F420" s="63" t="s">
        <v>2305</v>
      </c>
      <c r="G420" s="63" t="s">
        <v>2930</v>
      </c>
      <c r="H420" s="63" t="s">
        <v>28</v>
      </c>
      <c r="I420" s="63" t="s">
        <v>911</v>
      </c>
    </row>
    <row r="421" ht="11.25" customHeight="1">
      <c r="A421" s="63" t="s">
        <v>2253</v>
      </c>
      <c r="B421" s="63" t="s">
        <v>16</v>
      </c>
      <c r="C421" s="63" t="s">
        <v>2931</v>
      </c>
      <c r="D421" s="63" t="s">
        <v>2932</v>
      </c>
      <c r="E421" s="63" t="s">
        <v>2933</v>
      </c>
      <c r="F421" s="63" t="s">
        <v>2334</v>
      </c>
      <c r="G421" s="63" t="s">
        <v>28</v>
      </c>
      <c r="H421" s="63" t="s">
        <v>2934</v>
      </c>
      <c r="I421" s="63" t="s">
        <v>911</v>
      </c>
    </row>
    <row r="422" ht="11.25" customHeight="1">
      <c r="A422" s="63" t="s">
        <v>2253</v>
      </c>
      <c r="B422" s="63" t="s">
        <v>16</v>
      </c>
      <c r="C422" s="63" t="s">
        <v>2935</v>
      </c>
      <c r="D422" s="63" t="s">
        <v>2936</v>
      </c>
      <c r="E422" s="63" t="s">
        <v>2937</v>
      </c>
      <c r="F422" s="63" t="s">
        <v>2256</v>
      </c>
      <c r="G422" s="63" t="s">
        <v>28</v>
      </c>
      <c r="H422" s="63" t="s">
        <v>28</v>
      </c>
      <c r="I422" s="63" t="s">
        <v>911</v>
      </c>
    </row>
    <row r="423" ht="11.25" customHeight="1">
      <c r="A423" s="63" t="s">
        <v>2253</v>
      </c>
      <c r="B423" s="63" t="s">
        <v>16</v>
      </c>
      <c r="C423" s="63" t="s">
        <v>2938</v>
      </c>
      <c r="D423" s="63" t="s">
        <v>2939</v>
      </c>
      <c r="E423" s="63" t="s">
        <v>2940</v>
      </c>
      <c r="F423" s="63" t="s">
        <v>2260</v>
      </c>
      <c r="G423" s="63" t="s">
        <v>28</v>
      </c>
      <c r="H423" s="63" t="s">
        <v>28</v>
      </c>
      <c r="I423" s="63" t="s">
        <v>911</v>
      </c>
    </row>
    <row r="424" ht="11.25" customHeight="1">
      <c r="A424" s="63" t="s">
        <v>2253</v>
      </c>
      <c r="B424" s="63" t="s">
        <v>16</v>
      </c>
      <c r="C424" s="63" t="s">
        <v>2526</v>
      </c>
      <c r="D424" s="63" t="s">
        <v>2527</v>
      </c>
      <c r="E424" s="63" t="s">
        <v>2528</v>
      </c>
      <c r="F424" s="63" t="s">
        <v>2511</v>
      </c>
      <c r="G424" s="63" t="s">
        <v>28</v>
      </c>
      <c r="H424" s="63" t="s">
        <v>28</v>
      </c>
      <c r="I424" s="63" t="s">
        <v>911</v>
      </c>
    </row>
    <row r="425" ht="11.25" customHeight="1">
      <c r="A425" s="63" t="s">
        <v>2253</v>
      </c>
      <c r="B425" s="63" t="s">
        <v>16</v>
      </c>
      <c r="C425" s="63" t="s">
        <v>2532</v>
      </c>
      <c r="D425" s="63" t="s">
        <v>2533</v>
      </c>
      <c r="E425" s="63" t="s">
        <v>2534</v>
      </c>
      <c r="F425" s="63" t="s">
        <v>2511</v>
      </c>
      <c r="G425" s="63" t="s">
        <v>28</v>
      </c>
      <c r="H425" s="63" t="s">
        <v>28</v>
      </c>
      <c r="I425" s="63" t="s">
        <v>911</v>
      </c>
    </row>
    <row r="426" ht="11.25" customHeight="1">
      <c r="A426" s="63" t="s">
        <v>2253</v>
      </c>
      <c r="B426" s="63" t="s">
        <v>16</v>
      </c>
      <c r="C426" s="63" t="s">
        <v>2941</v>
      </c>
      <c r="D426" s="63" t="s">
        <v>2942</v>
      </c>
      <c r="E426" s="63" t="s">
        <v>2943</v>
      </c>
      <c r="F426" s="63" t="s">
        <v>2511</v>
      </c>
      <c r="G426" s="63" t="s">
        <v>28</v>
      </c>
      <c r="H426" s="63" t="s">
        <v>28</v>
      </c>
      <c r="I426" s="63" t="s">
        <v>911</v>
      </c>
    </row>
    <row r="427" ht="11.25" customHeight="1">
      <c r="A427" s="63" t="s">
        <v>2253</v>
      </c>
      <c r="B427" s="63" t="s">
        <v>16</v>
      </c>
      <c r="C427" s="63" t="s">
        <v>2944</v>
      </c>
      <c r="D427" s="63" t="s">
        <v>2945</v>
      </c>
      <c r="E427" s="63" t="s">
        <v>2946</v>
      </c>
      <c r="F427" s="63" t="s">
        <v>2387</v>
      </c>
      <c r="G427" s="63" t="s">
        <v>2947</v>
      </c>
      <c r="H427" s="63" t="s">
        <v>28</v>
      </c>
      <c r="I427" s="63" t="s">
        <v>911</v>
      </c>
    </row>
    <row r="428" ht="11.25" customHeight="1">
      <c r="A428" s="63" t="s">
        <v>2253</v>
      </c>
      <c r="B428" s="63" t="s">
        <v>16</v>
      </c>
      <c r="C428" s="63" t="s">
        <v>2948</v>
      </c>
      <c r="D428" s="63" t="s">
        <v>2949</v>
      </c>
      <c r="E428" s="63" t="s">
        <v>2950</v>
      </c>
      <c r="F428" s="63" t="s">
        <v>2260</v>
      </c>
      <c r="G428" s="63" t="s">
        <v>2951</v>
      </c>
      <c r="H428" s="63" t="s">
        <v>2952</v>
      </c>
      <c r="I428" s="63" t="s">
        <v>911</v>
      </c>
    </row>
    <row r="429" ht="11.25" customHeight="1">
      <c r="A429" s="63" t="s">
        <v>2253</v>
      </c>
      <c r="B429" s="63" t="s">
        <v>16</v>
      </c>
      <c r="C429" s="63" t="s">
        <v>2953</v>
      </c>
      <c r="D429" s="63" t="s">
        <v>2954</v>
      </c>
      <c r="E429" s="63" t="s">
        <v>2955</v>
      </c>
      <c r="F429" s="63" t="s">
        <v>2407</v>
      </c>
      <c r="G429" s="63" t="s">
        <v>28</v>
      </c>
      <c r="H429" s="63" t="s">
        <v>28</v>
      </c>
      <c r="I429" s="63" t="s">
        <v>911</v>
      </c>
    </row>
    <row r="430" ht="11.25" customHeight="1">
      <c r="A430" s="63" t="s">
        <v>2253</v>
      </c>
      <c r="B430" s="63" t="s">
        <v>16</v>
      </c>
      <c r="C430" s="63" t="s">
        <v>2956</v>
      </c>
      <c r="D430" s="63" t="s">
        <v>2957</v>
      </c>
      <c r="E430" s="63" t="s">
        <v>2958</v>
      </c>
      <c r="F430" s="63" t="s">
        <v>2730</v>
      </c>
      <c r="G430" s="63" t="s">
        <v>2959</v>
      </c>
      <c r="H430" s="63" t="s">
        <v>28</v>
      </c>
      <c r="I430" s="63" t="s">
        <v>911</v>
      </c>
    </row>
    <row r="431" ht="11.25" customHeight="1">
      <c r="A431" s="63" t="s">
        <v>2253</v>
      </c>
      <c r="B431" s="63" t="s">
        <v>16</v>
      </c>
      <c r="C431" s="63" t="s">
        <v>2960</v>
      </c>
      <c r="D431" s="63" t="s">
        <v>2961</v>
      </c>
      <c r="E431" s="63" t="s">
        <v>2962</v>
      </c>
      <c r="F431" s="63" t="s">
        <v>2326</v>
      </c>
      <c r="G431" s="63" t="s">
        <v>2963</v>
      </c>
      <c r="H431" s="63" t="s">
        <v>28</v>
      </c>
      <c r="I431" s="63" t="s">
        <v>911</v>
      </c>
    </row>
    <row r="432" ht="11.25" customHeight="1">
      <c r="A432" s="63" t="s">
        <v>2253</v>
      </c>
      <c r="B432" s="63" t="s">
        <v>16</v>
      </c>
      <c r="C432" s="63" t="s">
        <v>3145</v>
      </c>
      <c r="D432" s="63" t="s">
        <v>3146</v>
      </c>
      <c r="E432" s="63" t="s">
        <v>3147</v>
      </c>
      <c r="F432" s="63" t="s">
        <v>2256</v>
      </c>
      <c r="G432" s="63" t="s">
        <v>28</v>
      </c>
      <c r="H432" s="63" t="s">
        <v>3148</v>
      </c>
      <c r="I432" s="63" t="s">
        <v>911</v>
      </c>
    </row>
    <row r="433" ht="11.25" customHeight="1">
      <c r="A433" s="63" t="s">
        <v>2253</v>
      </c>
      <c r="B433" s="63" t="s">
        <v>16</v>
      </c>
      <c r="C433" s="63" t="s">
        <v>2544</v>
      </c>
      <c r="D433" s="63" t="s">
        <v>2545</v>
      </c>
      <c r="E433" s="63" t="s">
        <v>2546</v>
      </c>
      <c r="F433" s="63" t="s">
        <v>2511</v>
      </c>
      <c r="G433" s="63" t="s">
        <v>28</v>
      </c>
      <c r="H433" s="63" t="s">
        <v>28</v>
      </c>
      <c r="I433" s="63" t="s">
        <v>911</v>
      </c>
    </row>
    <row r="434" ht="11.25" customHeight="1">
      <c r="A434" s="63" t="s">
        <v>2253</v>
      </c>
      <c r="B434" s="63" t="s">
        <v>16</v>
      </c>
      <c r="C434" s="63" t="s">
        <v>2968</v>
      </c>
      <c r="D434" s="63" t="s">
        <v>2969</v>
      </c>
      <c r="E434" s="63" t="s">
        <v>2970</v>
      </c>
      <c r="F434" s="63" t="s">
        <v>2387</v>
      </c>
      <c r="G434" s="63" t="s">
        <v>28</v>
      </c>
      <c r="H434" s="63" t="s">
        <v>28</v>
      </c>
      <c r="I434" s="63" t="s">
        <v>911</v>
      </c>
    </row>
    <row r="435" ht="11.25" customHeight="1">
      <c r="A435" s="63" t="s">
        <v>2253</v>
      </c>
      <c r="B435" s="63" t="s">
        <v>16</v>
      </c>
      <c r="C435" s="63" t="s">
        <v>2971</v>
      </c>
      <c r="D435" s="63" t="s">
        <v>2972</v>
      </c>
      <c r="E435" s="63" t="s">
        <v>2973</v>
      </c>
      <c r="F435" s="63" t="s">
        <v>2317</v>
      </c>
      <c r="G435" s="63" t="s">
        <v>2974</v>
      </c>
      <c r="H435" s="63" t="s">
        <v>28</v>
      </c>
      <c r="I435" s="63" t="s">
        <v>911</v>
      </c>
    </row>
    <row r="436" ht="11.25" customHeight="1">
      <c r="A436" s="63" t="s">
        <v>2253</v>
      </c>
      <c r="B436" s="63" t="s">
        <v>16</v>
      </c>
      <c r="C436" s="63" t="s">
        <v>2565</v>
      </c>
      <c r="D436" s="63" t="s">
        <v>2566</v>
      </c>
      <c r="E436" s="63" t="s">
        <v>2567</v>
      </c>
      <c r="F436" s="63" t="s">
        <v>2305</v>
      </c>
      <c r="G436" s="63" t="s">
        <v>28</v>
      </c>
      <c r="H436" s="63" t="s">
        <v>28</v>
      </c>
      <c r="I436" s="63" t="s">
        <v>911</v>
      </c>
    </row>
    <row r="437" ht="11.25" customHeight="1">
      <c r="A437" s="63" t="s">
        <v>2253</v>
      </c>
      <c r="B437" s="63" t="s">
        <v>16</v>
      </c>
      <c r="C437" s="63" t="s">
        <v>2583</v>
      </c>
      <c r="D437" s="63" t="s">
        <v>2584</v>
      </c>
      <c r="E437" s="63" t="s">
        <v>2585</v>
      </c>
      <c r="F437" s="63" t="s">
        <v>2478</v>
      </c>
      <c r="G437" s="63" t="s">
        <v>2586</v>
      </c>
      <c r="H437" s="63" t="s">
        <v>28</v>
      </c>
      <c r="I437" s="63" t="s">
        <v>911</v>
      </c>
    </row>
    <row r="438" ht="11.25" customHeight="1">
      <c r="A438" s="63" t="s">
        <v>2253</v>
      </c>
      <c r="B438" s="63" t="s">
        <v>16</v>
      </c>
      <c r="C438" s="63" t="s">
        <v>2980</v>
      </c>
      <c r="D438" s="63" t="s">
        <v>2981</v>
      </c>
      <c r="E438" s="63" t="s">
        <v>2982</v>
      </c>
      <c r="F438" s="63" t="s">
        <v>2464</v>
      </c>
      <c r="G438" s="63" t="s">
        <v>28</v>
      </c>
      <c r="H438" s="63" t="s">
        <v>28</v>
      </c>
      <c r="I438" s="63" t="s">
        <v>911</v>
      </c>
    </row>
    <row r="439" ht="11.25" customHeight="1">
      <c r="A439" s="63" t="s">
        <v>2253</v>
      </c>
      <c r="B439" s="63" t="s">
        <v>16</v>
      </c>
      <c r="C439" s="63" t="s">
        <v>2983</v>
      </c>
      <c r="D439" s="63" t="s">
        <v>2984</v>
      </c>
      <c r="E439" s="63" t="s">
        <v>2985</v>
      </c>
      <c r="F439" s="63" t="s">
        <v>2407</v>
      </c>
      <c r="G439" s="63" t="s">
        <v>28</v>
      </c>
      <c r="H439" s="63" t="s">
        <v>28</v>
      </c>
      <c r="I439" s="63" t="s">
        <v>911</v>
      </c>
    </row>
    <row r="440" ht="11.25" customHeight="1">
      <c r="A440" s="63" t="s">
        <v>2253</v>
      </c>
      <c r="B440" s="63" t="s">
        <v>16</v>
      </c>
      <c r="C440" s="63" t="s">
        <v>2986</v>
      </c>
      <c r="D440" s="63" t="s">
        <v>2987</v>
      </c>
      <c r="E440" s="63" t="s">
        <v>2988</v>
      </c>
      <c r="F440" s="63" t="s">
        <v>2989</v>
      </c>
      <c r="G440" s="63" t="s">
        <v>28</v>
      </c>
      <c r="H440" s="63" t="s">
        <v>28</v>
      </c>
      <c r="I440" s="63" t="s">
        <v>911</v>
      </c>
    </row>
    <row r="441" ht="11.25" customHeight="1">
      <c r="A441" s="63" t="s">
        <v>2253</v>
      </c>
      <c r="B441" s="63" t="s">
        <v>16</v>
      </c>
      <c r="C441" s="63" t="s">
        <v>2990</v>
      </c>
      <c r="D441" s="63" t="s">
        <v>2991</v>
      </c>
      <c r="E441" s="63" t="s">
        <v>2992</v>
      </c>
      <c r="F441" s="63" t="s">
        <v>2478</v>
      </c>
      <c r="G441" s="63" t="s">
        <v>28</v>
      </c>
      <c r="H441" s="63" t="s">
        <v>28</v>
      </c>
      <c r="I441" s="63" t="s">
        <v>911</v>
      </c>
    </row>
    <row r="442" ht="11.25" customHeight="1">
      <c r="A442" s="63" t="s">
        <v>2253</v>
      </c>
      <c r="B442" s="63" t="s">
        <v>16</v>
      </c>
      <c r="C442" s="63" t="s">
        <v>2993</v>
      </c>
      <c r="D442" s="63" t="s">
        <v>2994</v>
      </c>
      <c r="E442" s="63" t="s">
        <v>2995</v>
      </c>
      <c r="F442" s="63" t="s">
        <v>2293</v>
      </c>
      <c r="G442" s="63" t="s">
        <v>28</v>
      </c>
      <c r="H442" s="63" t="s">
        <v>28</v>
      </c>
      <c r="I442" s="63" t="s">
        <v>911</v>
      </c>
    </row>
    <row r="443" ht="11.25" customHeight="1">
      <c r="A443" s="63" t="s">
        <v>2253</v>
      </c>
      <c r="B443" s="63" t="s">
        <v>16</v>
      </c>
      <c r="C443" s="63" t="s">
        <v>2606</v>
      </c>
      <c r="D443" s="63" t="s">
        <v>2607</v>
      </c>
      <c r="E443" s="63" t="s">
        <v>2608</v>
      </c>
      <c r="F443" s="63" t="s">
        <v>2387</v>
      </c>
      <c r="G443" s="63" t="s">
        <v>2327</v>
      </c>
      <c r="H443" s="63" t="s">
        <v>28</v>
      </c>
      <c r="I443" s="63" t="s">
        <v>911</v>
      </c>
    </row>
    <row r="444" ht="11.25" customHeight="1">
      <c r="A444" s="63" t="s">
        <v>2253</v>
      </c>
      <c r="B444" s="63" t="s">
        <v>16</v>
      </c>
      <c r="C444" s="63" t="s">
        <v>2996</v>
      </c>
      <c r="D444" s="63" t="s">
        <v>2997</v>
      </c>
      <c r="E444" s="63" t="s">
        <v>2998</v>
      </c>
      <c r="F444" s="63" t="s">
        <v>2407</v>
      </c>
      <c r="G444" s="63" t="s">
        <v>2999</v>
      </c>
      <c r="H444" s="63" t="s">
        <v>3000</v>
      </c>
      <c r="I444" s="63" t="s">
        <v>911</v>
      </c>
    </row>
    <row r="445" ht="11.25" customHeight="1">
      <c r="A445" s="63" t="s">
        <v>2253</v>
      </c>
      <c r="B445" s="63" t="s">
        <v>16</v>
      </c>
      <c r="C445" s="63" t="s">
        <v>3149</v>
      </c>
      <c r="D445" s="63" t="s">
        <v>3150</v>
      </c>
      <c r="E445" s="63" t="s">
        <v>3151</v>
      </c>
      <c r="F445" s="63" t="s">
        <v>2268</v>
      </c>
      <c r="G445" s="63" t="s">
        <v>3152</v>
      </c>
      <c r="H445" s="63" t="s">
        <v>28</v>
      </c>
      <c r="I445" s="63" t="s">
        <v>911</v>
      </c>
    </row>
    <row r="446" ht="11.25" customHeight="1">
      <c r="A446" s="63" t="s">
        <v>2253</v>
      </c>
      <c r="B446" s="63" t="s">
        <v>16</v>
      </c>
      <c r="C446" s="63" t="s">
        <v>3001</v>
      </c>
      <c r="D446" s="63" t="s">
        <v>3002</v>
      </c>
      <c r="E446" s="63" t="s">
        <v>3003</v>
      </c>
      <c r="F446" s="63" t="s">
        <v>2407</v>
      </c>
      <c r="G446" s="63" t="s">
        <v>28</v>
      </c>
      <c r="H446" s="63" t="s">
        <v>2934</v>
      </c>
      <c r="I446" s="63" t="s">
        <v>911</v>
      </c>
    </row>
    <row r="447" ht="11.25" customHeight="1">
      <c r="A447" s="63" t="s">
        <v>2253</v>
      </c>
      <c r="B447" s="63" t="s">
        <v>16</v>
      </c>
      <c r="C447" s="63" t="s">
        <v>3004</v>
      </c>
      <c r="D447" s="63" t="s">
        <v>3005</v>
      </c>
      <c r="E447" s="63" t="s">
        <v>3006</v>
      </c>
      <c r="F447" s="63" t="s">
        <v>2387</v>
      </c>
      <c r="G447" s="63" t="s">
        <v>3007</v>
      </c>
      <c r="H447" s="63" t="s">
        <v>28</v>
      </c>
      <c r="I447" s="63" t="s">
        <v>911</v>
      </c>
    </row>
    <row r="448" ht="11.25" customHeight="1">
      <c r="A448" s="63" t="s">
        <v>2253</v>
      </c>
      <c r="B448" s="63" t="s">
        <v>16</v>
      </c>
      <c r="C448" s="63" t="s">
        <v>3153</v>
      </c>
      <c r="D448" s="63" t="s">
        <v>3154</v>
      </c>
      <c r="E448" s="63" t="s">
        <v>3155</v>
      </c>
      <c r="F448" s="63" t="s">
        <v>2256</v>
      </c>
      <c r="G448" s="63" t="s">
        <v>3156</v>
      </c>
      <c r="H448" s="63" t="s">
        <v>3157</v>
      </c>
      <c r="I448" s="63" t="s">
        <v>911</v>
      </c>
    </row>
    <row r="449" ht="11.25" customHeight="1">
      <c r="A449" s="63" t="s">
        <v>2253</v>
      </c>
      <c r="B449" s="63" t="s">
        <v>16</v>
      </c>
      <c r="C449" s="63" t="s">
        <v>2638</v>
      </c>
      <c r="D449" s="63" t="s">
        <v>2639</v>
      </c>
      <c r="E449" s="63" t="s">
        <v>2640</v>
      </c>
      <c r="F449" s="63" t="s">
        <v>2641</v>
      </c>
      <c r="G449" s="63" t="s">
        <v>28</v>
      </c>
      <c r="H449" s="63" t="s">
        <v>28</v>
      </c>
      <c r="I449" s="63" t="s">
        <v>911</v>
      </c>
    </row>
    <row r="450" ht="11.25" customHeight="1">
      <c r="A450" s="63" t="s">
        <v>2253</v>
      </c>
      <c r="B450" s="63" t="s">
        <v>16</v>
      </c>
      <c r="C450" s="63" t="s">
        <v>3011</v>
      </c>
      <c r="D450" s="63" t="s">
        <v>3012</v>
      </c>
      <c r="E450" s="63" t="s">
        <v>3013</v>
      </c>
      <c r="F450" s="63" t="s">
        <v>2293</v>
      </c>
      <c r="G450" s="63" t="s">
        <v>28</v>
      </c>
      <c r="H450" s="63" t="s">
        <v>3014</v>
      </c>
      <c r="I450" s="63" t="s">
        <v>911</v>
      </c>
    </row>
    <row r="451" ht="11.25" customHeight="1">
      <c r="A451" s="63" t="s">
        <v>2253</v>
      </c>
      <c r="B451" s="63" t="s">
        <v>16</v>
      </c>
      <c r="C451" s="63" t="s">
        <v>3015</v>
      </c>
      <c r="D451" s="63" t="s">
        <v>3016</v>
      </c>
      <c r="E451" s="63" t="s">
        <v>3017</v>
      </c>
      <c r="F451" s="63" t="s">
        <v>2326</v>
      </c>
      <c r="G451" s="63" t="s">
        <v>28</v>
      </c>
      <c r="H451" s="63" t="s">
        <v>2934</v>
      </c>
      <c r="I451" s="63" t="s">
        <v>911</v>
      </c>
    </row>
    <row r="452" ht="11.25" customHeight="1">
      <c r="A452" s="63" t="s">
        <v>2253</v>
      </c>
      <c r="B452" s="63" t="s">
        <v>16</v>
      </c>
      <c r="C452" s="63" t="s">
        <v>3018</v>
      </c>
      <c r="D452" s="63" t="s">
        <v>3019</v>
      </c>
      <c r="E452" s="63" t="s">
        <v>3020</v>
      </c>
      <c r="F452" s="63" t="s">
        <v>2511</v>
      </c>
      <c r="G452" s="63" t="s">
        <v>28</v>
      </c>
      <c r="H452" s="63" t="s">
        <v>28</v>
      </c>
      <c r="I452" s="63" t="s">
        <v>911</v>
      </c>
    </row>
    <row r="453" ht="11.25" customHeight="1">
      <c r="A453" s="63" t="s">
        <v>2253</v>
      </c>
      <c r="B453" s="63" t="s">
        <v>16</v>
      </c>
      <c r="C453" s="63" t="s">
        <v>3021</v>
      </c>
      <c r="D453" s="63" t="s">
        <v>3022</v>
      </c>
      <c r="E453" s="63" t="s">
        <v>3023</v>
      </c>
      <c r="F453" s="63" t="s">
        <v>3024</v>
      </c>
      <c r="G453" s="63" t="s">
        <v>28</v>
      </c>
      <c r="H453" s="63" t="s">
        <v>3025</v>
      </c>
      <c r="I453" s="63" t="s">
        <v>911</v>
      </c>
    </row>
    <row r="454" ht="11.25" customHeight="1">
      <c r="A454" s="63" t="s">
        <v>2253</v>
      </c>
      <c r="B454" s="63" t="s">
        <v>16</v>
      </c>
      <c r="C454" s="63" t="s">
        <v>3030</v>
      </c>
      <c r="D454" s="63" t="s">
        <v>3031</v>
      </c>
      <c r="E454" s="63" t="s">
        <v>3032</v>
      </c>
      <c r="F454" s="63" t="s">
        <v>3033</v>
      </c>
      <c r="G454" s="63" t="s">
        <v>28</v>
      </c>
      <c r="H454" s="63" t="s">
        <v>2934</v>
      </c>
      <c r="I454" s="63" t="s">
        <v>911</v>
      </c>
    </row>
    <row r="455" ht="11.25" customHeight="1">
      <c r="A455" s="63" t="s">
        <v>2253</v>
      </c>
      <c r="B455" s="63" t="s">
        <v>16</v>
      </c>
      <c r="C455" s="63" t="s">
        <v>3037</v>
      </c>
      <c r="D455" s="63" t="s">
        <v>3038</v>
      </c>
      <c r="E455" s="63" t="s">
        <v>3039</v>
      </c>
      <c r="F455" s="63" t="s">
        <v>2371</v>
      </c>
      <c r="G455" s="63" t="s">
        <v>28</v>
      </c>
      <c r="H455" s="63" t="s">
        <v>28</v>
      </c>
      <c r="I455" s="63" t="s">
        <v>911</v>
      </c>
    </row>
    <row r="456" ht="11.25" customHeight="1">
      <c r="A456" s="63" t="s">
        <v>2253</v>
      </c>
      <c r="B456" s="63" t="s">
        <v>16</v>
      </c>
      <c r="C456" s="63" t="s">
        <v>3040</v>
      </c>
      <c r="D456" s="63" t="s">
        <v>3041</v>
      </c>
      <c r="E456" s="63" t="s">
        <v>3042</v>
      </c>
      <c r="F456" s="63" t="s">
        <v>2256</v>
      </c>
      <c r="G456" s="63" t="s">
        <v>28</v>
      </c>
      <c r="H456" s="63" t="s">
        <v>28</v>
      </c>
      <c r="I456" s="63" t="s">
        <v>911</v>
      </c>
    </row>
    <row r="457" ht="11.25" customHeight="1">
      <c r="A457" s="63" t="s">
        <v>2253</v>
      </c>
      <c r="B457" s="63" t="s">
        <v>16</v>
      </c>
      <c r="C457" s="63" t="s">
        <v>3046</v>
      </c>
      <c r="D457" s="63" t="s">
        <v>3047</v>
      </c>
      <c r="E457" s="63" t="s">
        <v>3048</v>
      </c>
      <c r="F457" s="63" t="s">
        <v>2317</v>
      </c>
      <c r="G457" s="63" t="s">
        <v>3049</v>
      </c>
      <c r="H457" s="63" t="s">
        <v>28</v>
      </c>
      <c r="I457" s="63" t="s">
        <v>911</v>
      </c>
    </row>
    <row r="458" ht="11.25" customHeight="1">
      <c r="A458" s="63" t="s">
        <v>2253</v>
      </c>
      <c r="B458" s="63" t="s">
        <v>16</v>
      </c>
      <c r="C458" s="63" t="s">
        <v>3050</v>
      </c>
      <c r="D458" s="63" t="s">
        <v>3051</v>
      </c>
      <c r="E458" s="63" t="s">
        <v>2255</v>
      </c>
      <c r="F458" s="63" t="s">
        <v>2256</v>
      </c>
      <c r="G458" s="63" t="s">
        <v>28</v>
      </c>
      <c r="H458" s="63" t="s">
        <v>28</v>
      </c>
      <c r="I458" s="63" t="s">
        <v>911</v>
      </c>
    </row>
    <row r="459" ht="11.25" customHeight="1">
      <c r="A459" s="63" t="s">
        <v>2253</v>
      </c>
      <c r="B459" s="63" t="s">
        <v>16</v>
      </c>
      <c r="C459" s="63" t="s">
        <v>3052</v>
      </c>
      <c r="D459" s="63" t="s">
        <v>3053</v>
      </c>
      <c r="E459" s="63" t="s">
        <v>3054</v>
      </c>
      <c r="F459" s="63" t="s">
        <v>2260</v>
      </c>
      <c r="G459" s="63" t="s">
        <v>28</v>
      </c>
      <c r="H459" s="63" t="s">
        <v>28</v>
      </c>
      <c r="I459" s="63" t="s">
        <v>911</v>
      </c>
    </row>
    <row r="460" ht="11.25" customHeight="1">
      <c r="A460" s="63" t="s">
        <v>2253</v>
      </c>
      <c r="B460" s="63" t="s">
        <v>16</v>
      </c>
      <c r="C460" s="63" t="s">
        <v>3055</v>
      </c>
      <c r="D460" s="63" t="s">
        <v>3056</v>
      </c>
      <c r="E460" s="63" t="s">
        <v>3057</v>
      </c>
      <c r="F460" s="63" t="s">
        <v>2260</v>
      </c>
      <c r="G460" s="63" t="s">
        <v>28</v>
      </c>
      <c r="H460" s="63" t="s">
        <v>28</v>
      </c>
      <c r="I460" s="63" t="s">
        <v>911</v>
      </c>
    </row>
    <row r="461" ht="11.25" customHeight="1">
      <c r="A461" s="63" t="s">
        <v>2253</v>
      </c>
      <c r="B461" s="63" t="s">
        <v>16</v>
      </c>
      <c r="C461" s="63" t="s">
        <v>2645</v>
      </c>
      <c r="D461" s="63" t="s">
        <v>2646</v>
      </c>
      <c r="E461" s="63" t="s">
        <v>2647</v>
      </c>
      <c r="F461" s="63" t="s">
        <v>2278</v>
      </c>
      <c r="G461" s="63" t="s">
        <v>28</v>
      </c>
      <c r="H461" s="63" t="s">
        <v>28</v>
      </c>
      <c r="I461" s="63" t="s">
        <v>911</v>
      </c>
    </row>
    <row r="462" ht="11.25" customHeight="1">
      <c r="A462" s="63" t="s">
        <v>2253</v>
      </c>
      <c r="B462" s="63" t="s">
        <v>16</v>
      </c>
      <c r="C462" s="63" t="s">
        <v>2656</v>
      </c>
      <c r="D462" s="63" t="s">
        <v>2657</v>
      </c>
      <c r="E462" s="63" t="s">
        <v>2658</v>
      </c>
      <c r="F462" s="63" t="s">
        <v>2618</v>
      </c>
      <c r="G462" s="63" t="s">
        <v>2659</v>
      </c>
      <c r="H462" s="63" t="s">
        <v>28</v>
      </c>
      <c r="I462" s="63" t="s">
        <v>911</v>
      </c>
    </row>
    <row r="463" ht="11.25" customHeight="1">
      <c r="A463" s="63" t="s">
        <v>2253</v>
      </c>
      <c r="B463" s="63" t="s">
        <v>16</v>
      </c>
      <c r="C463" s="63" t="s">
        <v>2660</v>
      </c>
      <c r="D463" s="63" t="s">
        <v>2661</v>
      </c>
      <c r="E463" s="63" t="s">
        <v>2662</v>
      </c>
      <c r="F463" s="63" t="s">
        <v>2317</v>
      </c>
      <c r="G463" s="63" t="s">
        <v>2663</v>
      </c>
      <c r="H463" s="63" t="s">
        <v>28</v>
      </c>
      <c r="I463" s="63" t="s">
        <v>911</v>
      </c>
    </row>
    <row r="464" ht="11.25" customHeight="1">
      <c r="A464" s="63" t="s">
        <v>2253</v>
      </c>
      <c r="B464" s="63" t="s">
        <v>16</v>
      </c>
      <c r="C464" s="63" t="s">
        <v>3064</v>
      </c>
      <c r="D464" s="63" t="s">
        <v>3065</v>
      </c>
      <c r="E464" s="63" t="s">
        <v>3066</v>
      </c>
      <c r="F464" s="63" t="s">
        <v>3033</v>
      </c>
      <c r="G464" s="63" t="s">
        <v>28</v>
      </c>
      <c r="H464" s="63" t="s">
        <v>28</v>
      </c>
      <c r="I464" s="63" t="s">
        <v>911</v>
      </c>
    </row>
    <row r="465" ht="11.25" customHeight="1">
      <c r="A465" s="63" t="s">
        <v>2253</v>
      </c>
      <c r="B465" s="63" t="s">
        <v>16</v>
      </c>
      <c r="C465" s="63" t="s">
        <v>3067</v>
      </c>
      <c r="D465" s="63" t="s">
        <v>3068</v>
      </c>
      <c r="E465" s="63" t="s">
        <v>3069</v>
      </c>
      <c r="F465" s="63" t="s">
        <v>2407</v>
      </c>
      <c r="G465" s="63" t="s">
        <v>28</v>
      </c>
      <c r="H465" s="63" t="s">
        <v>28</v>
      </c>
      <c r="I465" s="63" t="s">
        <v>911</v>
      </c>
    </row>
    <row r="466" ht="11.25" customHeight="1">
      <c r="A466" s="63" t="s">
        <v>2253</v>
      </c>
      <c r="B466" s="63" t="s">
        <v>16</v>
      </c>
      <c r="C466" s="63" t="s">
        <v>2674</v>
      </c>
      <c r="D466" s="63" t="s">
        <v>2675</v>
      </c>
      <c r="E466" s="63" t="s">
        <v>2676</v>
      </c>
      <c r="F466" s="63" t="s">
        <v>2478</v>
      </c>
      <c r="G466" s="63" t="s">
        <v>28</v>
      </c>
      <c r="H466" s="63" t="s">
        <v>28</v>
      </c>
      <c r="I466" s="63" t="s">
        <v>911</v>
      </c>
    </row>
    <row r="467" ht="11.25" customHeight="1">
      <c r="A467" s="63" t="s">
        <v>2253</v>
      </c>
      <c r="B467" s="63" t="s">
        <v>16</v>
      </c>
      <c r="C467" s="63" t="s">
        <v>2680</v>
      </c>
      <c r="D467" s="63" t="s">
        <v>2681</v>
      </c>
      <c r="E467" s="63" t="s">
        <v>2682</v>
      </c>
      <c r="F467" s="63" t="s">
        <v>2683</v>
      </c>
      <c r="G467" s="63" t="s">
        <v>2684</v>
      </c>
      <c r="H467" s="63" t="s">
        <v>28</v>
      </c>
      <c r="I467" s="63" t="s">
        <v>911</v>
      </c>
    </row>
    <row r="468" ht="11.25" customHeight="1">
      <c r="A468" s="63" t="s">
        <v>2253</v>
      </c>
      <c r="B468" s="63" t="s">
        <v>16</v>
      </c>
      <c r="C468" s="63" t="s">
        <v>2685</v>
      </c>
      <c r="D468" s="63" t="s">
        <v>2686</v>
      </c>
      <c r="E468" s="63" t="s">
        <v>2687</v>
      </c>
      <c r="F468" s="63" t="s">
        <v>2478</v>
      </c>
      <c r="G468" s="63" t="s">
        <v>28</v>
      </c>
      <c r="H468" s="63" t="s">
        <v>28</v>
      </c>
      <c r="I468" s="63" t="s">
        <v>911</v>
      </c>
    </row>
    <row r="469" ht="11.25" customHeight="1">
      <c r="A469" s="63" t="s">
        <v>2253</v>
      </c>
      <c r="B469" s="63" t="s">
        <v>16</v>
      </c>
      <c r="C469" s="63" t="s">
        <v>2691</v>
      </c>
      <c r="D469" s="63" t="s">
        <v>2692</v>
      </c>
      <c r="E469" s="63" t="s">
        <v>2693</v>
      </c>
      <c r="F469" s="63" t="s">
        <v>2293</v>
      </c>
      <c r="G469" s="63" t="s">
        <v>28</v>
      </c>
      <c r="H469" s="63" t="s">
        <v>28</v>
      </c>
      <c r="I469" s="63" t="s">
        <v>911</v>
      </c>
    </row>
    <row r="470" ht="11.25" customHeight="1">
      <c r="A470" s="63" t="s">
        <v>2253</v>
      </c>
      <c r="B470" s="63" t="s">
        <v>16</v>
      </c>
      <c r="C470" s="63" t="s">
        <v>2694</v>
      </c>
      <c r="D470" s="63" t="s">
        <v>2695</v>
      </c>
      <c r="E470" s="63" t="s">
        <v>2696</v>
      </c>
      <c r="F470" s="63" t="s">
        <v>2407</v>
      </c>
      <c r="G470" s="63" t="s">
        <v>28</v>
      </c>
      <c r="H470" s="63" t="s">
        <v>28</v>
      </c>
      <c r="I470" s="63" t="s">
        <v>911</v>
      </c>
    </row>
    <row r="471" ht="11.25" customHeight="1">
      <c r="A471" s="63" t="s">
        <v>2253</v>
      </c>
      <c r="B471" s="63" t="s">
        <v>16</v>
      </c>
      <c r="C471" s="63" t="s">
        <v>3070</v>
      </c>
      <c r="D471" s="63" t="s">
        <v>3071</v>
      </c>
      <c r="E471" s="63" t="s">
        <v>3072</v>
      </c>
      <c r="F471" s="63" t="s">
        <v>2838</v>
      </c>
      <c r="G471" s="63" t="s">
        <v>28</v>
      </c>
      <c r="H471" s="63" t="s">
        <v>28</v>
      </c>
      <c r="I471" s="63" t="s">
        <v>911</v>
      </c>
    </row>
    <row r="472" ht="11.25" customHeight="1">
      <c r="A472" s="63" t="s">
        <v>2253</v>
      </c>
      <c r="B472" s="63" t="s">
        <v>16</v>
      </c>
      <c r="C472" s="63" t="s">
        <v>3073</v>
      </c>
      <c r="D472" s="63" t="s">
        <v>3074</v>
      </c>
      <c r="E472" s="63" t="s">
        <v>3075</v>
      </c>
      <c r="F472" s="63" t="s">
        <v>2838</v>
      </c>
      <c r="G472" s="63" t="s">
        <v>28</v>
      </c>
      <c r="H472" s="63" t="s">
        <v>28</v>
      </c>
      <c r="I472" s="63" t="s">
        <v>911</v>
      </c>
    </row>
    <row r="473" ht="11.25" customHeight="1">
      <c r="A473" s="63" t="s">
        <v>2253</v>
      </c>
      <c r="B473" s="63" t="s">
        <v>16</v>
      </c>
      <c r="C473" s="63" t="s">
        <v>3076</v>
      </c>
      <c r="D473" s="63" t="s">
        <v>3077</v>
      </c>
      <c r="E473" s="63" t="s">
        <v>3078</v>
      </c>
      <c r="F473" s="63" t="s">
        <v>2293</v>
      </c>
      <c r="G473" s="63" t="s">
        <v>28</v>
      </c>
      <c r="H473" s="63" t="s">
        <v>28</v>
      </c>
      <c r="I473" s="63" t="s">
        <v>911</v>
      </c>
    </row>
    <row r="474" ht="11.25" customHeight="1">
      <c r="A474" s="63" t="s">
        <v>2253</v>
      </c>
      <c r="B474" s="63" t="s">
        <v>16</v>
      </c>
      <c r="C474" s="63" t="s">
        <v>2697</v>
      </c>
      <c r="D474" s="63" t="s">
        <v>2698</v>
      </c>
      <c r="E474" s="63" t="s">
        <v>2699</v>
      </c>
      <c r="F474" s="63" t="s">
        <v>2264</v>
      </c>
      <c r="G474" s="63" t="s">
        <v>28</v>
      </c>
      <c r="H474" s="63" t="s">
        <v>28</v>
      </c>
      <c r="I474" s="63" t="s">
        <v>911</v>
      </c>
    </row>
    <row r="475" ht="11.25" customHeight="1">
      <c r="A475" s="63" t="s">
        <v>2253</v>
      </c>
      <c r="B475" s="63" t="s">
        <v>16</v>
      </c>
      <c r="C475" s="63" t="s">
        <v>2700</v>
      </c>
      <c r="D475" s="63" t="s">
        <v>2701</v>
      </c>
      <c r="E475" s="63" t="s">
        <v>2702</v>
      </c>
      <c r="F475" s="63" t="s">
        <v>2703</v>
      </c>
      <c r="G475" s="63" t="s">
        <v>28</v>
      </c>
      <c r="H475" s="63" t="s">
        <v>28</v>
      </c>
      <c r="I475" s="63" t="s">
        <v>911</v>
      </c>
    </row>
    <row r="476" ht="11.25" customHeight="1">
      <c r="A476" s="63" t="s">
        <v>2253</v>
      </c>
      <c r="B476" s="63" t="s">
        <v>16</v>
      </c>
      <c r="C476" s="63" t="s">
        <v>3088</v>
      </c>
      <c r="D476" s="63" t="s">
        <v>3089</v>
      </c>
      <c r="E476" s="63" t="s">
        <v>3090</v>
      </c>
      <c r="F476" s="63" t="s">
        <v>2898</v>
      </c>
      <c r="G476" s="63" t="s">
        <v>3091</v>
      </c>
      <c r="H476" s="63" t="s">
        <v>28</v>
      </c>
      <c r="I476" s="63" t="s">
        <v>911</v>
      </c>
    </row>
    <row r="477" ht="11.25" customHeight="1">
      <c r="A477" s="63" t="s">
        <v>2253</v>
      </c>
      <c r="B477" s="63" t="s">
        <v>16</v>
      </c>
      <c r="C477" s="63" t="s">
        <v>3092</v>
      </c>
      <c r="D477" s="63" t="s">
        <v>3093</v>
      </c>
      <c r="E477" s="63" t="s">
        <v>3094</v>
      </c>
      <c r="F477" s="63" t="s">
        <v>2371</v>
      </c>
      <c r="G477" s="63" t="s">
        <v>28</v>
      </c>
      <c r="H477" s="63" t="s">
        <v>28</v>
      </c>
      <c r="I477" s="63" t="s">
        <v>911</v>
      </c>
    </row>
    <row r="478" ht="11.25" customHeight="1">
      <c r="A478" s="63" t="s">
        <v>2253</v>
      </c>
      <c r="B478" s="63" t="s">
        <v>16</v>
      </c>
      <c r="C478" s="63" t="s">
        <v>3095</v>
      </c>
      <c r="D478" s="63" t="s">
        <v>3096</v>
      </c>
      <c r="E478" s="63" t="s">
        <v>3097</v>
      </c>
      <c r="F478" s="63" t="s">
        <v>2399</v>
      </c>
      <c r="G478" s="63" t="s">
        <v>28</v>
      </c>
      <c r="H478" s="63" t="s">
        <v>28</v>
      </c>
      <c r="I478" s="63" t="s">
        <v>911</v>
      </c>
    </row>
    <row r="479" ht="11.25" customHeight="1">
      <c r="A479" s="63" t="s">
        <v>2253</v>
      </c>
      <c r="B479" s="63" t="s">
        <v>16</v>
      </c>
      <c r="C479" s="63" t="s">
        <v>3105</v>
      </c>
      <c r="D479" s="63" t="s">
        <v>3106</v>
      </c>
      <c r="E479" s="63" t="s">
        <v>3107</v>
      </c>
      <c r="F479" s="63" t="s">
        <v>2838</v>
      </c>
      <c r="G479" s="63" t="s">
        <v>3108</v>
      </c>
      <c r="H479" s="63" t="s">
        <v>3109</v>
      </c>
      <c r="I479" s="63" t="s">
        <v>911</v>
      </c>
    </row>
    <row r="480" ht="11.25" customHeight="1">
      <c r="A480" s="63" t="s">
        <v>2253</v>
      </c>
      <c r="B480" s="63" t="s">
        <v>16</v>
      </c>
      <c r="C480" s="63" t="s">
        <v>3110</v>
      </c>
      <c r="D480" s="63" t="s">
        <v>3111</v>
      </c>
      <c r="E480" s="63" t="s">
        <v>3112</v>
      </c>
      <c r="F480" s="63" t="s">
        <v>2326</v>
      </c>
      <c r="G480" s="63" t="s">
        <v>28</v>
      </c>
      <c r="H480" s="63" t="s">
        <v>28</v>
      </c>
      <c r="I480" s="63" t="s">
        <v>911</v>
      </c>
    </row>
    <row r="481" ht="11.25" customHeight="1">
      <c r="A481" s="63" t="s">
        <v>2253</v>
      </c>
      <c r="B481" s="63" t="s">
        <v>16</v>
      </c>
      <c r="C481" s="63" t="s">
        <v>28</v>
      </c>
      <c r="D481" s="63" t="s">
        <v>2254</v>
      </c>
      <c r="E481" s="63" t="s">
        <v>2255</v>
      </c>
      <c r="F481" s="63" t="s">
        <v>2256</v>
      </c>
      <c r="G481" s="63" t="s">
        <v>28</v>
      </c>
      <c r="H481" s="63" t="s">
        <v>28</v>
      </c>
      <c r="I481" s="63" t="s">
        <v>1626</v>
      </c>
    </row>
    <row r="482" ht="11.25" customHeight="1">
      <c r="A482" s="63" t="s">
        <v>2253</v>
      </c>
      <c r="B482" s="63" t="s">
        <v>16</v>
      </c>
      <c r="C482" s="63" t="s">
        <v>3158</v>
      </c>
      <c r="D482" s="63" t="s">
        <v>3159</v>
      </c>
      <c r="E482" s="63" t="s">
        <v>3160</v>
      </c>
      <c r="F482" s="63" t="s">
        <v>579</v>
      </c>
      <c r="G482" s="63" t="s">
        <v>3161</v>
      </c>
      <c r="H482" s="63" t="s">
        <v>3162</v>
      </c>
      <c r="I482" s="63" t="s">
        <v>1626</v>
      </c>
    </row>
    <row r="483" ht="11.25" customHeight="1">
      <c r="A483" s="63" t="s">
        <v>2253</v>
      </c>
      <c r="B483" s="63" t="s">
        <v>16</v>
      </c>
      <c r="C483" s="63" t="s">
        <v>2414</v>
      </c>
      <c r="D483" s="63" t="s">
        <v>2415</v>
      </c>
      <c r="E483" s="63" t="s">
        <v>2416</v>
      </c>
      <c r="F483" s="63" t="s">
        <v>2417</v>
      </c>
      <c r="G483" s="63" t="s">
        <v>2418</v>
      </c>
      <c r="H483" s="63" t="s">
        <v>28</v>
      </c>
      <c r="I483" s="63" t="s">
        <v>1626</v>
      </c>
    </row>
    <row r="484" ht="11.25" customHeight="1">
      <c r="A484" s="63" t="s">
        <v>2253</v>
      </c>
      <c r="B484" s="63" t="s">
        <v>16</v>
      </c>
      <c r="C484" s="63" t="s">
        <v>3163</v>
      </c>
      <c r="D484" s="63" t="s">
        <v>3164</v>
      </c>
      <c r="E484" s="63" t="s">
        <v>3165</v>
      </c>
      <c r="F484" s="63" t="s">
        <v>2264</v>
      </c>
      <c r="G484" s="63" t="s">
        <v>3166</v>
      </c>
      <c r="H484" s="63" t="s">
        <v>28</v>
      </c>
      <c r="I484" s="63" t="s">
        <v>1626</v>
      </c>
    </row>
    <row r="485" ht="11.25" customHeight="1">
      <c r="A485" s="63" t="s">
        <v>2253</v>
      </c>
      <c r="B485" s="63" t="s">
        <v>16</v>
      </c>
      <c r="C485" s="63" t="s">
        <v>3167</v>
      </c>
      <c r="D485" s="63" t="s">
        <v>3168</v>
      </c>
      <c r="E485" s="63" t="s">
        <v>3169</v>
      </c>
      <c r="F485" s="63" t="s">
        <v>2273</v>
      </c>
      <c r="G485" s="63" t="s">
        <v>3170</v>
      </c>
      <c r="H485" s="63" t="s">
        <v>28</v>
      </c>
      <c r="I485" s="63" t="s">
        <v>1626</v>
      </c>
    </row>
    <row r="486" ht="11.25" customHeight="1">
      <c r="A486" s="63" t="s">
        <v>2253</v>
      </c>
      <c r="B486" s="63" t="s">
        <v>16</v>
      </c>
      <c r="C486" s="63" t="s">
        <v>2806</v>
      </c>
      <c r="D486" s="63" t="s">
        <v>2807</v>
      </c>
      <c r="E486" s="63" t="s">
        <v>2808</v>
      </c>
      <c r="F486" s="63" t="s">
        <v>2511</v>
      </c>
      <c r="G486" s="63" t="s">
        <v>28</v>
      </c>
      <c r="H486" s="63" t="s">
        <v>28</v>
      </c>
      <c r="I486" s="63" t="s">
        <v>1626</v>
      </c>
    </row>
    <row r="487" ht="11.25" customHeight="1">
      <c r="A487" s="63" t="s">
        <v>2253</v>
      </c>
      <c r="B487" s="63" t="s">
        <v>16</v>
      </c>
      <c r="C487" s="63" t="s">
        <v>3171</v>
      </c>
      <c r="D487" s="63" t="s">
        <v>3172</v>
      </c>
      <c r="E487" s="63" t="s">
        <v>3173</v>
      </c>
      <c r="F487" s="63" t="s">
        <v>2525</v>
      </c>
      <c r="G487" s="63" t="s">
        <v>3174</v>
      </c>
      <c r="H487" s="63" t="s">
        <v>28</v>
      </c>
      <c r="I487" s="63" t="s">
        <v>1626</v>
      </c>
    </row>
    <row r="488" ht="11.25" customHeight="1">
      <c r="A488" s="63" t="s">
        <v>2253</v>
      </c>
      <c r="B488" s="63" t="s">
        <v>16</v>
      </c>
      <c r="C488" s="63" t="s">
        <v>2430</v>
      </c>
      <c r="D488" s="63" t="s">
        <v>2431</v>
      </c>
      <c r="E488" s="63" t="s">
        <v>2432</v>
      </c>
      <c r="F488" s="63" t="s">
        <v>2293</v>
      </c>
      <c r="G488" s="63" t="s">
        <v>2433</v>
      </c>
      <c r="H488" s="63" t="s">
        <v>28</v>
      </c>
      <c r="I488" s="63" t="s">
        <v>1626</v>
      </c>
    </row>
    <row r="489" ht="11.25" customHeight="1">
      <c r="A489" s="63" t="s">
        <v>2253</v>
      </c>
      <c r="B489" s="63" t="s">
        <v>16</v>
      </c>
      <c r="C489" s="63" t="s">
        <v>3175</v>
      </c>
      <c r="D489" s="63" t="s">
        <v>3176</v>
      </c>
      <c r="E489" s="63" t="s">
        <v>3177</v>
      </c>
      <c r="F489" s="63" t="s">
        <v>2399</v>
      </c>
      <c r="G489" s="63" t="s">
        <v>28</v>
      </c>
      <c r="H489" s="63" t="s">
        <v>28</v>
      </c>
      <c r="I489" s="63" t="s">
        <v>1626</v>
      </c>
    </row>
    <row r="490" ht="11.25" customHeight="1">
      <c r="A490" s="63" t="s">
        <v>2253</v>
      </c>
      <c r="B490" s="63" t="s">
        <v>16</v>
      </c>
      <c r="C490" s="63" t="s">
        <v>2438</v>
      </c>
      <c r="D490" s="63" t="s">
        <v>2439</v>
      </c>
      <c r="E490" s="63" t="s">
        <v>2440</v>
      </c>
      <c r="F490" s="63" t="s">
        <v>2301</v>
      </c>
      <c r="G490" s="63" t="s">
        <v>28</v>
      </c>
      <c r="H490" s="63" t="s">
        <v>28</v>
      </c>
      <c r="I490" s="63" t="s">
        <v>1626</v>
      </c>
    </row>
    <row r="491" ht="11.25" customHeight="1">
      <c r="A491" s="63" t="s">
        <v>2253</v>
      </c>
      <c r="B491" s="63" t="s">
        <v>16</v>
      </c>
      <c r="C491" s="63" t="s">
        <v>2441</v>
      </c>
      <c r="D491" s="63" t="s">
        <v>2442</v>
      </c>
      <c r="E491" s="63" t="s">
        <v>2443</v>
      </c>
      <c r="F491" s="63" t="s">
        <v>2301</v>
      </c>
      <c r="G491" s="63" t="s">
        <v>2444</v>
      </c>
      <c r="H491" s="63" t="s">
        <v>28</v>
      </c>
      <c r="I491" s="63" t="s">
        <v>1626</v>
      </c>
    </row>
    <row r="492" ht="11.25" customHeight="1">
      <c r="A492" s="63" t="s">
        <v>2253</v>
      </c>
      <c r="B492" s="63" t="s">
        <v>16</v>
      </c>
      <c r="C492" s="63" t="s">
        <v>3178</v>
      </c>
      <c r="D492" s="63" t="s">
        <v>3179</v>
      </c>
      <c r="E492" s="63" t="s">
        <v>3180</v>
      </c>
      <c r="F492" s="63" t="s">
        <v>2448</v>
      </c>
      <c r="G492" s="63" t="s">
        <v>3181</v>
      </c>
      <c r="H492" s="63" t="s">
        <v>28</v>
      </c>
      <c r="I492" s="63" t="s">
        <v>1626</v>
      </c>
    </row>
    <row r="493" ht="11.25" customHeight="1">
      <c r="A493" s="63" t="s">
        <v>2253</v>
      </c>
      <c r="B493" s="63" t="s">
        <v>16</v>
      </c>
      <c r="C493" s="63" t="s">
        <v>3182</v>
      </c>
      <c r="D493" s="63" t="s">
        <v>3183</v>
      </c>
      <c r="E493" s="63" t="s">
        <v>3184</v>
      </c>
      <c r="F493" s="63" t="s">
        <v>2429</v>
      </c>
      <c r="G493" s="63" t="s">
        <v>28</v>
      </c>
      <c r="H493" s="63" t="s">
        <v>28</v>
      </c>
      <c r="I493" s="63" t="s">
        <v>1626</v>
      </c>
    </row>
    <row r="494" ht="11.25" customHeight="1">
      <c r="A494" s="63" t="s">
        <v>2253</v>
      </c>
      <c r="B494" s="63" t="s">
        <v>16</v>
      </c>
      <c r="C494" s="63" t="s">
        <v>3185</v>
      </c>
      <c r="D494" s="63" t="s">
        <v>3186</v>
      </c>
      <c r="E494" s="63" t="s">
        <v>3187</v>
      </c>
      <c r="F494" s="63" t="s">
        <v>2305</v>
      </c>
      <c r="G494" s="63" t="s">
        <v>28</v>
      </c>
      <c r="H494" s="63" t="s">
        <v>28</v>
      </c>
      <c r="I494" s="63" t="s">
        <v>1626</v>
      </c>
    </row>
    <row r="495" ht="11.25" customHeight="1">
      <c r="A495" s="63" t="s">
        <v>2253</v>
      </c>
      <c r="B495" s="63" t="s">
        <v>16</v>
      </c>
      <c r="C495" s="63" t="s">
        <v>3188</v>
      </c>
      <c r="D495" s="63" t="s">
        <v>3189</v>
      </c>
      <c r="E495" s="63" t="s">
        <v>3190</v>
      </c>
      <c r="F495" s="63" t="s">
        <v>2256</v>
      </c>
      <c r="G495" s="63" t="s">
        <v>3191</v>
      </c>
      <c r="H495" s="63" t="s">
        <v>28</v>
      </c>
      <c r="I495" s="63" t="s">
        <v>1626</v>
      </c>
    </row>
    <row r="496" ht="11.25" customHeight="1">
      <c r="A496" s="63" t="s">
        <v>2253</v>
      </c>
      <c r="B496" s="63" t="s">
        <v>16</v>
      </c>
      <c r="C496" s="63" t="s">
        <v>3192</v>
      </c>
      <c r="D496" s="63" t="s">
        <v>3193</v>
      </c>
      <c r="E496" s="63" t="s">
        <v>3194</v>
      </c>
      <c r="F496" s="63" t="s">
        <v>2471</v>
      </c>
      <c r="G496" s="63" t="s">
        <v>3195</v>
      </c>
      <c r="H496" s="63" t="s">
        <v>28</v>
      </c>
      <c r="I496" s="63" t="s">
        <v>1626</v>
      </c>
    </row>
    <row r="497" ht="11.25" customHeight="1">
      <c r="A497" s="63" t="s">
        <v>2253</v>
      </c>
      <c r="B497" s="63" t="s">
        <v>16</v>
      </c>
      <c r="C497" s="63" t="s">
        <v>3196</v>
      </c>
      <c r="D497" s="63" t="s">
        <v>3197</v>
      </c>
      <c r="E497" s="63" t="s">
        <v>3198</v>
      </c>
      <c r="F497" s="63" t="s">
        <v>2525</v>
      </c>
      <c r="G497" s="63" t="s">
        <v>3199</v>
      </c>
      <c r="H497" s="63" t="s">
        <v>28</v>
      </c>
      <c r="I497" s="63" t="s">
        <v>1626</v>
      </c>
    </row>
    <row r="498" ht="11.25" customHeight="1">
      <c r="A498" s="63" t="s">
        <v>2253</v>
      </c>
      <c r="B498" s="63" t="s">
        <v>16</v>
      </c>
      <c r="C498" s="63" t="s">
        <v>3200</v>
      </c>
      <c r="D498" s="63" t="s">
        <v>3201</v>
      </c>
      <c r="E498" s="63" t="s">
        <v>3202</v>
      </c>
      <c r="F498" s="63" t="s">
        <v>2273</v>
      </c>
      <c r="G498" s="63" t="s">
        <v>3203</v>
      </c>
      <c r="H498" s="63" t="s">
        <v>28</v>
      </c>
      <c r="I498" s="63" t="s">
        <v>1626</v>
      </c>
    </row>
    <row r="499" ht="11.25" customHeight="1">
      <c r="A499" s="63" t="s">
        <v>2253</v>
      </c>
      <c r="B499" s="63" t="s">
        <v>16</v>
      </c>
      <c r="C499" s="63" t="s">
        <v>3204</v>
      </c>
      <c r="D499" s="63" t="s">
        <v>3205</v>
      </c>
      <c r="E499" s="63" t="s">
        <v>3206</v>
      </c>
      <c r="F499" s="63" t="s">
        <v>2641</v>
      </c>
      <c r="G499" s="63" t="s">
        <v>3207</v>
      </c>
      <c r="H499" s="63" t="s">
        <v>28</v>
      </c>
      <c r="I499" s="63" t="s">
        <v>1626</v>
      </c>
    </row>
    <row r="500" ht="11.25" customHeight="1">
      <c r="A500" s="63" t="s">
        <v>2253</v>
      </c>
      <c r="B500" s="63" t="s">
        <v>16</v>
      </c>
      <c r="C500" s="63" t="s">
        <v>3208</v>
      </c>
      <c r="D500" s="63" t="s">
        <v>3209</v>
      </c>
      <c r="E500" s="63" t="s">
        <v>3210</v>
      </c>
      <c r="F500" s="63" t="s">
        <v>2822</v>
      </c>
      <c r="G500" s="63" t="s">
        <v>3211</v>
      </c>
      <c r="H500" s="63" t="s">
        <v>28</v>
      </c>
      <c r="I500" s="63" t="s">
        <v>1626</v>
      </c>
    </row>
    <row r="501" ht="11.25" customHeight="1">
      <c r="A501" s="63" t="s">
        <v>2253</v>
      </c>
      <c r="B501" s="63" t="s">
        <v>16</v>
      </c>
      <c r="C501" s="63" t="s">
        <v>2941</v>
      </c>
      <c r="D501" s="63" t="s">
        <v>2942</v>
      </c>
      <c r="E501" s="63" t="s">
        <v>2943</v>
      </c>
      <c r="F501" s="63" t="s">
        <v>2511</v>
      </c>
      <c r="G501" s="63" t="s">
        <v>28</v>
      </c>
      <c r="H501" s="63" t="s">
        <v>28</v>
      </c>
      <c r="I501" s="63" t="s">
        <v>1626</v>
      </c>
    </row>
    <row r="502" ht="11.25" customHeight="1">
      <c r="A502" s="63" t="s">
        <v>2253</v>
      </c>
      <c r="B502" s="63" t="s">
        <v>16</v>
      </c>
      <c r="C502" s="63" t="s">
        <v>3212</v>
      </c>
      <c r="D502" s="63" t="s">
        <v>3213</v>
      </c>
      <c r="E502" s="63" t="s">
        <v>3214</v>
      </c>
      <c r="F502" s="63" t="s">
        <v>2730</v>
      </c>
      <c r="G502" s="63" t="s">
        <v>3215</v>
      </c>
      <c r="H502" s="63" t="s">
        <v>28</v>
      </c>
      <c r="I502" s="63" t="s">
        <v>1626</v>
      </c>
    </row>
    <row r="503" ht="11.25" customHeight="1">
      <c r="A503" s="63" t="s">
        <v>2253</v>
      </c>
      <c r="B503" s="63" t="s">
        <v>16</v>
      </c>
      <c r="C503" s="63" t="s">
        <v>3216</v>
      </c>
      <c r="D503" s="63" t="s">
        <v>3217</v>
      </c>
      <c r="E503" s="63" t="s">
        <v>3218</v>
      </c>
      <c r="F503" s="63" t="s">
        <v>2326</v>
      </c>
      <c r="G503" s="63" t="s">
        <v>28</v>
      </c>
      <c r="H503" s="63" t="s">
        <v>28</v>
      </c>
      <c r="I503" s="63" t="s">
        <v>1626</v>
      </c>
    </row>
    <row r="504" ht="11.25" customHeight="1">
      <c r="A504" s="63" t="s">
        <v>2253</v>
      </c>
      <c r="B504" s="63" t="s">
        <v>16</v>
      </c>
      <c r="C504" s="63" t="s">
        <v>3219</v>
      </c>
      <c r="D504" s="63" t="s">
        <v>3220</v>
      </c>
      <c r="E504" s="63" t="s">
        <v>3221</v>
      </c>
      <c r="F504" s="63" t="s">
        <v>2260</v>
      </c>
      <c r="G504" s="63" t="s">
        <v>3222</v>
      </c>
      <c r="H504" s="63" t="s">
        <v>28</v>
      </c>
      <c r="I504" s="63" t="s">
        <v>1626</v>
      </c>
    </row>
    <row r="505" ht="11.25" customHeight="1">
      <c r="A505" s="63" t="s">
        <v>2253</v>
      </c>
      <c r="B505" s="63" t="s">
        <v>16</v>
      </c>
      <c r="C505" s="63" t="s">
        <v>3223</v>
      </c>
      <c r="D505" s="63" t="s">
        <v>3224</v>
      </c>
      <c r="E505" s="63" t="s">
        <v>3225</v>
      </c>
      <c r="F505" s="63" t="s">
        <v>2268</v>
      </c>
      <c r="G505" s="63" t="s">
        <v>28</v>
      </c>
      <c r="H505" s="63" t="s">
        <v>28</v>
      </c>
      <c r="I505" s="63" t="s">
        <v>1626</v>
      </c>
    </row>
    <row r="506" ht="11.25" customHeight="1">
      <c r="A506" s="63" t="s">
        <v>2253</v>
      </c>
      <c r="B506" s="63" t="s">
        <v>16</v>
      </c>
      <c r="C506" s="63" t="s">
        <v>3226</v>
      </c>
      <c r="D506" s="63" t="s">
        <v>3227</v>
      </c>
      <c r="E506" s="63" t="s">
        <v>3228</v>
      </c>
      <c r="F506" s="63" t="s">
        <v>2429</v>
      </c>
      <c r="G506" s="63" t="s">
        <v>3229</v>
      </c>
      <c r="H506" s="63" t="s">
        <v>28</v>
      </c>
      <c r="I506" s="63" t="s">
        <v>1626</v>
      </c>
    </row>
    <row r="507" ht="11.25" customHeight="1">
      <c r="A507" s="63" t="s">
        <v>2253</v>
      </c>
      <c r="B507" s="63" t="s">
        <v>16</v>
      </c>
      <c r="C507" s="63" t="s">
        <v>3230</v>
      </c>
      <c r="D507" s="63" t="s">
        <v>3231</v>
      </c>
      <c r="E507" s="63" t="s">
        <v>3232</v>
      </c>
      <c r="F507" s="63" t="s">
        <v>2542</v>
      </c>
      <c r="G507" s="63" t="s">
        <v>28</v>
      </c>
      <c r="H507" s="63" t="s">
        <v>28</v>
      </c>
      <c r="I507" s="63" t="s">
        <v>1626</v>
      </c>
    </row>
    <row r="508" ht="11.25" customHeight="1">
      <c r="A508" s="63" t="s">
        <v>2253</v>
      </c>
      <c r="B508" s="63" t="s">
        <v>16</v>
      </c>
      <c r="C508" s="63" t="s">
        <v>3233</v>
      </c>
      <c r="D508" s="63" t="s">
        <v>3234</v>
      </c>
      <c r="E508" s="63" t="s">
        <v>3235</v>
      </c>
      <c r="F508" s="63" t="s">
        <v>2260</v>
      </c>
      <c r="G508" s="63" t="s">
        <v>3236</v>
      </c>
      <c r="H508" s="63" t="s">
        <v>28</v>
      </c>
      <c r="I508" s="63" t="s">
        <v>1626</v>
      </c>
    </row>
    <row r="509" ht="11.25" customHeight="1">
      <c r="A509" s="63" t="s">
        <v>2253</v>
      </c>
      <c r="B509" s="63" t="s">
        <v>16</v>
      </c>
      <c r="C509" s="63" t="s">
        <v>3237</v>
      </c>
      <c r="D509" s="63" t="s">
        <v>3238</v>
      </c>
      <c r="E509" s="63" t="s">
        <v>3239</v>
      </c>
      <c r="F509" s="63" t="s">
        <v>2256</v>
      </c>
      <c r="G509" s="63" t="s">
        <v>3240</v>
      </c>
      <c r="H509" s="63" t="s">
        <v>28</v>
      </c>
      <c r="I509" s="63" t="s">
        <v>1626</v>
      </c>
    </row>
    <row r="510" ht="11.25" customHeight="1">
      <c r="A510" s="63" t="s">
        <v>2253</v>
      </c>
      <c r="B510" s="63" t="s">
        <v>16</v>
      </c>
      <c r="C510" s="63" t="s">
        <v>3241</v>
      </c>
      <c r="D510" s="63" t="s">
        <v>3242</v>
      </c>
      <c r="E510" s="63" t="s">
        <v>3243</v>
      </c>
      <c r="F510" s="63" t="s">
        <v>2371</v>
      </c>
      <c r="G510" s="63" t="s">
        <v>3244</v>
      </c>
      <c r="H510" s="63" t="s">
        <v>28</v>
      </c>
      <c r="I510" s="63" t="s">
        <v>1626</v>
      </c>
    </row>
    <row r="511" ht="11.25" customHeight="1">
      <c r="A511" s="63" t="s">
        <v>2253</v>
      </c>
      <c r="B511" s="63" t="s">
        <v>16</v>
      </c>
      <c r="C511" s="63" t="s">
        <v>3245</v>
      </c>
      <c r="D511" s="63" t="s">
        <v>3246</v>
      </c>
      <c r="E511" s="63" t="s">
        <v>3247</v>
      </c>
      <c r="F511" s="63" t="s">
        <v>2326</v>
      </c>
      <c r="G511" s="63" t="s">
        <v>3248</v>
      </c>
      <c r="H511" s="63" t="s">
        <v>28</v>
      </c>
      <c r="I511" s="63" t="s">
        <v>1626</v>
      </c>
    </row>
    <row r="512" ht="11.25" customHeight="1">
      <c r="A512" s="63" t="s">
        <v>2253</v>
      </c>
      <c r="B512" s="63" t="s">
        <v>16</v>
      </c>
      <c r="C512" s="63" t="s">
        <v>3249</v>
      </c>
      <c r="D512" s="63" t="s">
        <v>3250</v>
      </c>
      <c r="E512" s="63" t="s">
        <v>3251</v>
      </c>
      <c r="F512" s="63" t="s">
        <v>2293</v>
      </c>
      <c r="G512" s="63" t="s">
        <v>3252</v>
      </c>
      <c r="H512" s="63" t="s">
        <v>28</v>
      </c>
      <c r="I512" s="63" t="s">
        <v>1626</v>
      </c>
    </row>
    <row r="513" ht="11.25" customHeight="1">
      <c r="A513" s="63" t="s">
        <v>2253</v>
      </c>
      <c r="B513" s="63" t="s">
        <v>16</v>
      </c>
      <c r="C513" s="63" t="s">
        <v>3253</v>
      </c>
      <c r="D513" s="63" t="s">
        <v>3254</v>
      </c>
      <c r="E513" s="63" t="s">
        <v>3255</v>
      </c>
      <c r="F513" s="63" t="s">
        <v>2334</v>
      </c>
      <c r="G513" s="63" t="s">
        <v>3256</v>
      </c>
      <c r="H513" s="63" t="s">
        <v>28</v>
      </c>
      <c r="I513" s="63" t="s">
        <v>1626</v>
      </c>
    </row>
    <row r="514" ht="11.25" customHeight="1">
      <c r="A514" s="63" t="s">
        <v>2253</v>
      </c>
      <c r="B514" s="63" t="s">
        <v>16</v>
      </c>
      <c r="C514" s="63" t="s">
        <v>3004</v>
      </c>
      <c r="D514" s="63" t="s">
        <v>3005</v>
      </c>
      <c r="E514" s="63" t="s">
        <v>3006</v>
      </c>
      <c r="F514" s="63" t="s">
        <v>2387</v>
      </c>
      <c r="G514" s="63" t="s">
        <v>3007</v>
      </c>
      <c r="H514" s="63" t="s">
        <v>28</v>
      </c>
      <c r="I514" s="63" t="s">
        <v>1626</v>
      </c>
    </row>
    <row r="515" ht="11.25" customHeight="1">
      <c r="A515" s="63" t="s">
        <v>2253</v>
      </c>
      <c r="B515" s="63" t="s">
        <v>16</v>
      </c>
      <c r="C515" s="63" t="s">
        <v>3257</v>
      </c>
      <c r="D515" s="63" t="s">
        <v>3258</v>
      </c>
      <c r="E515" s="63" t="s">
        <v>3259</v>
      </c>
      <c r="F515" s="63" t="s">
        <v>2256</v>
      </c>
      <c r="G515" s="63" t="s">
        <v>3260</v>
      </c>
      <c r="H515" s="63" t="s">
        <v>28</v>
      </c>
      <c r="I515" s="63" t="s">
        <v>1626</v>
      </c>
    </row>
    <row r="516" ht="11.25" customHeight="1">
      <c r="A516" s="63" t="s">
        <v>2253</v>
      </c>
      <c r="B516" s="63" t="s">
        <v>16</v>
      </c>
      <c r="C516" s="63" t="s">
        <v>3261</v>
      </c>
      <c r="D516" s="63" t="s">
        <v>3262</v>
      </c>
      <c r="E516" s="63" t="s">
        <v>3263</v>
      </c>
      <c r="F516" s="63" t="s">
        <v>2478</v>
      </c>
      <c r="G516" s="63" t="s">
        <v>3264</v>
      </c>
      <c r="H516" s="63" t="s">
        <v>28</v>
      </c>
      <c r="I516" s="63" t="s">
        <v>1626</v>
      </c>
    </row>
    <row r="517" ht="11.25" customHeight="1">
      <c r="A517" s="63" t="s">
        <v>2253</v>
      </c>
      <c r="B517" s="63" t="s">
        <v>16</v>
      </c>
      <c r="C517" s="63" t="s">
        <v>3265</v>
      </c>
      <c r="D517" s="63" t="s">
        <v>3266</v>
      </c>
      <c r="E517" s="63" t="s">
        <v>3267</v>
      </c>
      <c r="F517" s="63" t="s">
        <v>2525</v>
      </c>
      <c r="G517" s="63" t="s">
        <v>3268</v>
      </c>
      <c r="H517" s="63" t="s">
        <v>28</v>
      </c>
      <c r="I517" s="63" t="s">
        <v>1626</v>
      </c>
    </row>
    <row r="518" ht="11.25" customHeight="1">
      <c r="A518" s="63" t="s">
        <v>2253</v>
      </c>
      <c r="B518" s="63" t="s">
        <v>16</v>
      </c>
      <c r="C518" s="63" t="s">
        <v>3269</v>
      </c>
      <c r="D518" s="63" t="s">
        <v>3270</v>
      </c>
      <c r="E518" s="63" t="s">
        <v>3271</v>
      </c>
      <c r="F518" s="63" t="s">
        <v>2273</v>
      </c>
      <c r="G518" s="63" t="s">
        <v>3272</v>
      </c>
      <c r="H518" s="63" t="s">
        <v>28</v>
      </c>
      <c r="I518" s="63" t="s">
        <v>1626</v>
      </c>
    </row>
    <row r="519" ht="11.25" customHeight="1">
      <c r="A519" s="63" t="s">
        <v>2253</v>
      </c>
      <c r="B519" s="63" t="s">
        <v>16</v>
      </c>
      <c r="C519" s="63" t="s">
        <v>3273</v>
      </c>
      <c r="D519" s="63" t="s">
        <v>3274</v>
      </c>
      <c r="E519" s="63" t="s">
        <v>3275</v>
      </c>
      <c r="F519" s="63" t="s">
        <v>2407</v>
      </c>
      <c r="G519" s="63" t="s">
        <v>3276</v>
      </c>
      <c r="H519" s="63" t="s">
        <v>28</v>
      </c>
      <c r="I519" s="63" t="s">
        <v>1626</v>
      </c>
    </row>
    <row r="520" ht="11.25" customHeight="1">
      <c r="A520" s="63" t="s">
        <v>2253</v>
      </c>
      <c r="B520" s="63" t="s">
        <v>16</v>
      </c>
      <c r="C520" s="63" t="s">
        <v>3277</v>
      </c>
      <c r="D520" s="63" t="s">
        <v>3278</v>
      </c>
      <c r="E520" s="63" t="s">
        <v>3279</v>
      </c>
      <c r="F520" s="63" t="s">
        <v>2471</v>
      </c>
      <c r="G520" s="63" t="s">
        <v>3280</v>
      </c>
      <c r="H520" s="63" t="s">
        <v>28</v>
      </c>
      <c r="I520" s="63" t="s">
        <v>1626</v>
      </c>
    </row>
    <row r="521" ht="11.25" customHeight="1">
      <c r="A521" s="63" t="s">
        <v>2253</v>
      </c>
      <c r="B521" s="63" t="s">
        <v>16</v>
      </c>
      <c r="C521" s="63" t="s">
        <v>3281</v>
      </c>
      <c r="D521" s="63" t="s">
        <v>3282</v>
      </c>
      <c r="E521" s="63" t="s">
        <v>3283</v>
      </c>
      <c r="F521" s="63" t="s">
        <v>2317</v>
      </c>
      <c r="G521" s="63" t="s">
        <v>3284</v>
      </c>
      <c r="H521" s="63" t="s">
        <v>28</v>
      </c>
      <c r="I521" s="63" t="s">
        <v>1626</v>
      </c>
    </row>
    <row r="522" ht="11.25" customHeight="1">
      <c r="A522" s="63" t="s">
        <v>2253</v>
      </c>
      <c r="B522" s="63" t="s">
        <v>16</v>
      </c>
      <c r="C522" s="63" t="s">
        <v>3285</v>
      </c>
      <c r="D522" s="63" t="s">
        <v>3286</v>
      </c>
      <c r="E522" s="63" t="s">
        <v>3287</v>
      </c>
      <c r="F522" s="63" t="s">
        <v>2511</v>
      </c>
      <c r="G522" s="63" t="s">
        <v>28</v>
      </c>
      <c r="H522" s="63" t="s">
        <v>3288</v>
      </c>
      <c r="I522" s="63" t="s">
        <v>1626</v>
      </c>
    </row>
    <row r="523" ht="11.25" customHeight="1">
      <c r="A523" s="63" t="s">
        <v>2253</v>
      </c>
      <c r="B523" s="63" t="s">
        <v>16</v>
      </c>
      <c r="C523" s="63" t="s">
        <v>3289</v>
      </c>
      <c r="D523" s="63" t="s">
        <v>3290</v>
      </c>
      <c r="E523" s="63" t="s">
        <v>3291</v>
      </c>
      <c r="F523" s="63" t="s">
        <v>2273</v>
      </c>
      <c r="G523" s="63" t="s">
        <v>28</v>
      </c>
      <c r="H523" s="63" t="s">
        <v>28</v>
      </c>
      <c r="I523" s="63" t="s">
        <v>1626</v>
      </c>
    </row>
    <row r="524" ht="11.25" customHeight="1">
      <c r="A524" s="63" t="s">
        <v>2253</v>
      </c>
      <c r="B524" s="63" t="s">
        <v>16</v>
      </c>
      <c r="C524" s="63" t="s">
        <v>3292</v>
      </c>
      <c r="D524" s="63" t="s">
        <v>3293</v>
      </c>
      <c r="E524" s="63" t="s">
        <v>3294</v>
      </c>
      <c r="F524" s="63" t="s">
        <v>2471</v>
      </c>
      <c r="G524" s="63" t="s">
        <v>3295</v>
      </c>
      <c r="H524" s="63" t="s">
        <v>28</v>
      </c>
      <c r="I524" s="63" t="s">
        <v>1626</v>
      </c>
    </row>
    <row r="525" ht="11.25" customHeight="1">
      <c r="A525" s="63" t="s">
        <v>2253</v>
      </c>
      <c r="B525" s="63" t="s">
        <v>16</v>
      </c>
      <c r="C525" s="63" t="s">
        <v>3296</v>
      </c>
      <c r="D525" s="63" t="s">
        <v>3297</v>
      </c>
      <c r="E525" s="63" t="s">
        <v>3298</v>
      </c>
      <c r="F525" s="63" t="s">
        <v>2317</v>
      </c>
      <c r="G525" s="63" t="s">
        <v>3299</v>
      </c>
      <c r="H525" s="63" t="s">
        <v>28</v>
      </c>
      <c r="I525" s="63" t="s">
        <v>1626</v>
      </c>
    </row>
    <row r="526" ht="11.25" customHeight="1">
      <c r="A526" s="63" t="s">
        <v>2253</v>
      </c>
      <c r="B526" s="63" t="s">
        <v>16</v>
      </c>
      <c r="C526" s="63" t="s">
        <v>3300</v>
      </c>
      <c r="D526" s="63" t="s">
        <v>3301</v>
      </c>
      <c r="E526" s="63" t="s">
        <v>3302</v>
      </c>
      <c r="F526" s="63" t="s">
        <v>2305</v>
      </c>
      <c r="G526" s="63" t="s">
        <v>3303</v>
      </c>
      <c r="H526" s="63" t="s">
        <v>28</v>
      </c>
      <c r="I526" s="63" t="s">
        <v>1626</v>
      </c>
    </row>
    <row r="527" ht="11.25" customHeight="1">
      <c r="A527" s="63" t="s">
        <v>2253</v>
      </c>
      <c r="B527" s="63" t="s">
        <v>16</v>
      </c>
      <c r="C527" s="63" t="s">
        <v>3304</v>
      </c>
      <c r="D527" s="63" t="s">
        <v>3305</v>
      </c>
      <c r="E527" s="63" t="s">
        <v>3306</v>
      </c>
      <c r="F527" s="63" t="s">
        <v>2260</v>
      </c>
      <c r="G527" s="63" t="s">
        <v>3307</v>
      </c>
      <c r="H527" s="63" t="s">
        <v>28</v>
      </c>
      <c r="I527" s="63" t="s">
        <v>1626</v>
      </c>
    </row>
    <row r="528" ht="11.25" customHeight="1">
      <c r="A528" s="63" t="s">
        <v>2253</v>
      </c>
      <c r="B528" s="63" t="s">
        <v>16</v>
      </c>
      <c r="C528" s="63" t="s">
        <v>3308</v>
      </c>
      <c r="D528" s="63" t="s">
        <v>3309</v>
      </c>
      <c r="E528" s="63" t="s">
        <v>3310</v>
      </c>
      <c r="F528" s="63" t="s">
        <v>2264</v>
      </c>
      <c r="G528" s="63" t="s">
        <v>3311</v>
      </c>
      <c r="H528" s="63" t="s">
        <v>28</v>
      </c>
      <c r="I528" s="63" t="s">
        <v>1626</v>
      </c>
    </row>
    <row r="529" ht="11.25" customHeight="1">
      <c r="A529" s="63" t="s">
        <v>2253</v>
      </c>
      <c r="B529" s="63" t="s">
        <v>16</v>
      </c>
      <c r="C529" s="63" t="s">
        <v>3312</v>
      </c>
      <c r="D529" s="63" t="s">
        <v>3313</v>
      </c>
      <c r="E529" s="63" t="s">
        <v>3314</v>
      </c>
      <c r="F529" s="63" t="s">
        <v>2260</v>
      </c>
      <c r="G529" s="63" t="s">
        <v>3315</v>
      </c>
      <c r="H529" s="63" t="s">
        <v>28</v>
      </c>
      <c r="I529" s="63" t="s">
        <v>1626</v>
      </c>
    </row>
    <row r="530" ht="11.25" customHeight="1">
      <c r="A530" s="63" t="s">
        <v>2253</v>
      </c>
      <c r="B530" s="63" t="s">
        <v>16</v>
      </c>
      <c r="C530" s="63" t="s">
        <v>3316</v>
      </c>
      <c r="D530" s="63" t="s">
        <v>3317</v>
      </c>
      <c r="E530" s="63" t="s">
        <v>3318</v>
      </c>
      <c r="F530" s="63" t="s">
        <v>2399</v>
      </c>
      <c r="G530" s="63" t="s">
        <v>3319</v>
      </c>
      <c r="H530" s="63" t="s">
        <v>28</v>
      </c>
      <c r="I530" s="63" t="s">
        <v>1626</v>
      </c>
    </row>
    <row r="531" ht="11.25" customHeight="1">
      <c r="A531" s="63" t="s">
        <v>2253</v>
      </c>
      <c r="B531" s="63" t="s">
        <v>16</v>
      </c>
      <c r="C531" s="63" t="s">
        <v>3320</v>
      </c>
      <c r="D531" s="63" t="s">
        <v>3321</v>
      </c>
      <c r="E531" s="63" t="s">
        <v>3322</v>
      </c>
      <c r="F531" s="63" t="s">
        <v>3033</v>
      </c>
      <c r="G531" s="63" t="s">
        <v>3323</v>
      </c>
      <c r="H531" s="63" t="s">
        <v>28</v>
      </c>
      <c r="I531" s="63" t="s">
        <v>1626</v>
      </c>
    </row>
    <row r="532" ht="11.25" customHeight="1">
      <c r="A532" s="63" t="s">
        <v>2253</v>
      </c>
      <c r="B532" s="63" t="s">
        <v>16</v>
      </c>
      <c r="C532" s="63" t="s">
        <v>3324</v>
      </c>
      <c r="D532" s="63" t="s">
        <v>3325</v>
      </c>
      <c r="E532" s="63" t="s">
        <v>3326</v>
      </c>
      <c r="F532" s="63" t="s">
        <v>2326</v>
      </c>
      <c r="G532" s="63" t="s">
        <v>28</v>
      </c>
      <c r="H532" s="63" t="s">
        <v>28</v>
      </c>
      <c r="I532" s="63" t="s">
        <v>1626</v>
      </c>
    </row>
    <row r="533" ht="11.25" customHeight="1">
      <c r="A533" s="63" t="s">
        <v>2253</v>
      </c>
      <c r="B533" s="63" t="s">
        <v>16</v>
      </c>
      <c r="C533" s="63" t="s">
        <v>3327</v>
      </c>
      <c r="D533" s="63" t="s">
        <v>3328</v>
      </c>
      <c r="E533" s="63" t="s">
        <v>3329</v>
      </c>
      <c r="F533" s="63" t="s">
        <v>2448</v>
      </c>
      <c r="G533" s="63" t="s">
        <v>28</v>
      </c>
      <c r="H533" s="63" t="s">
        <v>28</v>
      </c>
      <c r="I533" s="63" t="s">
        <v>1626</v>
      </c>
    </row>
    <row r="534" ht="11.25" customHeight="1">
      <c r="A534" s="63" t="s">
        <v>2253</v>
      </c>
      <c r="B534" s="63" t="s">
        <v>16</v>
      </c>
      <c r="C534" s="63" t="s">
        <v>3330</v>
      </c>
      <c r="D534" s="63" t="s">
        <v>3331</v>
      </c>
      <c r="E534" s="63" t="s">
        <v>3332</v>
      </c>
      <c r="F534" s="63" t="s">
        <v>2260</v>
      </c>
      <c r="G534" s="63" t="s">
        <v>28</v>
      </c>
      <c r="H534" s="63" t="s">
        <v>28</v>
      </c>
      <c r="I534" s="63" t="s">
        <v>1626</v>
      </c>
    </row>
    <row r="535" ht="11.25" customHeight="1">
      <c r="A535" s="63" t="s">
        <v>2253</v>
      </c>
      <c r="B535" s="63" t="s">
        <v>16</v>
      </c>
      <c r="C535" s="63" t="s">
        <v>3333</v>
      </c>
      <c r="D535" s="63" t="s">
        <v>3334</v>
      </c>
      <c r="E535" s="63" t="s">
        <v>3335</v>
      </c>
      <c r="F535" s="63" t="s">
        <v>2703</v>
      </c>
      <c r="G535" s="63" t="s">
        <v>3336</v>
      </c>
      <c r="H535" s="63" t="s">
        <v>28</v>
      </c>
      <c r="I535" s="63" t="s">
        <v>1626</v>
      </c>
    </row>
  </sheetData>
  <sheetProtection autoFilter="0" deleteColumns="1" deleteRows="1" formatCells="1" formatColumns="0" formatRows="0" insertColumns="1" insertHyperlinks="1" insertRows="1" objects="0" pivotTables="1" scenarios="0" selectLockedCells="0" selectUnlockedCells="0" sheet="1" sort="1"/>
  <printOptions headings="0" gridLines="0"/>
  <pageMargins left="0.75" right="0.75" top="1" bottom="1" header="0.5" footer="0.5"/>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topLeftCell="A1" zoomScale="100" workbookViewId="0">
      <selection activeCell="A1" activeCellId="0" sqref="A1"/>
    </sheetView>
  </sheetViews>
  <sheetFormatPr defaultRowHeight="11.25" customHeight="1"/>
  <cols>
    <col min="1" max="1" style="63" width="9.140625"/>
  </cols>
  <sheetData>
    <row r="1" ht="11.25" customHeight="1">
      <c r="A1" s="63" t="s">
        <v>3337</v>
      </c>
      <c r="B1" s="183" t="s">
        <v>3338</v>
      </c>
      <c r="C1" s="183" t="s">
        <v>3339</v>
      </c>
      <c r="D1" s="183" t="s">
        <v>3340</v>
      </c>
      <c r="E1" s="183" t="s">
        <v>3341</v>
      </c>
      <c r="F1" s="183" t="s">
        <v>3342</v>
      </c>
      <c r="G1" s="183" t="s">
        <v>3343</v>
      </c>
    </row>
    <row r="2" ht="11.25" customHeight="1">
      <c r="A2" s="63" t="s">
        <v>16</v>
      </c>
      <c r="B2" t="s">
        <v>3344</v>
      </c>
      <c r="C2" t="s">
        <v>3345</v>
      </c>
      <c r="D2" t="s">
        <v>3344</v>
      </c>
      <c r="E2" t="s">
        <v>3345</v>
      </c>
      <c r="F2" t="s">
        <v>3346</v>
      </c>
      <c r="G2" t="s">
        <v>109</v>
      </c>
    </row>
    <row r="3" ht="11.25" customHeight="1">
      <c r="A3" s="63" t="s">
        <v>16</v>
      </c>
      <c r="B3" t="s">
        <v>3347</v>
      </c>
      <c r="C3" t="s">
        <v>3348</v>
      </c>
      <c r="D3" t="s">
        <v>3347</v>
      </c>
      <c r="E3" t="s">
        <v>3348</v>
      </c>
      <c r="F3" t="s">
        <v>3349</v>
      </c>
      <c r="G3" t="s">
        <v>110</v>
      </c>
    </row>
    <row r="4" ht="11.25" customHeight="1">
      <c r="A4" s="63" t="s">
        <v>16</v>
      </c>
      <c r="B4" t="s">
        <v>3350</v>
      </c>
      <c r="C4" t="s">
        <v>3351</v>
      </c>
      <c r="D4" t="s">
        <v>3350</v>
      </c>
      <c r="E4" t="s">
        <v>3351</v>
      </c>
      <c r="F4" t="s">
        <v>3349</v>
      </c>
      <c r="G4" t="s">
        <v>91</v>
      </c>
    </row>
    <row r="5" ht="11.25" customHeight="1">
      <c r="A5" s="63" t="s">
        <v>16</v>
      </c>
      <c r="B5" t="s">
        <v>100</v>
      </c>
      <c r="C5" t="s">
        <v>101</v>
      </c>
      <c r="D5" t="s">
        <v>100</v>
      </c>
      <c r="E5" t="s">
        <v>101</v>
      </c>
      <c r="F5" t="s">
        <v>3349</v>
      </c>
      <c r="G5" t="s">
        <v>92</v>
      </c>
    </row>
    <row r="6" ht="11.25" customHeight="1">
      <c r="A6" s="63" t="s">
        <v>16</v>
      </c>
      <c r="B6" t="s">
        <v>3352</v>
      </c>
      <c r="C6" t="s">
        <v>3353</v>
      </c>
      <c r="D6" t="s">
        <v>3352</v>
      </c>
      <c r="E6" t="s">
        <v>3353</v>
      </c>
      <c r="F6" t="s">
        <v>3346</v>
      </c>
      <c r="G6" t="s">
        <v>111</v>
      </c>
    </row>
    <row r="7" ht="11.25" customHeight="1">
      <c r="A7" s="63" t="s">
        <v>16</v>
      </c>
      <c r="B7" t="s">
        <v>3354</v>
      </c>
      <c r="C7" t="s">
        <v>3355</v>
      </c>
      <c r="D7" t="s">
        <v>3354</v>
      </c>
      <c r="E7" t="s">
        <v>3355</v>
      </c>
      <c r="F7" t="s">
        <v>3349</v>
      </c>
      <c r="G7" t="s">
        <v>93</v>
      </c>
    </row>
    <row r="8" ht="11.25" customHeight="1">
      <c r="A8" s="63" t="s">
        <v>16</v>
      </c>
      <c r="B8" t="s">
        <v>3356</v>
      </c>
      <c r="C8" t="s">
        <v>3357</v>
      </c>
      <c r="D8" t="s">
        <v>3356</v>
      </c>
      <c r="E8" t="s">
        <v>3357</v>
      </c>
      <c r="F8" t="s">
        <v>3346</v>
      </c>
      <c r="G8" t="s">
        <v>94</v>
      </c>
    </row>
    <row r="9" ht="11.25" customHeight="1">
      <c r="A9" s="63" t="s">
        <v>16</v>
      </c>
      <c r="B9" t="s">
        <v>3358</v>
      </c>
      <c r="C9" t="s">
        <v>3359</v>
      </c>
      <c r="D9" t="s">
        <v>3358</v>
      </c>
      <c r="E9" t="s">
        <v>3359</v>
      </c>
      <c r="F9" t="s">
        <v>3346</v>
      </c>
      <c r="G9" t="s">
        <v>112</v>
      </c>
    </row>
    <row r="10" ht="11.25" customHeight="1">
      <c r="A10" s="63" t="s">
        <v>16</v>
      </c>
      <c r="B10" t="s">
        <v>3360</v>
      </c>
      <c r="C10" t="s">
        <v>3361</v>
      </c>
      <c r="D10" t="s">
        <v>3360</v>
      </c>
      <c r="E10" t="s">
        <v>3361</v>
      </c>
      <c r="F10" t="s">
        <v>3346</v>
      </c>
      <c r="G10" t="s">
        <v>148</v>
      </c>
    </row>
    <row r="11" ht="11.25" customHeight="1">
      <c r="A11" s="63" t="s">
        <v>16</v>
      </c>
      <c r="B11" t="s">
        <v>3362</v>
      </c>
      <c r="C11" t="s">
        <v>3363</v>
      </c>
      <c r="D11" t="s">
        <v>3362</v>
      </c>
      <c r="E11" t="s">
        <v>3363</v>
      </c>
      <c r="F11" t="s">
        <v>3346</v>
      </c>
      <c r="G11" t="s">
        <v>149</v>
      </c>
    </row>
    <row r="12" ht="11.25" customHeight="1">
      <c r="A12" s="63" t="s">
        <v>16</v>
      </c>
      <c r="B12" t="s">
        <v>3364</v>
      </c>
      <c r="C12" t="s">
        <v>3365</v>
      </c>
      <c r="D12" t="s">
        <v>3364</v>
      </c>
      <c r="E12" t="s">
        <v>3365</v>
      </c>
      <c r="F12" t="s">
        <v>3346</v>
      </c>
      <c r="G12" t="s">
        <v>150</v>
      </c>
    </row>
    <row r="13" ht="11.25" customHeight="1">
      <c r="A13" s="63" t="s">
        <v>16</v>
      </c>
      <c r="B13" t="s">
        <v>3366</v>
      </c>
      <c r="C13" t="s">
        <v>3367</v>
      </c>
      <c r="D13" t="s">
        <v>3366</v>
      </c>
      <c r="E13" t="s">
        <v>3367</v>
      </c>
      <c r="F13" t="s">
        <v>3346</v>
      </c>
      <c r="G13" t="s">
        <v>151</v>
      </c>
    </row>
    <row r="14" ht="11.25" customHeight="1">
      <c r="A14" s="63" t="s">
        <v>16</v>
      </c>
      <c r="B14" t="s">
        <v>3368</v>
      </c>
      <c r="C14" t="s">
        <v>3369</v>
      </c>
      <c r="D14" t="s">
        <v>3368</v>
      </c>
      <c r="E14" t="s">
        <v>3369</v>
      </c>
      <c r="F14" t="s">
        <v>3346</v>
      </c>
      <c r="G14" t="s">
        <v>152</v>
      </c>
    </row>
    <row r="15" ht="11.25" customHeight="1">
      <c r="A15" s="63" t="s">
        <v>16</v>
      </c>
      <c r="B15" t="s">
        <v>3370</v>
      </c>
      <c r="C15" t="s">
        <v>3371</v>
      </c>
      <c r="D15" t="s">
        <v>3370</v>
      </c>
      <c r="E15" t="s">
        <v>3371</v>
      </c>
      <c r="F15" t="s">
        <v>3346</v>
      </c>
      <c r="G15" t="s">
        <v>153</v>
      </c>
    </row>
    <row r="16" ht="11.25" customHeight="1">
      <c r="A16" s="63" t="s">
        <v>16</v>
      </c>
      <c r="B16" t="s">
        <v>3372</v>
      </c>
      <c r="C16" t="s">
        <v>3373</v>
      </c>
      <c r="D16" t="s">
        <v>3372</v>
      </c>
      <c r="E16" t="s">
        <v>3373</v>
      </c>
      <c r="F16" t="s">
        <v>3349</v>
      </c>
      <c r="G16" t="s">
        <v>1469</v>
      </c>
    </row>
    <row r="17" ht="11.25" customHeight="1">
      <c r="A17" s="63" t="s">
        <v>16</v>
      </c>
      <c r="B17" t="s">
        <v>3374</v>
      </c>
      <c r="C17" t="s">
        <v>3375</v>
      </c>
      <c r="D17" t="s">
        <v>3374</v>
      </c>
      <c r="E17" t="s">
        <v>3375</v>
      </c>
      <c r="F17" t="s">
        <v>3346</v>
      </c>
      <c r="G17" t="s">
        <v>1475</v>
      </c>
    </row>
    <row r="18" ht="11.25" customHeight="1">
      <c r="A18" s="63" t="s">
        <v>16</v>
      </c>
      <c r="B18" t="s">
        <v>3376</v>
      </c>
      <c r="C18" t="s">
        <v>3377</v>
      </c>
      <c r="D18" t="s">
        <v>3376</v>
      </c>
      <c r="E18" t="s">
        <v>3377</v>
      </c>
      <c r="F18" t="s">
        <v>3346</v>
      </c>
      <c r="G18" t="s">
        <v>1487</v>
      </c>
    </row>
    <row r="19" ht="11.25" customHeight="1">
      <c r="A19" s="63" t="s">
        <v>16</v>
      </c>
      <c r="B19" t="s">
        <v>3378</v>
      </c>
      <c r="C19" t="s">
        <v>3379</v>
      </c>
      <c r="D19" t="s">
        <v>3378</v>
      </c>
      <c r="E19" t="s">
        <v>3379</v>
      </c>
      <c r="F19" t="s">
        <v>3346</v>
      </c>
      <c r="G19" t="s">
        <v>1501</v>
      </c>
    </row>
    <row r="20" ht="11.25" customHeight="1">
      <c r="A20" s="63" t="s">
        <v>16</v>
      </c>
      <c r="B20" t="s">
        <v>3380</v>
      </c>
      <c r="C20" t="s">
        <v>3381</v>
      </c>
      <c r="D20" t="s">
        <v>3380</v>
      </c>
      <c r="E20" t="s">
        <v>3381</v>
      </c>
      <c r="F20" t="s">
        <v>3346</v>
      </c>
      <c r="G20" t="s">
        <v>1513</v>
      </c>
    </row>
    <row r="21" ht="11.25" customHeight="1">
      <c r="A21" s="63" t="s">
        <v>16</v>
      </c>
      <c r="B21" t="s">
        <v>3382</v>
      </c>
      <c r="C21" t="s">
        <v>3383</v>
      </c>
      <c r="D21" t="s">
        <v>3382</v>
      </c>
      <c r="E21" t="s">
        <v>3383</v>
      </c>
      <c r="F21" t="s">
        <v>3346</v>
      </c>
      <c r="G21" t="s">
        <v>1522</v>
      </c>
    </row>
    <row r="22" ht="11.25" customHeight="1">
      <c r="A22" s="63" t="s">
        <v>16</v>
      </c>
      <c r="B22" t="s">
        <v>3384</v>
      </c>
      <c r="C22" t="s">
        <v>3385</v>
      </c>
      <c r="D22" t="s">
        <v>3384</v>
      </c>
      <c r="E22" t="s">
        <v>3385</v>
      </c>
      <c r="F22" t="s">
        <v>3346</v>
      </c>
      <c r="G22" t="s">
        <v>1538</v>
      </c>
    </row>
    <row r="23" ht="11.25" customHeight="1">
      <c r="A23" s="63" t="s">
        <v>16</v>
      </c>
      <c r="B23" t="s">
        <v>3386</v>
      </c>
      <c r="C23" t="s">
        <v>3387</v>
      </c>
      <c r="D23" t="s">
        <v>3386</v>
      </c>
      <c r="E23" t="s">
        <v>3387</v>
      </c>
      <c r="F23" t="s">
        <v>3349</v>
      </c>
      <c r="G23" t="s">
        <v>1545</v>
      </c>
    </row>
    <row r="24" ht="11.25" customHeight="1">
      <c r="A24" s="63" t="s">
        <v>16</v>
      </c>
      <c r="B24" t="s">
        <v>3388</v>
      </c>
      <c r="C24" t="s">
        <v>3389</v>
      </c>
      <c r="D24" t="s">
        <v>3388</v>
      </c>
      <c r="E24" t="s">
        <v>3389</v>
      </c>
      <c r="F24" t="s">
        <v>3346</v>
      </c>
      <c r="G24" t="s">
        <v>1553</v>
      </c>
    </row>
    <row r="25" ht="11.25" customHeight="1">
      <c r="A25" s="63" t="s">
        <v>16</v>
      </c>
      <c r="B25" t="s">
        <v>3390</v>
      </c>
      <c r="C25" t="s">
        <v>3391</v>
      </c>
      <c r="D25" t="s">
        <v>3390</v>
      </c>
      <c r="E25" t="s">
        <v>3391</v>
      </c>
      <c r="F25" t="s">
        <v>3346</v>
      </c>
      <c r="G25" t="s">
        <v>1560</v>
      </c>
    </row>
    <row r="26" ht="11.25" customHeight="1">
      <c r="A26" s="63" t="s">
        <v>16</v>
      </c>
      <c r="B26" t="s">
        <v>3392</v>
      </c>
      <c r="C26" t="s">
        <v>3393</v>
      </c>
      <c r="D26" t="s">
        <v>3392</v>
      </c>
      <c r="E26" t="s">
        <v>3393</v>
      </c>
      <c r="F26" t="s">
        <v>3346</v>
      </c>
      <c r="G26" t="s">
        <v>1564</v>
      </c>
    </row>
    <row r="27" ht="11.25" customHeight="1">
      <c r="A27" s="63" t="s">
        <v>16</v>
      </c>
      <c r="B27" t="s">
        <v>3394</v>
      </c>
      <c r="C27" t="s">
        <v>3395</v>
      </c>
      <c r="D27" t="s">
        <v>3394</v>
      </c>
      <c r="E27" t="s">
        <v>3395</v>
      </c>
      <c r="F27" t="s">
        <v>3346</v>
      </c>
      <c r="G27" t="s">
        <v>1569</v>
      </c>
    </row>
    <row r="28" ht="11.25" customHeight="1">
      <c r="A28" s="63" t="s">
        <v>16</v>
      </c>
      <c r="B28" t="s">
        <v>3396</v>
      </c>
      <c r="C28" t="s">
        <v>3397</v>
      </c>
      <c r="D28" t="s">
        <v>3396</v>
      </c>
      <c r="E28" t="s">
        <v>3397</v>
      </c>
      <c r="F28" t="s">
        <v>3346</v>
      </c>
      <c r="G28" t="s">
        <v>1577</v>
      </c>
    </row>
    <row r="29" ht="11.25" customHeight="1">
      <c r="A29" s="63" t="s">
        <v>16</v>
      </c>
      <c r="B29" t="s">
        <v>3398</v>
      </c>
      <c r="C29" t="s">
        <v>3399</v>
      </c>
      <c r="D29" t="s">
        <v>3398</v>
      </c>
      <c r="E29" t="s">
        <v>3399</v>
      </c>
      <c r="F29" t="s">
        <v>3346</v>
      </c>
      <c r="G29" t="s">
        <v>1579</v>
      </c>
    </row>
    <row r="30" ht="11.25" customHeight="1">
      <c r="A30" s="63" t="s">
        <v>16</v>
      </c>
      <c r="B30" t="s">
        <v>3400</v>
      </c>
      <c r="C30" t="s">
        <v>3401</v>
      </c>
      <c r="D30" t="s">
        <v>3400</v>
      </c>
      <c r="E30" t="s">
        <v>3401</v>
      </c>
      <c r="F30" t="s">
        <v>3346</v>
      </c>
      <c r="G30" t="s">
        <v>1582</v>
      </c>
    </row>
    <row r="31" ht="11.25" customHeight="1">
      <c r="A31" s="63" t="s">
        <v>16</v>
      </c>
      <c r="B31" t="s">
        <v>3402</v>
      </c>
      <c r="C31" t="s">
        <v>3403</v>
      </c>
      <c r="D31" t="s">
        <v>3402</v>
      </c>
      <c r="E31" t="s">
        <v>3403</v>
      </c>
      <c r="F31" t="s">
        <v>3349</v>
      </c>
      <c r="G31" t="s">
        <v>1588</v>
      </c>
    </row>
    <row r="32" ht="11.25" customHeight="1">
      <c r="A32" s="63" t="s">
        <v>16</v>
      </c>
      <c r="B32" t="s">
        <v>3404</v>
      </c>
      <c r="C32" t="s">
        <v>3405</v>
      </c>
      <c r="D32" t="s">
        <v>3404</v>
      </c>
      <c r="E32" t="s">
        <v>3405</v>
      </c>
      <c r="F32" t="s">
        <v>3349</v>
      </c>
      <c r="G32" t="s">
        <v>1590</v>
      </c>
    </row>
    <row r="33" ht="11.25" customHeight="1">
      <c r="A33" s="63" t="s">
        <v>16</v>
      </c>
      <c r="B33" t="s">
        <v>3406</v>
      </c>
      <c r="C33" t="s">
        <v>3407</v>
      </c>
      <c r="D33" t="s">
        <v>3406</v>
      </c>
      <c r="E33" t="s">
        <v>3407</v>
      </c>
      <c r="F33" t="s">
        <v>3346</v>
      </c>
      <c r="G33" t="s">
        <v>1592</v>
      </c>
    </row>
    <row r="34" ht="11.25" customHeight="1">
      <c r="A34" s="63" t="s">
        <v>16</v>
      </c>
      <c r="B34" t="s">
        <v>3408</v>
      </c>
      <c r="C34" t="s">
        <v>3409</v>
      </c>
      <c r="D34" t="s">
        <v>3408</v>
      </c>
      <c r="E34" t="s">
        <v>3409</v>
      </c>
      <c r="F34" t="s">
        <v>3346</v>
      </c>
      <c r="G34" t="s">
        <v>1594</v>
      </c>
    </row>
  </sheetData>
  <sheetProtection autoFilter="0" deleteColumns="1" deleteRows="1" formatCells="1" formatColumns="1" formatRows="1" insertColumns="1" insertHyperlinks="1" insertRows="1" objects="0" pivotTables="1" scenarios="0" selectLockedCells="0" selectUnlockedCells="0" sheet="1" sort="1"/>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topLeftCell="A1" zoomScale="100" workbookViewId="0">
      <selection activeCell="A1" activeCellId="0" sqref="A1"/>
    </sheetView>
  </sheetViews>
  <sheetFormatPr defaultColWidth="9.140625" defaultRowHeight="11.25" customHeight="1"/>
  <cols>
    <col customWidth="1" min="1" max="1" style="793" width="13.8515625"/>
    <col customWidth="1" min="2" max="2" style="793" width="10.421875"/>
    <col customWidth="1" min="3" max="3" style="793" width="7.57421875"/>
    <col customWidth="1" min="4" max="4" style="793" width="13.8515625"/>
    <col customWidth="1" min="5" max="5" style="793" width="11.57421875"/>
    <col customWidth="1" min="6" max="6" style="793" width="16.28125"/>
    <col customWidth="1" min="7" max="7" style="793" width="16.00390625"/>
    <col customWidth="1" min="8" max="9" style="793" width="16.140625"/>
  </cols>
  <sheetData>
    <row r="1" ht="11.25" customHeight="1">
      <c r="A1" s="793" t="s">
        <v>3410</v>
      </c>
      <c r="B1" s="793" t="s">
        <v>3411</v>
      </c>
      <c r="C1" s="793" t="s">
        <v>3412</v>
      </c>
      <c r="D1" s="793" t="s">
        <v>3413</v>
      </c>
      <c r="E1" s="793" t="s">
        <v>3414</v>
      </c>
      <c r="F1" s="793" t="s">
        <v>3415</v>
      </c>
      <c r="G1" s="793" t="s">
        <v>3416</v>
      </c>
      <c r="H1" s="793" t="s">
        <v>3417</v>
      </c>
      <c r="I1" s="793" t="s">
        <v>3418</v>
      </c>
    </row>
    <row r="2" ht="11.25" customHeight="1">
      <c r="A2" s="793" t="s">
        <v>109</v>
      </c>
      <c r="B2" s="793" t="s">
        <v>3419</v>
      </c>
      <c r="C2" s="793" t="s">
        <v>28</v>
      </c>
      <c r="D2" s="793" t="s">
        <v>3420</v>
      </c>
      <c r="E2" s="793" t="s">
        <v>3421</v>
      </c>
      <c r="F2" s="793" t="s">
        <v>28</v>
      </c>
      <c r="G2" s="793" t="s">
        <v>28</v>
      </c>
      <c r="H2" s="793" t="s">
        <v>28</v>
      </c>
      <c r="I2" s="793" t="s">
        <v>28</v>
      </c>
    </row>
    <row r="3" ht="11.25" customHeight="1">
      <c r="A3" s="793" t="s">
        <v>110</v>
      </c>
      <c r="B3" s="793" t="s">
        <v>3422</v>
      </c>
      <c r="C3" s="793" t="s">
        <v>28</v>
      </c>
      <c r="D3" s="793" t="s">
        <v>3420</v>
      </c>
      <c r="E3" s="793" t="s">
        <v>3423</v>
      </c>
      <c r="F3" s="793" t="s">
        <v>28</v>
      </c>
      <c r="G3" s="793" t="s">
        <v>28</v>
      </c>
      <c r="H3" s="793" t="s">
        <v>28</v>
      </c>
      <c r="I3" s="793" t="s">
        <v>28</v>
      </c>
    </row>
    <row r="4" ht="11.25" customHeight="1">
      <c r="A4" s="793" t="s">
        <v>91</v>
      </c>
      <c r="B4" s="793" t="s">
        <v>3424</v>
      </c>
      <c r="C4" s="793" t="s">
        <v>28</v>
      </c>
      <c r="D4" s="793" t="s">
        <v>3425</v>
      </c>
      <c r="E4" s="793" t="s">
        <v>3426</v>
      </c>
      <c r="F4" s="793" t="s">
        <v>28</v>
      </c>
      <c r="G4" s="793" t="s">
        <v>28</v>
      </c>
      <c r="H4" s="793" t="s">
        <v>28</v>
      </c>
      <c r="I4" s="793" t="s">
        <v>28</v>
      </c>
    </row>
    <row r="5" ht="11.25" customHeight="1">
      <c r="A5" s="793" t="s">
        <v>92</v>
      </c>
      <c r="B5" s="793" t="s">
        <v>3427</v>
      </c>
      <c r="C5" s="793" t="s">
        <v>28</v>
      </c>
      <c r="D5" s="793" t="s">
        <v>3428</v>
      </c>
      <c r="E5" s="793" t="s">
        <v>3423</v>
      </c>
      <c r="F5" s="793" t="s">
        <v>28</v>
      </c>
      <c r="G5" s="793" t="s">
        <v>28</v>
      </c>
      <c r="H5" s="793" t="s">
        <v>28</v>
      </c>
      <c r="I5" s="793" t="s">
        <v>28</v>
      </c>
    </row>
    <row r="6" ht="11.25" customHeight="1">
      <c r="A6" s="793" t="s">
        <v>111</v>
      </c>
      <c r="B6" s="793" t="s">
        <v>3429</v>
      </c>
      <c r="C6" s="793" t="s">
        <v>28</v>
      </c>
      <c r="D6" s="793" t="s">
        <v>3428</v>
      </c>
      <c r="E6" s="793" t="s">
        <v>3430</v>
      </c>
      <c r="F6" s="793" t="s">
        <v>28</v>
      </c>
      <c r="G6" s="793" t="s">
        <v>28</v>
      </c>
      <c r="H6" s="793" t="s">
        <v>28</v>
      </c>
      <c r="I6" s="793" t="s">
        <v>28</v>
      </c>
    </row>
    <row r="7" ht="11.25" customHeight="1">
      <c r="A7" s="793" t="s">
        <v>93</v>
      </c>
      <c r="B7" s="793" t="s">
        <v>3431</v>
      </c>
      <c r="C7" s="793" t="s">
        <v>28</v>
      </c>
      <c r="D7" s="793" t="s">
        <v>3432</v>
      </c>
      <c r="E7" s="793" t="s">
        <v>3421</v>
      </c>
      <c r="F7" s="793" t="s">
        <v>28</v>
      </c>
      <c r="G7" s="793" t="s">
        <v>28</v>
      </c>
      <c r="H7" s="793" t="s">
        <v>28</v>
      </c>
      <c r="I7" s="793" t="s">
        <v>28</v>
      </c>
    </row>
    <row r="8" ht="11.25" customHeight="1">
      <c r="A8" s="793" t="s">
        <v>94</v>
      </c>
      <c r="B8" s="793" t="s">
        <v>3433</v>
      </c>
      <c r="C8" s="793" t="s">
        <v>28</v>
      </c>
      <c r="D8" s="793" t="s">
        <v>3428</v>
      </c>
      <c r="E8" s="793" t="s">
        <v>3423</v>
      </c>
      <c r="F8" s="793" t="s">
        <v>28</v>
      </c>
      <c r="G8" s="793" t="s">
        <v>28</v>
      </c>
      <c r="H8" s="793" t="s">
        <v>28</v>
      </c>
      <c r="I8" s="793" t="s">
        <v>28</v>
      </c>
    </row>
    <row r="9" ht="11.25" customHeight="1">
      <c r="A9" s="793" t="s">
        <v>112</v>
      </c>
      <c r="B9" s="793" t="s">
        <v>3434</v>
      </c>
      <c r="C9" s="793" t="s">
        <v>28</v>
      </c>
      <c r="D9" s="793" t="s">
        <v>3428</v>
      </c>
      <c r="E9" s="793" t="s">
        <v>3430</v>
      </c>
      <c r="F9" s="793" t="s">
        <v>28</v>
      </c>
      <c r="G9" s="793" t="s">
        <v>28</v>
      </c>
      <c r="H9" s="793" t="s">
        <v>28</v>
      </c>
      <c r="I9" s="793" t="s">
        <v>28</v>
      </c>
    </row>
    <row r="10" ht="11.25" customHeight="1">
      <c r="A10" s="793" t="s">
        <v>148</v>
      </c>
      <c r="B10" s="793" t="s">
        <v>3435</v>
      </c>
      <c r="C10" s="793" t="s">
        <v>28</v>
      </c>
      <c r="D10" s="793" t="s">
        <v>3436</v>
      </c>
      <c r="E10" s="793" t="s">
        <v>3430</v>
      </c>
      <c r="F10" s="793" t="s">
        <v>28</v>
      </c>
      <c r="G10" s="793" t="s">
        <v>28</v>
      </c>
      <c r="H10" s="793" t="s">
        <v>28</v>
      </c>
      <c r="I10" s="793" t="s">
        <v>28</v>
      </c>
    </row>
    <row r="11" ht="11.25" customHeight="1">
      <c r="A11" s="793" t="s">
        <v>149</v>
      </c>
      <c r="B11" s="793" t="s">
        <v>3437</v>
      </c>
      <c r="C11" s="793" t="s">
        <v>28</v>
      </c>
      <c r="D11" s="793" t="s">
        <v>3438</v>
      </c>
      <c r="E11" s="793" t="s">
        <v>3439</v>
      </c>
      <c r="F11" s="793" t="s">
        <v>28</v>
      </c>
      <c r="G11" s="793" t="s">
        <v>28</v>
      </c>
      <c r="H11" s="793" t="s">
        <v>28</v>
      </c>
      <c r="I11" s="793" t="s">
        <v>28</v>
      </c>
    </row>
    <row r="12" ht="11.25" customHeight="1">
      <c r="A12" s="793" t="s">
        <v>150</v>
      </c>
      <c r="B12" s="793" t="s">
        <v>3440</v>
      </c>
      <c r="C12" s="793" t="s">
        <v>28</v>
      </c>
      <c r="D12" s="793" t="s">
        <v>3441</v>
      </c>
      <c r="E12" s="793" t="s">
        <v>3442</v>
      </c>
      <c r="F12" s="793" t="s">
        <v>28</v>
      </c>
      <c r="G12" s="793" t="s">
        <v>28</v>
      </c>
      <c r="H12" s="793" t="s">
        <v>28</v>
      </c>
      <c r="I12" s="793" t="s">
        <v>28</v>
      </c>
    </row>
    <row r="13" ht="11.25" customHeight="1">
      <c r="A13" s="793" t="s">
        <v>151</v>
      </c>
      <c r="B13" s="793" t="s">
        <v>3443</v>
      </c>
      <c r="C13" s="793" t="s">
        <v>28</v>
      </c>
      <c r="D13" s="793" t="s">
        <v>3438</v>
      </c>
      <c r="E13" s="793" t="s">
        <v>3442</v>
      </c>
      <c r="F13" s="793" t="s">
        <v>28</v>
      </c>
      <c r="G13" s="793" t="s">
        <v>28</v>
      </c>
      <c r="H13" s="793" t="s">
        <v>28</v>
      </c>
      <c r="I13" s="793" t="s">
        <v>28</v>
      </c>
    </row>
    <row r="14" ht="11.25" customHeight="1">
      <c r="A14" s="793" t="s">
        <v>152</v>
      </c>
      <c r="B14" s="793" t="s">
        <v>3444</v>
      </c>
      <c r="C14" s="793" t="s">
        <v>28</v>
      </c>
      <c r="D14" s="793" t="s">
        <v>3445</v>
      </c>
      <c r="E14" s="793" t="s">
        <v>3439</v>
      </c>
      <c r="F14" s="793" t="s">
        <v>28</v>
      </c>
      <c r="G14" s="793" t="s">
        <v>28</v>
      </c>
      <c r="H14" s="793" t="s">
        <v>28</v>
      </c>
      <c r="I14" s="793" t="s">
        <v>28</v>
      </c>
    </row>
    <row r="15" ht="11.25" customHeight="1">
      <c r="A15" s="793" t="s">
        <v>153</v>
      </c>
      <c r="B15" s="793" t="s">
        <v>3446</v>
      </c>
      <c r="C15" s="793" t="s">
        <v>28</v>
      </c>
      <c r="D15" s="793" t="s">
        <v>3428</v>
      </c>
      <c r="E15" s="793" t="s">
        <v>3430</v>
      </c>
      <c r="F15" s="793" t="s">
        <v>28</v>
      </c>
      <c r="G15" s="793" t="s">
        <v>28</v>
      </c>
      <c r="H15" s="793" t="s">
        <v>28</v>
      </c>
      <c r="I15" s="793" t="s">
        <v>28</v>
      </c>
    </row>
    <row r="16" ht="11.25" customHeight="1">
      <c r="A16" s="793" t="s">
        <v>1469</v>
      </c>
      <c r="B16" s="793" t="s">
        <v>3447</v>
      </c>
      <c r="C16" s="793" t="s">
        <v>28</v>
      </c>
      <c r="D16" s="793" t="s">
        <v>3448</v>
      </c>
      <c r="E16" s="793" t="s">
        <v>3439</v>
      </c>
      <c r="F16" s="793" t="s">
        <v>28</v>
      </c>
      <c r="G16" s="793" t="s">
        <v>28</v>
      </c>
      <c r="H16" s="793" t="s">
        <v>28</v>
      </c>
      <c r="I16" s="793" t="s">
        <v>28</v>
      </c>
    </row>
    <row r="17" ht="11.25" customHeight="1">
      <c r="A17" s="793" t="s">
        <v>1475</v>
      </c>
      <c r="B17" s="793" t="s">
        <v>3449</v>
      </c>
      <c r="C17" s="793" t="s">
        <v>28</v>
      </c>
      <c r="D17" s="793" t="s">
        <v>3450</v>
      </c>
      <c r="E17" s="793" t="s">
        <v>3421</v>
      </c>
      <c r="F17" s="793" t="s">
        <v>28</v>
      </c>
      <c r="G17" s="793" t="s">
        <v>28</v>
      </c>
      <c r="H17" s="793" t="s">
        <v>28</v>
      </c>
      <c r="I17" s="793" t="s">
        <v>28</v>
      </c>
    </row>
    <row r="18" ht="11.25" customHeight="1">
      <c r="A18" s="793" t="s">
        <v>1487</v>
      </c>
      <c r="B18" s="793" t="s">
        <v>3451</v>
      </c>
      <c r="C18" s="793" t="s">
        <v>28</v>
      </c>
      <c r="D18" s="793" t="s">
        <v>3420</v>
      </c>
      <c r="E18" s="793" t="s">
        <v>3423</v>
      </c>
      <c r="F18" s="793" t="s">
        <v>28</v>
      </c>
      <c r="G18" s="793" t="s">
        <v>28</v>
      </c>
      <c r="H18" s="793" t="s">
        <v>28</v>
      </c>
      <c r="I18" s="793" t="s">
        <v>28</v>
      </c>
    </row>
    <row r="19" ht="11.25" customHeight="1">
      <c r="A19" s="793" t="s">
        <v>1501</v>
      </c>
      <c r="B19" s="793" t="s">
        <v>3452</v>
      </c>
      <c r="C19" s="793" t="s">
        <v>28</v>
      </c>
      <c r="D19" s="793" t="s">
        <v>3428</v>
      </c>
      <c r="E19" s="793" t="s">
        <v>3430</v>
      </c>
      <c r="F19" s="793" t="s">
        <v>28</v>
      </c>
      <c r="G19" s="793" t="s">
        <v>28</v>
      </c>
      <c r="H19" s="793" t="s">
        <v>28</v>
      </c>
      <c r="I19" s="793" t="s">
        <v>28</v>
      </c>
    </row>
    <row r="20" ht="11.25" customHeight="1">
      <c r="A20" s="793" t="s">
        <v>1513</v>
      </c>
      <c r="B20" s="793" t="s">
        <v>3453</v>
      </c>
      <c r="C20" s="793" t="s">
        <v>28</v>
      </c>
      <c r="D20" s="793" t="s">
        <v>3428</v>
      </c>
      <c r="E20" s="793" t="s">
        <v>3430</v>
      </c>
      <c r="F20" s="793" t="s">
        <v>28</v>
      </c>
      <c r="G20" s="793" t="s">
        <v>28</v>
      </c>
      <c r="H20" s="793" t="s">
        <v>28</v>
      </c>
      <c r="I20" s="793" t="s">
        <v>28</v>
      </c>
    </row>
    <row r="21" ht="11.25" customHeight="1">
      <c r="A21" s="793" t="s">
        <v>1522</v>
      </c>
      <c r="B21" s="793" t="s">
        <v>3454</v>
      </c>
      <c r="C21" s="793" t="s">
        <v>28</v>
      </c>
      <c r="D21" s="793" t="s">
        <v>3455</v>
      </c>
      <c r="E21" s="793" t="s">
        <v>3456</v>
      </c>
      <c r="F21" s="793" t="s">
        <v>28</v>
      </c>
      <c r="G21" s="793" t="s">
        <v>28</v>
      </c>
      <c r="H21" s="793" t="s">
        <v>28</v>
      </c>
      <c r="I21" s="793" t="s">
        <v>28</v>
      </c>
    </row>
    <row r="22" ht="11.25" customHeight="1">
      <c r="A22" s="793" t="s">
        <v>1538</v>
      </c>
      <c r="B22" s="793" t="s">
        <v>3457</v>
      </c>
      <c r="C22" s="793" t="s">
        <v>28</v>
      </c>
      <c r="D22" s="793" t="s">
        <v>3438</v>
      </c>
      <c r="E22" s="793" t="s">
        <v>3458</v>
      </c>
      <c r="F22" s="793" t="s">
        <v>28</v>
      </c>
      <c r="G22" s="793" t="s">
        <v>28</v>
      </c>
      <c r="H22" s="793" t="s">
        <v>28</v>
      </c>
      <c r="I22" s="793" t="s">
        <v>28</v>
      </c>
    </row>
    <row r="23" ht="11.25" customHeight="1">
      <c r="A23" s="793" t="s">
        <v>1545</v>
      </c>
      <c r="B23" s="793" t="s">
        <v>3459</v>
      </c>
      <c r="C23" s="793" t="s">
        <v>28</v>
      </c>
      <c r="D23" s="793" t="s">
        <v>3460</v>
      </c>
      <c r="E23" s="793" t="s">
        <v>3461</v>
      </c>
      <c r="F23" s="793" t="s">
        <v>28</v>
      </c>
      <c r="G23" s="793" t="s">
        <v>28</v>
      </c>
      <c r="H23" s="793" t="s">
        <v>28</v>
      </c>
      <c r="I23" s="793" t="s">
        <v>28</v>
      </c>
    </row>
  </sheetData>
  <sheetProtection autoFilter="0" deleteColumns="1" deleteRows="1" formatCells="1" formatColumns="1" formatRows="1" insertColumns="1" insertHyperlinks="1" insertRows="1" objects="0" pivotTables="1" scenarios="0" selectLockedCells="0" selectUnlockedCells="0" sheet="1" sort="1"/>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topLeftCell="A1" zoomScale="100" workbookViewId="0">
      <selection activeCell="A1" activeCellId="0" sqref="A1"/>
    </sheetView>
  </sheetViews>
  <sheetFormatPr defaultRowHeight="11.25" customHeight="1"/>
  <sheetData/>
  <sheetProtection autoFilter="0" deleteColumns="1" deleteRows="1" formatCells="1" formatColumns="1" formatRows="1" insertColumns="1" insertHyperlinks="1" insertRows="1" objects="0" pivotTables="1" scenarios="0" selectLockedCells="0" selectUnlockedCells="0" sheet="1" sort="1"/>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3" tint="0.59999999999999998"/>
    <outlinePr applyStyles="0" summaryBelow="1" summaryRight="1" showOutlineSymbols="1"/>
    <pageSetUpPr autoPageBreaks="1" fitToPage="0"/>
  </sheetPr>
  <sheetViews>
    <sheetView showGridLines="0" zoomScale="90" workbookViewId="0">
      <pane xSplit="5" ySplit="11" topLeftCell="F12" activePane="bottomRight" state="frozen"/>
      <selection activeCell="A1" activeCellId="0" sqref="A1"/>
    </sheetView>
  </sheetViews>
  <sheetFormatPr defaultColWidth="10.57421875" defaultRowHeight="14.25" customHeight="1"/>
  <cols>
    <col customWidth="1" hidden="1" min="1" max="1" style="56" width="9.140625"/>
    <col customWidth="1" hidden="1" min="2" max="2" style="50" width="9.140625"/>
    <col customWidth="1" min="3" max="3" style="128" width="3.00390625"/>
    <col customWidth="1" min="4" max="4" style="50" width="5.00390625"/>
    <col customWidth="1" min="5" max="5" style="50" width="48.00390625"/>
    <col customWidth="1" min="6" max="6" style="50" width="38.00390625"/>
    <col customWidth="1" hidden="1" min="7" max="7" style="50" width="1.7109375"/>
    <col customWidth="1" min="8" max="11" style="50" width="19.8515625"/>
    <col customWidth="1" min="12" max="12" style="50" width="9.7109375"/>
    <col customWidth="1" min="13" max="18" style="50" width="19.8515625"/>
    <col customWidth="1" hidden="1" min="19" max="19" style="50" width="1.7109375"/>
    <col customWidth="1" hidden="1" min="20" max="22" style="50" width="19.8515625"/>
    <col customWidth="1" hidden="1" min="23" max="23" style="50" width="1.7109375"/>
    <col customWidth="1" hidden="1" min="24" max="26" style="50" width="19.8515625"/>
    <col customWidth="1" hidden="1" min="27" max="27" style="50" width="1.7109375"/>
    <col customWidth="1" hidden="1" min="28" max="29" style="50" width="19.8515625"/>
    <col customWidth="1" hidden="1" min="30" max="30" style="50" width="1.7109375"/>
    <col customWidth="1" min="31" max="31" style="50" width="103.7109375"/>
    <col customWidth="1" hidden="1" min="32" max="34" style="50" width="103.7109375"/>
    <col customWidth="1" min="35" max="35" style="139" width="3.00390625"/>
    <col customWidth="1" min="36" max="38" style="57" width="10.00390625"/>
    <col customWidth="1" hidden="1" min="39" max="39" style="57" width="13.7109375"/>
    <col customWidth="1" min="40" max="40" style="57" width="15.00390625"/>
    <col customWidth="1" min="41" max="41" style="57" width="16.00390625"/>
    <col customWidth="1" min="42" max="45" style="57" width="10.00390625"/>
    <col hidden="1" min="46" max="46" style="50" width="10.57421875"/>
  </cols>
  <sheetData>
    <row r="1" ht="22.5" hidden="1" customHeight="1">
      <c r="E1" s="168"/>
      <c r="F1" s="168"/>
      <c r="G1" s="168"/>
      <c r="H1" s="113" t="s">
        <v>357</v>
      </c>
      <c r="I1" s="113"/>
      <c r="J1" s="113"/>
      <c r="K1" s="113"/>
      <c r="L1" s="113"/>
      <c r="M1" s="113"/>
      <c r="N1" s="113"/>
      <c r="O1" s="113"/>
      <c r="P1" s="113"/>
      <c r="Q1" s="113"/>
      <c r="R1" s="113"/>
      <c r="T1" s="113" t="s">
        <v>358</v>
      </c>
      <c r="U1" s="113"/>
      <c r="V1" s="113"/>
      <c r="X1" s="113" t="s">
        <v>359</v>
      </c>
      <c r="Y1" s="113"/>
      <c r="Z1" s="113"/>
      <c r="AB1" s="113" t="s">
        <v>360</v>
      </c>
      <c r="AC1" s="113"/>
      <c r="AT1" s="50" t="s">
        <v>14</v>
      </c>
    </row>
    <row r="2" ht="14.25" hidden="1" customHeight="1">
      <c r="AT2" s="50">
        <v>0</v>
      </c>
    </row>
    <row r="3" s="70" customFormat="1" ht="5.25" customHeight="1">
      <c r="C3" s="413"/>
      <c r="D3" s="414"/>
      <c r="E3" s="414"/>
      <c r="F3" s="414"/>
      <c r="G3" s="414"/>
      <c r="H3" s="414" t="s">
        <v>361</v>
      </c>
      <c r="I3" s="414"/>
      <c r="J3" s="414"/>
      <c r="K3" s="414"/>
      <c r="L3" s="414"/>
      <c r="M3" s="414"/>
      <c r="N3" s="414"/>
      <c r="O3" s="414"/>
      <c r="P3" s="414"/>
      <c r="Q3" s="414"/>
      <c r="R3" s="414"/>
      <c r="S3" s="414"/>
      <c r="T3" s="414"/>
      <c r="U3" s="414"/>
      <c r="V3" s="414"/>
      <c r="W3" s="414"/>
      <c r="X3" s="414"/>
      <c r="Y3" s="414"/>
      <c r="Z3" s="414"/>
      <c r="AA3" s="414"/>
      <c r="AB3" s="414"/>
      <c r="AC3" s="414"/>
      <c r="AD3" s="414"/>
      <c r="AE3" s="414"/>
      <c r="AF3" s="414"/>
      <c r="AG3" s="414"/>
      <c r="AH3" s="414"/>
      <c r="AJ3" s="57"/>
      <c r="AK3" s="57"/>
      <c r="AL3" s="57"/>
      <c r="AM3" s="57"/>
      <c r="AN3" s="57"/>
      <c r="AO3" s="57"/>
      <c r="AP3" s="57"/>
      <c r="AQ3" s="57"/>
      <c r="AR3" s="57"/>
      <c r="AS3" s="57"/>
      <c r="AT3" s="70">
        <v>5</v>
      </c>
    </row>
    <row r="4" ht="39.75" customHeight="1">
      <c r="C4" s="391"/>
      <c r="D4" s="236" t="str">
        <f>ORG_VD_NAME_FORM</f>
        <v xml:space="preserve">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37"/>
      <c r="F4" s="237"/>
      <c r="G4" s="237"/>
      <c r="H4" s="237"/>
      <c r="I4" s="237"/>
      <c r="J4" s="237"/>
      <c r="K4" s="237"/>
      <c r="L4" s="237"/>
      <c r="M4" s="237"/>
      <c r="N4" s="237"/>
      <c r="O4" s="237"/>
      <c r="P4" s="237"/>
      <c r="Q4" s="237"/>
      <c r="R4" s="238"/>
      <c r="S4" s="415"/>
      <c r="T4" s="312"/>
      <c r="U4" s="312"/>
      <c r="V4" s="312"/>
      <c r="W4" s="312"/>
      <c r="X4" s="312"/>
      <c r="Y4" s="312"/>
      <c r="Z4" s="312"/>
      <c r="AA4" s="312"/>
      <c r="AB4" s="312"/>
      <c r="AC4" s="312"/>
      <c r="AD4" s="312"/>
      <c r="AE4" s="416"/>
      <c r="AF4" s="416"/>
      <c r="AG4" s="416"/>
      <c r="AH4" s="416"/>
      <c r="AI4" s="239"/>
      <c r="AT4" s="50">
        <v>38</v>
      </c>
    </row>
    <row r="5" s="50" customFormat="1" ht="18" customHeight="1">
      <c r="A5" s="56"/>
      <c r="C5" s="391"/>
      <c r="D5" s="417" t="str">
        <f>IF(org=0,"Не определено",org)</f>
        <v xml:space="preserve">АО "ДГК"</v>
      </c>
      <c r="E5" s="418"/>
      <c r="F5" s="418"/>
      <c r="G5" s="418"/>
      <c r="H5" s="418"/>
      <c r="I5" s="418"/>
      <c r="J5" s="418"/>
      <c r="K5" s="418"/>
      <c r="L5" s="418"/>
      <c r="M5" s="418"/>
      <c r="N5" s="418"/>
      <c r="O5" s="418"/>
      <c r="P5" s="418"/>
      <c r="Q5" s="418"/>
      <c r="R5" s="419"/>
      <c r="S5" s="415"/>
      <c r="T5" s="312"/>
      <c r="U5" s="312"/>
      <c r="V5" s="312"/>
      <c r="W5" s="312"/>
      <c r="X5" s="312"/>
      <c r="Y5" s="312"/>
      <c r="Z5" s="312"/>
      <c r="AA5" s="312"/>
      <c r="AB5" s="312"/>
      <c r="AC5" s="312"/>
      <c r="AD5" s="312"/>
      <c r="AE5" s="416"/>
      <c r="AF5" s="416"/>
      <c r="AG5" s="416"/>
      <c r="AH5" s="416"/>
      <c r="AI5" s="239"/>
      <c r="AJ5" s="57"/>
      <c r="AK5" s="57"/>
      <c r="AL5" s="57"/>
      <c r="AM5" s="57"/>
      <c r="AN5" s="57"/>
      <c r="AO5" s="57"/>
      <c r="AP5" s="57"/>
      <c r="AQ5" s="57"/>
      <c r="AR5" s="57"/>
      <c r="AS5" s="57"/>
      <c r="AT5" s="50">
        <v>17</v>
      </c>
    </row>
    <row r="6" s="65" customFormat="1" ht="11.5" customHeight="1">
      <c r="A6" s="420"/>
      <c r="C6" s="421"/>
      <c r="D6" s="422"/>
      <c r="E6" s="422"/>
      <c r="F6" s="422"/>
      <c r="G6" s="422"/>
      <c r="H6" s="422"/>
      <c r="I6" s="422"/>
      <c r="J6" s="422"/>
      <c r="K6" s="422"/>
      <c r="L6" s="422"/>
      <c r="M6" s="422"/>
      <c r="N6" s="422"/>
      <c r="O6" s="422"/>
      <c r="P6" s="422"/>
      <c r="Q6" s="422"/>
      <c r="R6" s="352"/>
      <c r="S6" s="352"/>
      <c r="T6" s="422"/>
      <c r="U6" s="422"/>
      <c r="V6" s="423"/>
      <c r="W6" s="423"/>
      <c r="X6" s="422"/>
      <c r="Y6" s="422"/>
      <c r="Z6" s="423"/>
      <c r="AA6" s="423"/>
      <c r="AB6" s="422"/>
      <c r="AC6" s="423"/>
      <c r="AD6" s="423"/>
      <c r="AE6" s="422"/>
      <c r="AF6" s="422"/>
      <c r="AG6" s="422"/>
      <c r="AH6" s="422"/>
      <c r="AJ6" s="57"/>
      <c r="AK6" s="57"/>
      <c r="AL6" s="57"/>
      <c r="AM6" s="57"/>
      <c r="AN6" s="57"/>
      <c r="AO6" s="57"/>
      <c r="AP6" s="57"/>
      <c r="AQ6" s="57"/>
      <c r="AR6" s="57"/>
      <c r="AS6" s="57"/>
      <c r="AT6" s="65">
        <v>11</v>
      </c>
    </row>
    <row r="7" ht="14.65" customHeight="1">
      <c r="C7" s="391"/>
      <c r="D7" s="424" t="s">
        <v>305</v>
      </c>
      <c r="E7" s="425"/>
      <c r="F7" s="425"/>
      <c r="G7" s="425"/>
      <c r="H7" s="425"/>
      <c r="I7" s="425"/>
      <c r="J7" s="425"/>
      <c r="K7" s="425"/>
      <c r="L7" s="425"/>
      <c r="M7" s="425"/>
      <c r="N7" s="425"/>
      <c r="O7" s="425"/>
      <c r="P7" s="425"/>
      <c r="Q7" s="425"/>
      <c r="R7" s="425"/>
      <c r="S7" s="425"/>
      <c r="T7" s="425"/>
      <c r="U7" s="425"/>
      <c r="V7" s="425"/>
      <c r="W7" s="425"/>
      <c r="X7" s="425"/>
      <c r="Y7" s="425"/>
      <c r="Z7" s="425"/>
      <c r="AA7" s="425"/>
      <c r="AB7" s="425"/>
      <c r="AC7" s="425"/>
      <c r="AD7" s="426"/>
      <c r="AE7" s="246" t="s">
        <v>306</v>
      </c>
      <c r="AF7" s="246" t="s">
        <v>306</v>
      </c>
      <c r="AG7" s="246" t="s">
        <v>306</v>
      </c>
      <c r="AH7" s="246" t="s">
        <v>306</v>
      </c>
      <c r="AT7" s="50">
        <v>14</v>
      </c>
    </row>
    <row r="8" ht="27.300000000000001" customHeight="1">
      <c r="C8" s="391"/>
      <c r="D8" s="157" t="s">
        <v>89</v>
      </c>
      <c r="E8" s="246" t="str">
        <f>"Наименование "&amp;IF(TEMPLATE_SPHERE&lt;&gt;"HEAT","централизованной ","")&amp;"системы "&amp;TEMPLATE_SPHERE_RUS</f>
        <v xml:space="preserve">Наименование системы теплоснабжения</v>
      </c>
      <c r="F8" s="246" t="str">
        <f>IF(TEMPLATE_SPHERE&lt;&gt;"HEAT","Регулируемый вид деятельности","Вид регулируемой деятельности")</f>
        <v xml:space="preserve">Вид регулируемой деятельности</v>
      </c>
      <c r="G8" s="427"/>
      <c r="H8" s="427" t="s">
        <v>362</v>
      </c>
      <c r="I8" s="428" t="s">
        <v>363</v>
      </c>
      <c r="J8" s="246" t="s">
        <v>364</v>
      </c>
      <c r="K8" s="246"/>
      <c r="L8" s="246"/>
      <c r="M8" s="424"/>
      <c r="N8" s="246" t="s">
        <v>365</v>
      </c>
      <c r="O8" s="246"/>
      <c r="P8" s="246" t="s">
        <v>366</v>
      </c>
      <c r="Q8" s="246"/>
      <c r="R8" s="429" t="s">
        <v>367</v>
      </c>
      <c r="S8" s="429"/>
      <c r="T8" s="427" t="s">
        <v>368</v>
      </c>
      <c r="U8" s="427" t="s">
        <v>369</v>
      </c>
      <c r="V8" s="427" t="s">
        <v>370</v>
      </c>
      <c r="W8" s="427"/>
      <c r="X8" s="427" t="s">
        <v>371</v>
      </c>
      <c r="Y8" s="427" t="s">
        <v>372</v>
      </c>
      <c r="Z8" s="427" t="s">
        <v>373</v>
      </c>
      <c r="AA8" s="427"/>
      <c r="AB8" s="427" t="s">
        <v>374</v>
      </c>
      <c r="AC8" s="427" t="s">
        <v>367</v>
      </c>
      <c r="AD8" s="427"/>
      <c r="AE8" s="246"/>
      <c r="AF8" s="246"/>
      <c r="AG8" s="246"/>
      <c r="AH8" s="246"/>
      <c r="AT8" s="50">
        <v>26</v>
      </c>
    </row>
    <row r="9" ht="46.149999999999999" customHeight="1">
      <c r="C9" s="391"/>
      <c r="D9" s="157"/>
      <c r="E9" s="246"/>
      <c r="F9" s="246"/>
      <c r="G9" s="430"/>
      <c r="H9" s="430"/>
      <c r="I9" s="431"/>
      <c r="J9" s="246" t="s">
        <v>375</v>
      </c>
      <c r="K9" s="246" t="s">
        <v>376</v>
      </c>
      <c r="L9" s="246" t="s">
        <v>377</v>
      </c>
      <c r="M9" s="424" t="s">
        <v>378</v>
      </c>
      <c r="N9" s="246" t="s">
        <v>379</v>
      </c>
      <c r="O9" s="246" t="s">
        <v>378</v>
      </c>
      <c r="P9" s="246" t="s">
        <v>380</v>
      </c>
      <c r="Q9" s="246" t="s">
        <v>378</v>
      </c>
      <c r="R9" s="432"/>
      <c r="S9" s="432"/>
      <c r="T9" s="430"/>
      <c r="U9" s="430"/>
      <c r="V9" s="430"/>
      <c r="W9" s="430"/>
      <c r="X9" s="430"/>
      <c r="Y9" s="430"/>
      <c r="Z9" s="430"/>
      <c r="AA9" s="430"/>
      <c r="AB9" s="430"/>
      <c r="AC9" s="430"/>
      <c r="AD9" s="430"/>
      <c r="AE9" s="246"/>
      <c r="AF9" s="246"/>
      <c r="AG9" s="246"/>
      <c r="AH9" s="246"/>
      <c r="AT9" s="50">
        <v>44</v>
      </c>
    </row>
    <row r="10" ht="12" hidden="1" customHeight="1">
      <c r="C10" s="433"/>
      <c r="D10" s="434"/>
      <c r="E10" s="434"/>
      <c r="F10" s="434"/>
      <c r="G10" s="434"/>
      <c r="H10" s="434"/>
      <c r="I10" s="434"/>
      <c r="J10" s="434"/>
      <c r="K10" s="434"/>
      <c r="L10" s="434"/>
      <c r="M10" s="434"/>
      <c r="N10" s="434"/>
      <c r="O10" s="434"/>
      <c r="P10" s="434"/>
      <c r="Q10" s="434"/>
      <c r="R10" s="434"/>
      <c r="S10" s="434"/>
      <c r="T10" s="434"/>
      <c r="U10" s="434"/>
      <c r="V10" s="434"/>
      <c r="W10" s="434"/>
      <c r="X10" s="434"/>
      <c r="Y10" s="434"/>
      <c r="Z10" s="434"/>
      <c r="AA10" s="434"/>
      <c r="AB10" s="434"/>
      <c r="AC10" s="434"/>
      <c r="AD10" s="434"/>
      <c r="AE10" s="434"/>
      <c r="AF10" s="434"/>
      <c r="AG10" s="434"/>
      <c r="AH10" s="434"/>
      <c r="AI10" s="50"/>
      <c r="AP10" s="129"/>
      <c r="AQ10" s="129"/>
      <c r="AT10" s="50">
        <v>0</v>
      </c>
    </row>
    <row r="11" s="131" customFormat="1" ht="11.25" hidden="1" customHeight="1">
      <c r="C11" s="435"/>
      <c r="D11" s="436" t="s">
        <v>381</v>
      </c>
      <c r="E11" s="436"/>
      <c r="F11" s="436"/>
      <c r="G11" s="436"/>
      <c r="H11" s="437"/>
      <c r="I11" s="437"/>
      <c r="J11" s="437"/>
      <c r="K11" s="437"/>
      <c r="L11" s="437"/>
      <c r="M11" s="437"/>
      <c r="N11" s="437"/>
      <c r="O11" s="437"/>
      <c r="P11" s="437"/>
      <c r="Q11" s="437"/>
      <c r="R11" s="437"/>
      <c r="S11" s="437"/>
      <c r="T11" s="437"/>
      <c r="U11" s="437"/>
      <c r="V11" s="437"/>
      <c r="W11" s="437"/>
      <c r="X11" s="437"/>
      <c r="Y11" s="437"/>
      <c r="Z11" s="437"/>
      <c r="AA11" s="437"/>
      <c r="AB11" s="437"/>
      <c r="AC11" s="437"/>
      <c r="AD11" s="437"/>
      <c r="AE11" s="438"/>
      <c r="AF11" s="438"/>
      <c r="AG11" s="438"/>
      <c r="AH11" s="438"/>
      <c r="AJ11" s="57"/>
      <c r="AK11" s="57"/>
      <c r="AL11" s="57"/>
      <c r="AM11" s="57"/>
      <c r="AN11" s="57"/>
      <c r="AO11" s="57"/>
      <c r="AP11" s="57"/>
      <c r="AQ11" s="57"/>
      <c r="AR11" s="57"/>
      <c r="AS11" s="57"/>
      <c r="AT11" s="131">
        <v>0</v>
      </c>
    </row>
    <row r="12" ht="14.65" customHeight="1">
      <c r="A12" s="50"/>
      <c r="C12" s="391"/>
      <c r="D12" s="439" t="s">
        <v>109</v>
      </c>
      <c r="E12" s="386" t="s">
        <v>28</v>
      </c>
      <c r="F12" s="440"/>
      <c r="G12" s="441"/>
      <c r="H12" s="442"/>
      <c r="I12" s="442"/>
      <c r="J12" s="443"/>
      <c r="K12" s="444"/>
      <c r="L12" s="445"/>
      <c r="M12" s="444"/>
      <c r="N12" s="443"/>
      <c r="O12" s="444"/>
      <c r="P12" s="443"/>
      <c r="Q12" s="444"/>
      <c r="R12" s="443"/>
      <c r="S12" s="446"/>
      <c r="T12" s="442"/>
      <c r="U12" s="443"/>
      <c r="V12" s="443"/>
      <c r="W12" s="430"/>
      <c r="X12" s="442"/>
      <c r="Y12" s="443"/>
      <c r="Z12" s="443"/>
      <c r="AA12" s="430"/>
      <c r="AB12" s="442"/>
      <c r="AC12" s="443"/>
      <c r="AD12" s="430"/>
      <c r="AE12" s="447" t="s">
        <v>382</v>
      </c>
      <c r="AF12" s="447" t="s">
        <v>383</v>
      </c>
      <c r="AG12" s="447" t="s">
        <v>384</v>
      </c>
      <c r="AH12" s="447" t="s">
        <v>385</v>
      </c>
      <c r="AI12" s="50"/>
      <c r="AM12" s="57"/>
      <c r="AP12" s="129" t="s">
        <v>386</v>
      </c>
      <c r="AQ12" s="129" t="s">
        <v>386</v>
      </c>
      <c r="AT12" s="50">
        <v>14</v>
      </c>
    </row>
    <row r="13" ht="18" customHeight="1">
      <c r="A13" s="50"/>
      <c r="C13" s="391"/>
      <c r="D13" s="448"/>
      <c r="E13" s="449" t="str">
        <f>IF(TITLE_DIFFERENTIATION_TYPE="нет","","Добавить систему")</f>
        <v/>
      </c>
      <c r="F13" s="449" t="str">
        <f>IF(TITLE_DIFFERENTIATION_TYPE="нет","Добавить вид деятельности","")</f>
        <v xml:space="preserve">Добавить вид деятельности</v>
      </c>
      <c r="G13" s="450"/>
      <c r="H13" s="451"/>
      <c r="I13" s="451"/>
      <c r="J13" s="451"/>
      <c r="K13" s="451"/>
      <c r="L13" s="451"/>
      <c r="M13" s="451"/>
      <c r="N13" s="451"/>
      <c r="O13" s="451"/>
      <c r="P13" s="451"/>
      <c r="Q13" s="451"/>
      <c r="R13" s="451"/>
      <c r="S13" s="451"/>
      <c r="T13" s="451"/>
      <c r="U13" s="451"/>
      <c r="V13" s="451"/>
      <c r="W13" s="451"/>
      <c r="X13" s="451"/>
      <c r="Y13" s="451"/>
      <c r="Z13" s="451"/>
      <c r="AA13" s="451"/>
      <c r="AB13" s="451"/>
      <c r="AC13" s="451"/>
      <c r="AD13" s="452"/>
      <c r="AE13" s="453"/>
      <c r="AF13" s="453"/>
      <c r="AG13" s="453"/>
      <c r="AH13" s="453"/>
      <c r="AI13" s="50"/>
      <c r="AT13" s="50">
        <v>17</v>
      </c>
    </row>
    <row r="14" ht="14.65" customHeight="1">
      <c r="AI14" s="50"/>
      <c r="AT14" s="50">
        <v>14</v>
      </c>
    </row>
    <row r="15" ht="14.65" customHeight="1">
      <c r="E15" s="50"/>
      <c r="L15" s="50"/>
      <c r="AT15" s="50">
        <v>14</v>
      </c>
    </row>
    <row r="16" ht="14.65" customHeight="1">
      <c r="L16" s="50"/>
      <c r="AT16" s="50">
        <v>14</v>
      </c>
    </row>
    <row r="17" ht="14.65" customHeight="1">
      <c r="L17" s="50"/>
      <c r="AT17" s="50">
        <v>14</v>
      </c>
    </row>
    <row r="18" ht="22.5" hidden="1" customHeight="1">
      <c r="A18" s="56" t="s">
        <v>83</v>
      </c>
      <c r="B18" s="50">
        <v>0</v>
      </c>
      <c r="C18" s="128">
        <v>3</v>
      </c>
      <c r="D18" s="50">
        <v>5</v>
      </c>
      <c r="E18" s="50">
        <v>48</v>
      </c>
      <c r="F18" s="50">
        <v>38</v>
      </c>
      <c r="G18" s="50">
        <v>0</v>
      </c>
      <c r="H18" s="50">
        <v>0</v>
      </c>
      <c r="I18" s="50">
        <v>0</v>
      </c>
      <c r="J18" s="50">
        <v>0</v>
      </c>
      <c r="K18" s="50">
        <v>0</v>
      </c>
      <c r="L18" s="50">
        <v>0</v>
      </c>
      <c r="M18" s="50">
        <v>0</v>
      </c>
      <c r="N18" s="50">
        <v>0</v>
      </c>
      <c r="O18" s="50">
        <v>0</v>
      </c>
      <c r="P18" s="50">
        <v>0</v>
      </c>
      <c r="Q18" s="50">
        <v>0</v>
      </c>
      <c r="R18" s="50">
        <v>0</v>
      </c>
      <c r="S18" s="50">
        <v>0</v>
      </c>
      <c r="T18" s="50">
        <v>0</v>
      </c>
      <c r="U18" s="50">
        <v>0</v>
      </c>
      <c r="V18" s="50">
        <v>0</v>
      </c>
      <c r="W18" s="50">
        <v>0</v>
      </c>
      <c r="X18" s="50">
        <v>0</v>
      </c>
      <c r="Y18" s="50">
        <v>0</v>
      </c>
      <c r="Z18" s="50">
        <v>0</v>
      </c>
      <c r="AA18" s="50">
        <v>0</v>
      </c>
      <c r="AB18" s="50">
        <v>0</v>
      </c>
      <c r="AC18" s="50">
        <v>0</v>
      </c>
      <c r="AD18" s="50">
        <v>0</v>
      </c>
      <c r="AE18" s="50">
        <v>0</v>
      </c>
      <c r="AF18" s="50">
        <v>0</v>
      </c>
      <c r="AG18" s="50">
        <v>0</v>
      </c>
      <c r="AH18" s="50">
        <v>0</v>
      </c>
      <c r="AI18" s="139">
        <v>3</v>
      </c>
      <c r="AJ18" s="57">
        <v>10</v>
      </c>
      <c r="AK18" s="57">
        <v>10</v>
      </c>
      <c r="AL18" s="57">
        <v>10</v>
      </c>
      <c r="AM18" s="57">
        <v>0</v>
      </c>
      <c r="AN18" s="57">
        <v>15</v>
      </c>
      <c r="AO18" s="57">
        <v>16</v>
      </c>
      <c r="AP18" s="57">
        <v>10</v>
      </c>
      <c r="AQ18" s="57">
        <v>10</v>
      </c>
      <c r="AR18" s="57">
        <v>10</v>
      </c>
      <c r="AS18" s="57">
        <v>10</v>
      </c>
      <c r="AT18" s="50">
        <v>23</v>
      </c>
    </row>
  </sheetData>
  <sheetProtection autoFilter="0" deleteColumns="1" deleteRows="1" formatCells="1" formatColumns="0" formatRows="0" insertColumns="1" insertHyperlinks="1" insertRows="1" objects="0" pivotTables="1" scenarios="0" selectLockedCells="0" selectUnlockedCells="0" sheet="1" sort="1"/>
  <mergeCells count="32">
    <mergeCell ref="H1:R1"/>
    <mergeCell ref="T1:V1"/>
    <mergeCell ref="X1:Z1"/>
    <mergeCell ref="AB1:AC1"/>
    <mergeCell ref="D4:R4"/>
    <mergeCell ref="D5:R5"/>
    <mergeCell ref="D7:AD7"/>
    <mergeCell ref="AE7:AE9"/>
    <mergeCell ref="AF7:AF9"/>
    <mergeCell ref="AG7:AG9"/>
    <mergeCell ref="AH7:AH9"/>
    <mergeCell ref="D8:D9"/>
    <mergeCell ref="E8:E9"/>
    <mergeCell ref="F8:F9"/>
    <mergeCell ref="H8:H9"/>
    <mergeCell ref="I8:I9"/>
    <mergeCell ref="J8:M8"/>
    <mergeCell ref="N8:O8"/>
    <mergeCell ref="P8:Q8"/>
    <mergeCell ref="R8:R9"/>
    <mergeCell ref="T8:T9"/>
    <mergeCell ref="U8:U9"/>
    <mergeCell ref="V8:V9"/>
    <mergeCell ref="X8:X9"/>
    <mergeCell ref="Y8:Y9"/>
    <mergeCell ref="Z8:Z9"/>
    <mergeCell ref="AB8:AB9"/>
    <mergeCell ref="AC8:AC9"/>
    <mergeCell ref="AE12:AE13"/>
    <mergeCell ref="AF12:AF13"/>
    <mergeCell ref="AG12:AG13"/>
    <mergeCell ref="AH12:AH13"/>
  </mergeCells>
  <dataValidations count="2" disablePrompts="0">
    <dataValidation sqref="F12" type="none" allowBlank="1" errorStyle="stop" imeMode="noControl" operator="between" prompt="Выберите один или несколько одновременно видов деятельности, выполнив последовательно по одному щелчку на строке с видом деятельности" showDropDown="0" showErrorMessage="1" showInputMessage="1"/>
    <dataValidation sqref="E11:G11" type="none" allowBlank="1" error="Допускается ввод только неотрицательных чисел!" errorStyle="stop" errorTitle="Ошибка" imeMode="noControl" operator="between" showDropDown="0" showErrorMessage="1"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F20010-005C-47B1-B014-0057009000C1}" type="list" allowBlank="1" error="Выберите значение из списка" errorStyle="stop" errorTitle="Ошибка" imeMode="noControl" operator="between" prompt="Выберите значение из списка" showDropDown="0" showErrorMessage="1" showInputMessage="1">
          <x14:formula1>
            <xm:f>kind_of_power_te_unit</xm:f>
          </x14:formula1>
          <xm:sqref>L12</xm:sqref>
        </x14:dataValidation>
        <x14:dataValidation xr:uid="{008300CC-00AE-4813-9A6A-006600E70019}" type="whole" allowBlank="1" error="Допускается ввод только неотрицательных целых чисел!" errorStyle="stop" errorTitle="Ошибка" imeMode="noControl" operator="between" showDropDown="0" showErrorMessage="1" showInputMessage="0">
          <x14:formula1>
            <xm:f>0</xm:f>
          </x14:formula1>
          <x14:formula2>
            <xm:f>9.99999999999999E+23</xm:f>
          </x14:formula2>
          <xm:sqref>N12 P12 U12:V12 Y12:Z12 J12 R12:S12 AC12</xm:sqref>
        </x14:dataValidation>
        <x14:dataValidation xr:uid="{00870026-005E-45F4-A10D-00B300A9008F}" type="textLength" allowBlank="1" error="Допускается ввод не более 900 символов!" errorStyle="stop" errorTitle="Ошибка" imeMode="noControl" operator="lessThanOrEqual" showDropDown="0" showErrorMessage="1" showInputMessage="1">
          <x14:formula1>
            <xm:f>900</xm:f>
          </x14:formula1>
          <xm:sqref>E12</xm:sqref>
        </x14:dataValidation>
        <x14:dataValidation xr:uid="{0046000C-0043-4A84-B9BD-00A4004300AF}" type="decimal" allowBlank="1" error="Допускается ввод только неотрицательных чисел!" errorStyle="stop" errorTitle="Ошибка" imeMode="noControl" operator="between" showDropDown="0" showErrorMessage="1" showInputMessage="0">
          <x14:formula1>
            <xm:f>0</xm:f>
          </x14:formula1>
          <x14:formula2>
            <xm:f>9.99999999999999E+23</xm:f>
          </x14:formula2>
          <xm:sqref>H11:AD11 T12 H12:I12 AB12 X12 K12 M12 O12 Q12</xm:sqref>
        </x14:dataValidation>
      </x14:dataValidations>
    </ext>
  </extLst>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topLeftCell="A1" zoomScale="100" workbookViewId="0">
      <selection activeCell="A1" activeCellId="0" sqref="A1"/>
    </sheetView>
  </sheetViews>
  <sheetFormatPr defaultColWidth="9.140625" defaultRowHeight="11.25" customHeight="1"/>
  <cols>
    <col min="1" max="2" style="1400" width="9.140625"/>
  </cols>
  <sheetData>
    <row r="1" ht="11.25" customHeight="1">
      <c r="A1" s="1400" t="s">
        <v>130</v>
      </c>
      <c r="B1" s="1400" t="s">
        <v>3462</v>
      </c>
    </row>
    <row r="2" ht="11.25" customHeight="1">
      <c r="A2" s="183" t="s">
        <v>99</v>
      </c>
      <c r="B2" s="183" t="s">
        <v>3463</v>
      </c>
    </row>
  </sheetData>
  <sheetProtection autoFilter="0" deleteColumns="1" deleteRows="1" formatCells="1" formatColumns="1" formatRows="1" insertColumns="1" insertHyperlinks="1" insertRows="1" objects="0" pivotTables="1" scenarios="0" selectLockedCells="0" selectUnlockedCells="0" sheet="1" sort="1"/>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topLeftCell="A1" zoomScale="100" workbookViewId="0">
      <selection activeCell="A1" activeCellId="0" sqref="A1"/>
    </sheetView>
  </sheetViews>
  <sheetFormatPr defaultColWidth="9.140625" defaultRowHeight="11.25" customHeight="1"/>
  <cols>
    <col min="1" max="1" style="793" width="9.140625"/>
    <col customWidth="1" min="2" max="2" style="793" width="65.28125"/>
  </cols>
  <sheetData>
    <row r="1" ht="11.25" customHeight="1">
      <c r="A1" s="793" t="s">
        <v>3464</v>
      </c>
      <c r="B1" s="793" t="s">
        <v>3465</v>
      </c>
    </row>
    <row r="2" ht="11.25" customHeight="1">
      <c r="A2" s="793">
        <v>4213775</v>
      </c>
      <c r="B2" s="793" t="s">
        <v>1227</v>
      </c>
    </row>
    <row r="3" ht="11.25" customHeight="1">
      <c r="A3" s="793">
        <v>4213784</v>
      </c>
      <c r="B3" s="793" t="s">
        <v>1260</v>
      </c>
    </row>
    <row r="4" ht="11.25" customHeight="1">
      <c r="A4" s="793">
        <v>4213781</v>
      </c>
      <c r="B4" s="793" t="s">
        <v>1253</v>
      </c>
    </row>
    <row r="5" ht="11.25" customHeight="1">
      <c r="A5" s="793">
        <v>4213776</v>
      </c>
      <c r="B5" s="793" t="s">
        <v>166</v>
      </c>
    </row>
    <row r="6" ht="11.25" customHeight="1">
      <c r="A6" s="793">
        <v>4213777</v>
      </c>
      <c r="B6" s="793" t="s">
        <v>172</v>
      </c>
    </row>
    <row r="7" ht="11.25" customHeight="1">
      <c r="A7" s="793">
        <v>4213778</v>
      </c>
      <c r="B7" s="793" t="s">
        <v>178</v>
      </c>
    </row>
    <row r="8" ht="11.25" customHeight="1">
      <c r="A8" s="793">
        <v>4213780</v>
      </c>
      <c r="B8" s="793" t="s">
        <v>184</v>
      </c>
    </row>
    <row r="9" ht="11.25" customHeight="1">
      <c r="A9" s="793">
        <v>4213779</v>
      </c>
      <c r="B9" s="793" t="s">
        <v>1394</v>
      </c>
    </row>
    <row r="10" ht="11.25" customHeight="1">
      <c r="A10" s="793">
        <v>4213783</v>
      </c>
      <c r="B10" s="793" t="s">
        <v>1409</v>
      </c>
    </row>
    <row r="11" ht="11.25" customHeight="1">
      <c r="A11" s="793">
        <v>4213782</v>
      </c>
      <c r="B11" s="793" t="s">
        <v>190</v>
      </c>
    </row>
  </sheetData>
  <sheetProtection autoFilter="0" deleteColumns="1" deleteRows="1" formatCells="1" formatColumns="1" formatRows="1" insertColumns="1" insertHyperlinks="1" insertRows="1" objects="0" pivotTables="1" scenarios="0" selectLockedCells="0" selectUnlockedCells="0" sheet="1" sort="1"/>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topLeftCell="A1" zoomScale="100" workbookViewId="0">
      <selection activeCell="A1" activeCellId="0" sqref="A1"/>
    </sheetView>
  </sheetViews>
  <sheetFormatPr defaultColWidth="9.140625" defaultRowHeight="11.25" customHeight="1"/>
  <cols>
    <col min="1" max="1" style="793" width="9.140625"/>
    <col customWidth="1" min="2" max="2" style="793" width="65.28125"/>
  </cols>
  <sheetData>
    <row r="1" ht="11.25" customHeight="1">
      <c r="A1" s="793" t="s">
        <v>3464</v>
      </c>
      <c r="B1" s="793" t="s">
        <v>3466</v>
      </c>
    </row>
    <row r="2" ht="11.25" customHeight="1">
      <c r="A2" s="793" t="s">
        <v>3467</v>
      </c>
      <c r="B2" s="793" t="s">
        <v>1507</v>
      </c>
    </row>
    <row r="3" ht="11.25" customHeight="1">
      <c r="A3" s="793" t="s">
        <v>3468</v>
      </c>
      <c r="B3" s="793" t="s">
        <v>1517</v>
      </c>
    </row>
    <row r="4" ht="11.25" customHeight="1">
      <c r="A4" s="793" t="s">
        <v>3469</v>
      </c>
      <c r="B4" s="793" t="s">
        <v>1526</v>
      </c>
    </row>
    <row r="5" ht="11.25" customHeight="1">
      <c r="A5" s="793" t="s">
        <v>3470</v>
      </c>
      <c r="B5" s="793" t="s">
        <v>1535</v>
      </c>
    </row>
    <row r="6" ht="11.25" customHeight="1">
      <c r="A6" s="793" t="s">
        <v>3471</v>
      </c>
      <c r="B6" s="793" t="s">
        <v>1541</v>
      </c>
    </row>
    <row r="7" ht="11.25" customHeight="1">
      <c r="A7" s="793" t="s">
        <v>3472</v>
      </c>
      <c r="B7" s="793" t="s">
        <v>1549</v>
      </c>
    </row>
    <row r="8" ht="11.25" customHeight="1">
      <c r="A8" s="793" t="s">
        <v>3473</v>
      </c>
      <c r="B8" s="793" t="s">
        <v>1556</v>
      </c>
    </row>
    <row r="9" ht="11.25" customHeight="1">
      <c r="A9" s="793" t="s">
        <v>3474</v>
      </c>
      <c r="B9" s="793" t="s">
        <v>1562</v>
      </c>
    </row>
    <row r="10" ht="11.25" customHeight="1">
      <c r="A10" s="793" t="s">
        <v>3475</v>
      </c>
      <c r="B10" s="793" t="s">
        <v>1566</v>
      </c>
    </row>
    <row r="11" ht="11.25" customHeight="1">
      <c r="A11" s="793" t="s">
        <v>3476</v>
      </c>
      <c r="B11" s="793" t="s">
        <v>1573</v>
      </c>
    </row>
  </sheetData>
  <sheetProtection autoFilter="0" deleteColumns="1" deleteRows="1" formatCells="1" formatColumns="1" formatRows="1" insertColumns="1" insertHyperlinks="1" insertRows="1" objects="0" pivotTables="1" scenarios="0" selectLockedCells="0" selectUnlockedCells="0" sheet="1" sort="1"/>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topLeftCell="A1" zoomScale="100" workbookViewId="0">
      <selection activeCell="A1" activeCellId="0" sqref="A1"/>
    </sheetView>
  </sheetViews>
  <sheetFormatPr defaultRowHeight="11.25" customHeight="1"/>
  <sheetData>
    <row r="1" ht="11.25" customHeight="1">
      <c r="A1" s="63" t="s">
        <v>3337</v>
      </c>
      <c r="B1" s="63" t="s">
        <v>3338</v>
      </c>
      <c r="C1" s="63" t="s">
        <v>3339</v>
      </c>
      <c r="D1" s="63" t="s">
        <v>3340</v>
      </c>
      <c r="E1" t="s">
        <v>3341</v>
      </c>
      <c r="F1" t="s">
        <v>3342</v>
      </c>
      <c r="G1" t="s">
        <v>3343</v>
      </c>
    </row>
    <row r="2" ht="11.25" customHeight="1">
      <c r="A2" t="s">
        <v>16</v>
      </c>
      <c r="B2" t="s">
        <v>3344</v>
      </c>
      <c r="C2" t="s">
        <v>3345</v>
      </c>
      <c r="D2" t="s">
        <v>3344</v>
      </c>
      <c r="E2" t="s">
        <v>3345</v>
      </c>
      <c r="F2" t="s">
        <v>3346</v>
      </c>
      <c r="G2" t="s">
        <v>109</v>
      </c>
    </row>
    <row r="3" ht="11.25" customHeight="1">
      <c r="A3" t="s">
        <v>16</v>
      </c>
      <c r="B3" t="s">
        <v>3347</v>
      </c>
      <c r="C3" t="s">
        <v>3348</v>
      </c>
      <c r="D3" t="s">
        <v>3347</v>
      </c>
      <c r="E3" t="s">
        <v>3348</v>
      </c>
      <c r="F3" t="s">
        <v>3349</v>
      </c>
      <c r="G3" t="s">
        <v>110</v>
      </c>
    </row>
    <row r="4" ht="11.25" customHeight="1">
      <c r="A4" t="s">
        <v>16</v>
      </c>
      <c r="B4" t="s">
        <v>3350</v>
      </c>
      <c r="C4" t="s">
        <v>3351</v>
      </c>
      <c r="D4" t="s">
        <v>3350</v>
      </c>
      <c r="E4" t="s">
        <v>3351</v>
      </c>
      <c r="F4" t="s">
        <v>3349</v>
      </c>
      <c r="G4" t="s">
        <v>91</v>
      </c>
    </row>
    <row r="5" ht="11.25" customHeight="1">
      <c r="A5" t="s">
        <v>16</v>
      </c>
      <c r="B5" t="s">
        <v>100</v>
      </c>
      <c r="C5" t="s">
        <v>101</v>
      </c>
      <c r="D5" t="s">
        <v>100</v>
      </c>
      <c r="E5" t="s">
        <v>101</v>
      </c>
      <c r="F5" t="s">
        <v>3349</v>
      </c>
      <c r="G5" t="s">
        <v>92</v>
      </c>
    </row>
    <row r="6" ht="11.25" customHeight="1">
      <c r="A6" t="s">
        <v>16</v>
      </c>
      <c r="B6" t="s">
        <v>3352</v>
      </c>
      <c r="C6" t="s">
        <v>3353</v>
      </c>
      <c r="D6" t="s">
        <v>3352</v>
      </c>
      <c r="E6" t="s">
        <v>3353</v>
      </c>
      <c r="F6" t="s">
        <v>3346</v>
      </c>
      <c r="G6" t="s">
        <v>111</v>
      </c>
    </row>
    <row r="7" ht="11.25" customHeight="1">
      <c r="A7" t="s">
        <v>16</v>
      </c>
      <c r="B7" t="s">
        <v>3354</v>
      </c>
      <c r="C7" t="s">
        <v>3355</v>
      </c>
      <c r="D7" t="s">
        <v>3354</v>
      </c>
      <c r="E7" t="s">
        <v>3355</v>
      </c>
      <c r="F7" t="s">
        <v>3349</v>
      </c>
      <c r="G7" t="s">
        <v>93</v>
      </c>
    </row>
    <row r="8" ht="11.25" customHeight="1">
      <c r="A8" t="s">
        <v>16</v>
      </c>
      <c r="B8" t="s">
        <v>3356</v>
      </c>
      <c r="C8" t="s">
        <v>3357</v>
      </c>
      <c r="D8" t="s">
        <v>3356</v>
      </c>
      <c r="E8" t="s">
        <v>3357</v>
      </c>
      <c r="F8" t="s">
        <v>3346</v>
      </c>
      <c r="G8" t="s">
        <v>94</v>
      </c>
    </row>
    <row r="9" ht="11.25" customHeight="1">
      <c r="A9" t="s">
        <v>16</v>
      </c>
      <c r="B9" t="s">
        <v>3358</v>
      </c>
      <c r="C9" t="s">
        <v>3359</v>
      </c>
      <c r="D9" t="s">
        <v>3358</v>
      </c>
      <c r="E9" t="s">
        <v>3359</v>
      </c>
      <c r="F9" t="s">
        <v>3346</v>
      </c>
      <c r="G9" t="s">
        <v>112</v>
      </c>
    </row>
    <row r="10" ht="11.25" customHeight="1">
      <c r="A10" t="s">
        <v>16</v>
      </c>
      <c r="B10" t="s">
        <v>3360</v>
      </c>
      <c r="C10" t="s">
        <v>3361</v>
      </c>
      <c r="D10" t="s">
        <v>3360</v>
      </c>
      <c r="E10" t="s">
        <v>3361</v>
      </c>
      <c r="F10" t="s">
        <v>3346</v>
      </c>
      <c r="G10" t="s">
        <v>148</v>
      </c>
    </row>
    <row r="11" ht="11.25" customHeight="1">
      <c r="A11" t="s">
        <v>16</v>
      </c>
      <c r="B11" t="s">
        <v>3362</v>
      </c>
      <c r="C11" t="s">
        <v>3363</v>
      </c>
      <c r="D11" t="s">
        <v>3362</v>
      </c>
      <c r="E11" t="s">
        <v>3363</v>
      </c>
      <c r="F11" t="s">
        <v>3346</v>
      </c>
      <c r="G11" t="s">
        <v>149</v>
      </c>
    </row>
    <row r="12" ht="11.25" customHeight="1">
      <c r="A12" t="s">
        <v>16</v>
      </c>
      <c r="B12" t="s">
        <v>3364</v>
      </c>
      <c r="C12" t="s">
        <v>3365</v>
      </c>
      <c r="D12" t="s">
        <v>3364</v>
      </c>
      <c r="E12" t="s">
        <v>3365</v>
      </c>
      <c r="F12" t="s">
        <v>3346</v>
      </c>
      <c r="G12" t="s">
        <v>150</v>
      </c>
    </row>
    <row r="13" ht="11.25" customHeight="1">
      <c r="A13" t="s">
        <v>16</v>
      </c>
      <c r="B13" t="s">
        <v>3366</v>
      </c>
      <c r="C13" t="s">
        <v>3367</v>
      </c>
      <c r="D13" t="s">
        <v>3366</v>
      </c>
      <c r="E13" t="s">
        <v>3367</v>
      </c>
      <c r="F13" t="s">
        <v>3346</v>
      </c>
      <c r="G13" t="s">
        <v>151</v>
      </c>
    </row>
    <row r="14" ht="11.25" customHeight="1">
      <c r="A14" t="s">
        <v>16</v>
      </c>
      <c r="B14" t="s">
        <v>3368</v>
      </c>
      <c r="C14" t="s">
        <v>3369</v>
      </c>
      <c r="D14" t="s">
        <v>3368</v>
      </c>
      <c r="E14" t="s">
        <v>3369</v>
      </c>
      <c r="F14" t="s">
        <v>3346</v>
      </c>
      <c r="G14" t="s">
        <v>152</v>
      </c>
    </row>
    <row r="15" ht="11.25" customHeight="1">
      <c r="A15" t="s">
        <v>16</v>
      </c>
      <c r="B15" t="s">
        <v>3370</v>
      </c>
      <c r="C15" t="s">
        <v>3371</v>
      </c>
      <c r="D15" t="s">
        <v>3370</v>
      </c>
      <c r="E15" t="s">
        <v>3371</v>
      </c>
      <c r="F15" t="s">
        <v>3346</v>
      </c>
      <c r="G15" t="s">
        <v>153</v>
      </c>
    </row>
    <row r="16" ht="11.25" customHeight="1">
      <c r="A16" t="s">
        <v>16</v>
      </c>
      <c r="B16" t="s">
        <v>3372</v>
      </c>
      <c r="C16" t="s">
        <v>3373</v>
      </c>
      <c r="D16" t="s">
        <v>3372</v>
      </c>
      <c r="E16" t="s">
        <v>3373</v>
      </c>
      <c r="F16" t="s">
        <v>3349</v>
      </c>
      <c r="G16" t="s">
        <v>1469</v>
      </c>
    </row>
    <row r="17" ht="11.25" customHeight="1">
      <c r="A17" t="s">
        <v>16</v>
      </c>
      <c r="B17" t="s">
        <v>3374</v>
      </c>
      <c r="C17" t="s">
        <v>3375</v>
      </c>
      <c r="D17" t="s">
        <v>3374</v>
      </c>
      <c r="E17" t="s">
        <v>3375</v>
      </c>
      <c r="F17" t="s">
        <v>3346</v>
      </c>
      <c r="G17" t="s">
        <v>1475</v>
      </c>
    </row>
    <row r="18" ht="11.25" customHeight="1">
      <c r="A18" t="s">
        <v>16</v>
      </c>
      <c r="B18" t="s">
        <v>3376</v>
      </c>
      <c r="C18" t="s">
        <v>3377</v>
      </c>
      <c r="D18" t="s">
        <v>3376</v>
      </c>
      <c r="E18" t="s">
        <v>3377</v>
      </c>
      <c r="F18" t="s">
        <v>3346</v>
      </c>
      <c r="G18" t="s">
        <v>1487</v>
      </c>
    </row>
    <row r="19" ht="11.25" customHeight="1">
      <c r="A19" t="s">
        <v>16</v>
      </c>
      <c r="B19" t="s">
        <v>3378</v>
      </c>
      <c r="C19" t="s">
        <v>3379</v>
      </c>
      <c r="D19" t="s">
        <v>3378</v>
      </c>
      <c r="E19" t="s">
        <v>3379</v>
      </c>
      <c r="F19" t="s">
        <v>3346</v>
      </c>
      <c r="G19" t="s">
        <v>1501</v>
      </c>
    </row>
    <row r="20" ht="11.25" customHeight="1">
      <c r="A20" t="s">
        <v>16</v>
      </c>
      <c r="B20" t="s">
        <v>3380</v>
      </c>
      <c r="C20" t="s">
        <v>3381</v>
      </c>
      <c r="D20" t="s">
        <v>3380</v>
      </c>
      <c r="E20" t="s">
        <v>3381</v>
      </c>
      <c r="F20" t="s">
        <v>3346</v>
      </c>
      <c r="G20" t="s">
        <v>1513</v>
      </c>
    </row>
    <row r="21" ht="11.25" customHeight="1">
      <c r="A21" t="s">
        <v>16</v>
      </c>
      <c r="B21" t="s">
        <v>3382</v>
      </c>
      <c r="C21" t="s">
        <v>3383</v>
      </c>
      <c r="D21" t="s">
        <v>3382</v>
      </c>
      <c r="E21" t="s">
        <v>3383</v>
      </c>
      <c r="F21" t="s">
        <v>3346</v>
      </c>
      <c r="G21" t="s">
        <v>1522</v>
      </c>
    </row>
    <row r="22" ht="11.25" customHeight="1">
      <c r="A22" t="s">
        <v>16</v>
      </c>
      <c r="B22" t="s">
        <v>3384</v>
      </c>
      <c r="C22" t="s">
        <v>3385</v>
      </c>
      <c r="D22" t="s">
        <v>3384</v>
      </c>
      <c r="E22" t="s">
        <v>3385</v>
      </c>
      <c r="F22" t="s">
        <v>3346</v>
      </c>
      <c r="G22" t="s">
        <v>1538</v>
      </c>
    </row>
    <row r="23" ht="11.25" customHeight="1">
      <c r="A23" t="s">
        <v>16</v>
      </c>
      <c r="B23" t="s">
        <v>3386</v>
      </c>
      <c r="C23" t="s">
        <v>3387</v>
      </c>
      <c r="D23" t="s">
        <v>3386</v>
      </c>
      <c r="E23" t="s">
        <v>3387</v>
      </c>
      <c r="F23" t="s">
        <v>3349</v>
      </c>
      <c r="G23" t="s">
        <v>1545</v>
      </c>
    </row>
    <row r="24" ht="11.25" customHeight="1">
      <c r="A24" t="s">
        <v>16</v>
      </c>
      <c r="B24" t="s">
        <v>3388</v>
      </c>
      <c r="C24" t="s">
        <v>3389</v>
      </c>
      <c r="D24" t="s">
        <v>3388</v>
      </c>
      <c r="E24" t="s">
        <v>3389</v>
      </c>
      <c r="F24" t="s">
        <v>3346</v>
      </c>
      <c r="G24" t="s">
        <v>1553</v>
      </c>
    </row>
    <row r="25" ht="11.25" customHeight="1">
      <c r="A25" t="s">
        <v>16</v>
      </c>
      <c r="B25" t="s">
        <v>3390</v>
      </c>
      <c r="C25" t="s">
        <v>3391</v>
      </c>
      <c r="D25" t="s">
        <v>3390</v>
      </c>
      <c r="E25" t="s">
        <v>3391</v>
      </c>
      <c r="F25" t="s">
        <v>3346</v>
      </c>
      <c r="G25" t="s">
        <v>1560</v>
      </c>
    </row>
    <row r="26" ht="11.25" customHeight="1">
      <c r="A26" t="s">
        <v>16</v>
      </c>
      <c r="B26" t="s">
        <v>3392</v>
      </c>
      <c r="C26" t="s">
        <v>3393</v>
      </c>
      <c r="D26" t="s">
        <v>3392</v>
      </c>
      <c r="E26" t="s">
        <v>3393</v>
      </c>
      <c r="F26" t="s">
        <v>3346</v>
      </c>
      <c r="G26" t="s">
        <v>1564</v>
      </c>
    </row>
    <row r="27" ht="11.25" customHeight="1">
      <c r="A27" t="s">
        <v>16</v>
      </c>
      <c r="B27" t="s">
        <v>3394</v>
      </c>
      <c r="C27" t="s">
        <v>3395</v>
      </c>
      <c r="D27" t="s">
        <v>3394</v>
      </c>
      <c r="E27" t="s">
        <v>3395</v>
      </c>
      <c r="F27" t="s">
        <v>3346</v>
      </c>
      <c r="G27" t="s">
        <v>1569</v>
      </c>
    </row>
    <row r="28" ht="11.25" customHeight="1">
      <c r="A28" t="s">
        <v>16</v>
      </c>
      <c r="B28" t="s">
        <v>3396</v>
      </c>
      <c r="C28" t="s">
        <v>3397</v>
      </c>
      <c r="D28" t="s">
        <v>3396</v>
      </c>
      <c r="E28" t="s">
        <v>3397</v>
      </c>
      <c r="F28" t="s">
        <v>3346</v>
      </c>
      <c r="G28" t="s">
        <v>1577</v>
      </c>
    </row>
    <row r="29" ht="11.25" customHeight="1">
      <c r="A29" t="s">
        <v>16</v>
      </c>
      <c r="B29" t="s">
        <v>3398</v>
      </c>
      <c r="C29" t="s">
        <v>3399</v>
      </c>
      <c r="D29" t="s">
        <v>3398</v>
      </c>
      <c r="E29" t="s">
        <v>3399</v>
      </c>
      <c r="F29" t="s">
        <v>3346</v>
      </c>
      <c r="G29" t="s">
        <v>1579</v>
      </c>
    </row>
    <row r="30" ht="11.25" customHeight="1">
      <c r="A30" t="s">
        <v>16</v>
      </c>
      <c r="B30" t="s">
        <v>3400</v>
      </c>
      <c r="C30" t="s">
        <v>3401</v>
      </c>
      <c r="D30" t="s">
        <v>3400</v>
      </c>
      <c r="E30" t="s">
        <v>3401</v>
      </c>
      <c r="F30" t="s">
        <v>3346</v>
      </c>
      <c r="G30" t="s">
        <v>1582</v>
      </c>
    </row>
    <row r="31" ht="11.25" customHeight="1">
      <c r="A31" t="s">
        <v>16</v>
      </c>
      <c r="B31" t="s">
        <v>3402</v>
      </c>
      <c r="C31" t="s">
        <v>3403</v>
      </c>
      <c r="D31" t="s">
        <v>3402</v>
      </c>
      <c r="E31" t="s">
        <v>3403</v>
      </c>
      <c r="F31" t="s">
        <v>3349</v>
      </c>
      <c r="G31" t="s">
        <v>1588</v>
      </c>
    </row>
    <row r="32" ht="11.25" customHeight="1">
      <c r="A32" t="s">
        <v>16</v>
      </c>
      <c r="B32" t="s">
        <v>3404</v>
      </c>
      <c r="C32" t="s">
        <v>3405</v>
      </c>
      <c r="D32" t="s">
        <v>3404</v>
      </c>
      <c r="E32" t="s">
        <v>3405</v>
      </c>
      <c r="F32" t="s">
        <v>3349</v>
      </c>
      <c r="G32" t="s">
        <v>1590</v>
      </c>
    </row>
    <row r="33" ht="11.25" customHeight="1">
      <c r="A33" t="s">
        <v>16</v>
      </c>
      <c r="B33" t="s">
        <v>3406</v>
      </c>
      <c r="C33" t="s">
        <v>3407</v>
      </c>
      <c r="D33" t="s">
        <v>3406</v>
      </c>
      <c r="E33" t="s">
        <v>3407</v>
      </c>
      <c r="F33" t="s">
        <v>3346</v>
      </c>
      <c r="G33" t="s">
        <v>1592</v>
      </c>
    </row>
    <row r="34" ht="11.25" customHeight="1">
      <c r="A34" t="s">
        <v>16</v>
      </c>
      <c r="B34" t="s">
        <v>3408</v>
      </c>
      <c r="C34" t="s">
        <v>3409</v>
      </c>
      <c r="D34" t="s">
        <v>3408</v>
      </c>
      <c r="E34" t="s">
        <v>3409</v>
      </c>
      <c r="F34" t="s">
        <v>3346</v>
      </c>
      <c r="G34" t="s">
        <v>1594</v>
      </c>
    </row>
  </sheetData>
  <sheetProtection autoFilter="0" deleteColumns="1" deleteRows="1" formatCells="1" formatColumns="1" formatRows="1" insertColumns="1" insertHyperlinks="1" insertRows="1" objects="0" pivotTables="1" scenarios="0" selectLockedCells="0" selectUnlockedCells="0" sheet="1" sort="1"/>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topLeftCell="A1" zoomScale="100" workbookViewId="0">
      <selection activeCell="A1" activeCellId="0" sqref="A1"/>
    </sheetView>
  </sheetViews>
  <sheetFormatPr defaultColWidth="9.140625" defaultRowHeight="11.25" customHeight="1"/>
  <cols>
    <col min="1" max="1" style="793" width="9.140625"/>
    <col customWidth="1" min="2" max="2" style="793" width="84.28125"/>
    <col min="3" max="3" style="793" width="9.140625"/>
  </cols>
  <sheetData>
    <row r="1" ht="11.25" customHeight="1">
      <c r="A1" s="793" t="s">
        <v>3477</v>
      </c>
      <c r="B1" s="793" t="s">
        <v>3478</v>
      </c>
      <c r="C1" s="793" t="s">
        <v>1172</v>
      </c>
    </row>
    <row r="2" ht="11.25" customHeight="1">
      <c r="A2" s="793">
        <v>4189678</v>
      </c>
      <c r="B2" s="793" t="s">
        <v>3479</v>
      </c>
      <c r="C2" s="793" t="s">
        <v>3480</v>
      </c>
    </row>
    <row r="3" ht="11.25" customHeight="1">
      <c r="A3" s="793">
        <v>4190415</v>
      </c>
      <c r="B3" s="793" t="s">
        <v>3481</v>
      </c>
      <c r="C3" s="793" t="s">
        <v>3480</v>
      </c>
    </row>
  </sheetData>
  <sheetProtection autoFilter="0" deleteColumns="1" deleteRows="1" formatCells="1" formatColumns="1" formatRows="1" insertColumns="1" insertHyperlinks="1" insertRows="1" objects="0" pivotTables="1" scenarios="0" selectLockedCells="0" selectUnlockedCells="0" sheet="1" sort="1"/>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topLeftCell="A1" zoomScale="100" workbookViewId="0">
      <selection activeCell="A1" activeCellId="0" sqref="A1"/>
    </sheetView>
  </sheetViews>
  <sheetFormatPr defaultColWidth="9.140625" defaultRowHeight="15" customHeight="1"/>
  <cols>
    <col customWidth="1" min="1" max="1" style="1401" width="38.421875"/>
    <col min="2" max="5" style="1401" width="9.140625"/>
  </cols>
  <sheetData>
    <row r="1" ht="15" customHeight="1">
      <c r="A1" s="1402" t="s">
        <v>3482</v>
      </c>
      <c r="B1" s="1402" t="s">
        <v>3483</v>
      </c>
      <c r="C1" s="1402"/>
      <c r="D1" s="1402"/>
      <c r="E1" s="1402"/>
    </row>
    <row r="2" ht="15" customHeight="1">
      <c r="A2" s="1402"/>
      <c r="B2" s="1402"/>
      <c r="C2" s="1402"/>
      <c r="D2" s="1402"/>
      <c r="E2" s="1402"/>
    </row>
    <row r="3" ht="15" customHeight="1">
      <c r="A3" s="1402"/>
      <c r="B3" s="1402"/>
      <c r="C3" s="1402"/>
      <c r="D3" s="1402"/>
      <c r="E3" s="1402"/>
    </row>
    <row r="4" ht="15" customHeight="1">
      <c r="A4" s="1402"/>
      <c r="B4" s="1402"/>
      <c r="C4" s="1402"/>
      <c r="D4" s="1402"/>
      <c r="E4" s="1402"/>
    </row>
    <row r="5" ht="15" customHeight="1">
      <c r="A5" s="1402"/>
      <c r="B5" s="1402"/>
      <c r="C5" s="1402"/>
      <c r="D5" s="1402"/>
      <c r="E5" s="1402"/>
    </row>
    <row r="6" ht="15" customHeight="1">
      <c r="A6" s="1402"/>
      <c r="B6" s="1402"/>
      <c r="C6" s="1402"/>
      <c r="D6" s="1402"/>
      <c r="E6" s="1402"/>
    </row>
    <row r="7" ht="15" customHeight="1">
      <c r="A7" s="1402"/>
      <c r="B7" s="1402"/>
      <c r="C7" s="1402"/>
      <c r="D7" s="1402"/>
      <c r="E7" s="1402"/>
    </row>
    <row r="8" ht="15" customHeight="1">
      <c r="A8" s="1402"/>
      <c r="B8" s="1402"/>
      <c r="C8" s="1402"/>
      <c r="D8" s="1402"/>
      <c r="E8" s="1402"/>
    </row>
  </sheetData>
  <sheetProtection autoFilter="0" deleteColumns="1" deleteRows="1" formatCells="1" formatColumns="0" formatRows="0" insertColumns="1" insertHyperlinks="1" insertRows="1" objects="0" pivotTables="1" scenarios="0" selectLockedCells="0" selectUnlockedCells="0" sheet="1" sort="1"/>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topLeftCell="A1" zoomScale="100" workbookViewId="0">
      <selection activeCell="A1" activeCellId="0" sqref="A1"/>
    </sheetView>
  </sheetViews>
  <sheetFormatPr defaultRowHeight="11.25" customHeight="1"/>
  <sheetData>
    <row r="1" ht="11.25" customHeight="1">
      <c r="A1" t="s">
        <v>3484</v>
      </c>
      <c r="B1" t="b">
        <v>1</v>
      </c>
    </row>
    <row r="2" ht="11.25" customHeight="1">
      <c r="A2" t="s">
        <v>3485</v>
      </c>
      <c r="B2" t="b">
        <v>0</v>
      </c>
    </row>
    <row r="3" ht="11.25" customHeight="1">
      <c r="A3" t="s">
        <v>3486</v>
      </c>
      <c r="B3" t="b">
        <v>1</v>
      </c>
    </row>
    <row r="4" ht="11.25" customHeight="1">
      <c r="A4" t="s">
        <v>3487</v>
      </c>
      <c r="B4" t="b">
        <v>0</v>
      </c>
    </row>
    <row r="5" ht="11.25" customHeight="1">
      <c r="A5" t="s">
        <v>3488</v>
      </c>
      <c r="B5" t="b">
        <v>0</v>
      </c>
    </row>
    <row r="6" ht="11.25" customHeight="1">
      <c r="A6" t="s">
        <v>3489</v>
      </c>
      <c r="B6" t="b">
        <v>0</v>
      </c>
    </row>
    <row r="7" ht="11.25" customHeight="1">
      <c r="A7" t="s">
        <v>3490</v>
      </c>
      <c r="B7" t="b">
        <v>0</v>
      </c>
    </row>
    <row r="8" ht="11.25" customHeight="1">
      <c r="A8" t="s">
        <v>3491</v>
      </c>
      <c r="B8" t="b">
        <v>0</v>
      </c>
    </row>
    <row r="9" ht="11.25" customHeight="1">
      <c r="A9" t="s">
        <v>3492</v>
      </c>
      <c r="B9" t="b">
        <v>0</v>
      </c>
    </row>
    <row r="10" ht="11.25" customHeight="1">
      <c r="A10" t="s">
        <v>3493</v>
      </c>
      <c r="B10" t="b">
        <v>0</v>
      </c>
    </row>
    <row r="11" ht="11.25" customHeight="1">
      <c r="A11" t="s">
        <v>3494</v>
      </c>
      <c r="B11" t="b">
        <v>0</v>
      </c>
    </row>
    <row r="12" ht="11.25" customHeight="1">
      <c r="A12" t="s">
        <v>3495</v>
      </c>
      <c r="B12" t="b">
        <v>0</v>
      </c>
    </row>
    <row r="13" ht="11.25" customHeight="1">
      <c r="A13" t="s">
        <v>3496</v>
      </c>
      <c r="B13" t="b">
        <v>0</v>
      </c>
    </row>
    <row r="14" ht="11.25" customHeight="1">
      <c r="A14" t="s">
        <v>3497</v>
      </c>
      <c r="B14" t="b">
        <v>1</v>
      </c>
    </row>
    <row r="15" ht="11.25" customHeight="1">
      <c r="A15" t="s">
        <v>3498</v>
      </c>
      <c r="B15" t="b">
        <v>1</v>
      </c>
    </row>
  </sheetData>
  <sheetProtection autoFilter="0" deleteColumns="1" deleteRows="1" formatCells="1" formatColumns="1" formatRows="1" insertColumns="1" insertHyperlinks="1" insertRows="1" objects="0" pivotTables="1" scenarios="0" selectLockedCells="0" selectUnlockedCells="0" sheet="1" sort="1"/>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topLeftCell="A1" zoomScale="100" workbookViewId="0">
      <selection activeCell="A1" activeCellId="0" sqref="A1"/>
    </sheetView>
  </sheetViews>
  <sheetFormatPr defaultColWidth="9.140625" defaultRowHeight="12.75" customHeight="1"/>
  <cols>
    <col min="1" max="1" style="1" width="9.140625"/>
  </cols>
  <sheetData>
    <row r="1" ht="12.75" customHeight="1">
      <c r="A1" s="1403"/>
    </row>
  </sheetData>
  <sheetProtection autoFilter="0" deleteColumns="1" deleteRows="1" formatCells="1" formatColumns="1" formatRows="1" insertColumns="1" insertHyperlinks="1" insertRows="1" objects="0" pivotTables="1" scenarios="0" selectLockedCells="0" selectUnlockedCells="0" sheet="1" sort="1"/>
  <printOptions headings="0" gridLines="0"/>
  <pageMargins left="0.75" right="0.75" top="1" bottom="1" header="0.5" footer="0.5"/>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topLeftCell="A1" zoomScale="100" workbookViewId="0">
      <selection activeCell="A1" activeCellId="0" sqref="A1"/>
    </sheetView>
  </sheetViews>
  <sheetFormatPr defaultColWidth="9.140625" defaultRowHeight="11.25" customHeight="1"/>
  <cols>
    <col customWidth="1" min="1" max="1" style="63" width="36.28125"/>
    <col customWidth="1" min="2" max="2" style="63" width="21.140625"/>
  </cols>
  <sheetData>
    <row r="1" ht="11.25" customHeight="1">
      <c r="A1" s="1404" t="s">
        <v>3499</v>
      </c>
      <c r="B1" s="1404" t="s">
        <v>3500</v>
      </c>
    </row>
    <row r="2" ht="11.25" customHeight="1">
      <c r="A2" s="183" t="s">
        <v>3501</v>
      </c>
      <c r="B2" s="183" t="s">
        <v>3502</v>
      </c>
    </row>
    <row r="3" ht="11.25" customHeight="1">
      <c r="A3" s="183" t="s">
        <v>3503</v>
      </c>
      <c r="B3" s="183" t="s">
        <v>3504</v>
      </c>
    </row>
    <row r="4" ht="11.25" customHeight="1">
      <c r="A4" s="183" t="s">
        <v>3505</v>
      </c>
      <c r="B4" s="183" t="s">
        <v>3506</v>
      </c>
    </row>
    <row r="5" ht="11.25" customHeight="1">
      <c r="A5" s="183" t="s">
        <v>3507</v>
      </c>
      <c r="B5" s="183" t="s">
        <v>3508</v>
      </c>
    </row>
    <row r="6" ht="11.25" customHeight="1">
      <c r="A6" s="183" t="s">
        <v>3509</v>
      </c>
      <c r="B6" s="183" t="s">
        <v>3510</v>
      </c>
    </row>
    <row r="7" ht="11.25" customHeight="1">
      <c r="A7" s="183" t="s">
        <v>3511</v>
      </c>
      <c r="B7" s="183" t="s">
        <v>3512</v>
      </c>
    </row>
    <row r="8" ht="11.25" customHeight="1">
      <c r="A8" s="183" t="s">
        <v>3513</v>
      </c>
      <c r="B8" s="183" t="s">
        <v>3514</v>
      </c>
    </row>
    <row r="9" ht="11.25" customHeight="1">
      <c r="A9" s="183" t="s">
        <v>3515</v>
      </c>
      <c r="B9" s="183" t="s">
        <v>3516</v>
      </c>
    </row>
    <row r="10" ht="11.25" customHeight="1">
      <c r="A10" s="183" t="s">
        <v>3517</v>
      </c>
      <c r="B10" s="183" t="s">
        <v>3518</v>
      </c>
    </row>
    <row r="11" ht="11.25" customHeight="1">
      <c r="A11" s="183" t="s">
        <v>3519</v>
      </c>
      <c r="B11" s="183" t="s">
        <v>3520</v>
      </c>
    </row>
    <row r="12" ht="11.25" customHeight="1">
      <c r="A12" s="183" t="s">
        <v>3521</v>
      </c>
      <c r="B12" s="183" t="s">
        <v>3522</v>
      </c>
    </row>
    <row r="13" ht="11.25" customHeight="1">
      <c r="A13" s="183" t="s">
        <v>3523</v>
      </c>
      <c r="B13" s="183" t="s">
        <v>3524</v>
      </c>
    </row>
    <row r="14" ht="11.25" customHeight="1">
      <c r="A14" s="183" t="s">
        <v>3525</v>
      </c>
      <c r="B14" s="183" t="s">
        <v>3526</v>
      </c>
    </row>
    <row r="15" ht="11.25" customHeight="1">
      <c r="A15" s="183" t="s">
        <v>3527</v>
      </c>
      <c r="B15" s="183" t="s">
        <v>3528</v>
      </c>
    </row>
    <row r="16" ht="11.25" customHeight="1">
      <c r="A16" s="183" t="s">
        <v>3529</v>
      </c>
      <c r="B16" s="183" t="s">
        <v>3530</v>
      </c>
    </row>
    <row r="17" ht="11.25" customHeight="1">
      <c r="A17" s="183" t="s">
        <v>3531</v>
      </c>
      <c r="B17" s="183" t="s">
        <v>3532</v>
      </c>
    </row>
    <row r="18" ht="11.25" customHeight="1">
      <c r="A18" s="183" t="s">
        <v>3533</v>
      </c>
      <c r="B18" s="183" t="s">
        <v>3534</v>
      </c>
    </row>
    <row r="19" ht="11.25" customHeight="1">
      <c r="A19" s="183" t="s">
        <v>3535</v>
      </c>
      <c r="B19" s="183" t="s">
        <v>3536</v>
      </c>
    </row>
    <row r="20" ht="11.25" customHeight="1">
      <c r="A20" s="183" t="s">
        <v>3537</v>
      </c>
      <c r="B20" s="183" t="s">
        <v>3538</v>
      </c>
    </row>
    <row r="21" ht="11.25" customHeight="1">
      <c r="A21" s="183" t="s">
        <v>3539</v>
      </c>
      <c r="B21" s="183" t="s">
        <v>3540</v>
      </c>
    </row>
    <row r="22" ht="11.25" customHeight="1">
      <c r="A22" s="183" t="s">
        <v>3541</v>
      </c>
      <c r="B22" s="183" t="s">
        <v>3542</v>
      </c>
    </row>
    <row r="23" ht="11.25" customHeight="1">
      <c r="A23" s="183" t="s">
        <v>3543</v>
      </c>
      <c r="B23" s="183" t="s">
        <v>3544</v>
      </c>
    </row>
    <row r="24" ht="11.25" customHeight="1">
      <c r="A24" s="183" t="s">
        <v>3545</v>
      </c>
      <c r="B24" s="183" t="s">
        <v>3546</v>
      </c>
    </row>
    <row r="25" ht="11.25" customHeight="1">
      <c r="A25" s="183" t="s">
        <v>3547</v>
      </c>
      <c r="B25" s="183" t="s">
        <v>3548</v>
      </c>
    </row>
    <row r="26" ht="11.25" customHeight="1">
      <c r="A26" s="183" t="s">
        <v>3549</v>
      </c>
      <c r="B26" s="183" t="s">
        <v>3550</v>
      </c>
    </row>
    <row r="27" ht="11.25" customHeight="1">
      <c r="A27" s="183" t="s">
        <v>3551</v>
      </c>
      <c r="B27" s="183" t="s">
        <v>3552</v>
      </c>
    </row>
    <row r="28" ht="11.25" customHeight="1">
      <c r="A28" s="183" t="s">
        <v>3553</v>
      </c>
      <c r="B28" s="183" t="s">
        <v>3554</v>
      </c>
    </row>
    <row r="29" ht="11.25" customHeight="1">
      <c r="A29" s="183" t="s">
        <v>3555</v>
      </c>
      <c r="B29" s="183" t="s">
        <v>3556</v>
      </c>
    </row>
    <row r="30" ht="11.25" customHeight="1">
      <c r="A30" s="183" t="s">
        <v>3557</v>
      </c>
      <c r="B30" s="183" t="s">
        <v>3558</v>
      </c>
    </row>
    <row r="31" ht="11.25" customHeight="1">
      <c r="A31" s="183" t="s">
        <v>3559</v>
      </c>
      <c r="B31" s="183" t="s">
        <v>3560</v>
      </c>
    </row>
    <row r="32" ht="11.25" customHeight="1">
      <c r="A32" s="183" t="s">
        <v>3561</v>
      </c>
      <c r="B32" s="183" t="s">
        <v>3562</v>
      </c>
    </row>
    <row r="33" ht="11.25" customHeight="1">
      <c r="A33" s="183" t="s">
        <v>3563</v>
      </c>
      <c r="B33" s="183" t="s">
        <v>3564</v>
      </c>
    </row>
    <row r="34" ht="11.25" customHeight="1">
      <c r="A34" s="183" t="s">
        <v>3565</v>
      </c>
      <c r="B34" s="183" t="s">
        <v>3566</v>
      </c>
    </row>
    <row r="35" ht="11.25" customHeight="1">
      <c r="A35" s="183" t="s">
        <v>3567</v>
      </c>
      <c r="B35" s="183" t="s">
        <v>3568</v>
      </c>
    </row>
    <row r="36" ht="11.25" customHeight="1">
      <c r="A36" s="183" t="s">
        <v>3569</v>
      </c>
      <c r="B36" s="183" t="s">
        <v>3570</v>
      </c>
    </row>
    <row r="37" ht="11.25" customHeight="1">
      <c r="A37" s="183" t="s">
        <v>3571</v>
      </c>
      <c r="B37" s="183" t="s">
        <v>3572</v>
      </c>
    </row>
    <row r="38" ht="11.25" customHeight="1">
      <c r="A38" s="183" t="s">
        <v>3573</v>
      </c>
      <c r="B38" s="183" t="s">
        <v>3574</v>
      </c>
    </row>
    <row r="39" ht="11.25" customHeight="1">
      <c r="A39" s="183" t="s">
        <v>3575</v>
      </c>
      <c r="B39" s="183" t="s">
        <v>3576</v>
      </c>
    </row>
    <row r="40" ht="11.25" customHeight="1">
      <c r="A40" s="183" t="s">
        <v>3577</v>
      </c>
      <c r="B40" s="183" t="s">
        <v>3578</v>
      </c>
    </row>
    <row r="41" ht="11.25" customHeight="1">
      <c r="A41" s="183" t="s">
        <v>3579</v>
      </c>
      <c r="B41" s="183" t="s">
        <v>3580</v>
      </c>
    </row>
    <row r="42" ht="11.25" customHeight="1">
      <c r="A42" s="183" t="s">
        <v>3581</v>
      </c>
      <c r="B42" s="183" t="s">
        <v>3582</v>
      </c>
    </row>
    <row r="43" ht="11.25" customHeight="1">
      <c r="A43" s="183" t="s">
        <v>3583</v>
      </c>
      <c r="B43" s="183" t="s">
        <v>3584</v>
      </c>
    </row>
    <row r="44" ht="11.25" customHeight="1">
      <c r="A44" s="183" t="s">
        <v>3585</v>
      </c>
      <c r="B44" s="183" t="s">
        <v>3586</v>
      </c>
    </row>
    <row r="45" ht="11.25" customHeight="1">
      <c r="A45" s="183" t="s">
        <v>3587</v>
      </c>
      <c r="B45" s="183" t="s">
        <v>3588</v>
      </c>
    </row>
    <row r="46" ht="11.25" customHeight="1">
      <c r="A46" s="183" t="s">
        <v>3589</v>
      </c>
      <c r="B46" s="183" t="s">
        <v>3590</v>
      </c>
    </row>
    <row r="47" ht="11.25" customHeight="1">
      <c r="A47" s="183" t="s">
        <v>3591</v>
      </c>
      <c r="B47" s="183" t="s">
        <v>3592</v>
      </c>
    </row>
    <row r="48" ht="11.25" customHeight="1">
      <c r="A48" s="183" t="s">
        <v>3593</v>
      </c>
      <c r="B48" s="183" t="s">
        <v>3594</v>
      </c>
    </row>
    <row r="49" ht="11.25" customHeight="1">
      <c r="A49" s="183" t="s">
        <v>3595</v>
      </c>
      <c r="B49" s="183" t="s">
        <v>3596</v>
      </c>
    </row>
    <row r="50" ht="11.25" customHeight="1">
      <c r="A50" s="183" t="s">
        <v>3597</v>
      </c>
      <c r="B50" s="183" t="s">
        <v>3598</v>
      </c>
    </row>
    <row r="51" ht="11.25" customHeight="1">
      <c r="A51" s="183" t="s">
        <v>3599</v>
      </c>
      <c r="B51" s="183" t="s">
        <v>3600</v>
      </c>
    </row>
    <row r="52" ht="11.25" customHeight="1">
      <c r="A52" s="183" t="s">
        <v>3601</v>
      </c>
      <c r="B52" s="183" t="s">
        <v>3602</v>
      </c>
    </row>
    <row r="53" ht="11.25" customHeight="1">
      <c r="A53" s="183" t="s">
        <v>3603</v>
      </c>
      <c r="B53" s="183" t="s">
        <v>3604</v>
      </c>
    </row>
    <row r="54" ht="11.25" customHeight="1">
      <c r="A54" s="183" t="s">
        <v>3605</v>
      </c>
      <c r="B54" s="183" t="s">
        <v>3606</v>
      </c>
    </row>
    <row r="55" ht="11.25" customHeight="1">
      <c r="A55" s="183" t="s">
        <v>3607</v>
      </c>
      <c r="B55" s="183" t="s">
        <v>3608</v>
      </c>
    </row>
    <row r="56" ht="11.25" customHeight="1">
      <c r="A56" s="183" t="s">
        <v>3609</v>
      </c>
      <c r="B56" s="183" t="s">
        <v>3610</v>
      </c>
    </row>
    <row r="57" ht="11.25" customHeight="1">
      <c r="A57" s="183" t="s">
        <v>3611</v>
      </c>
      <c r="B57" s="183" t="s">
        <v>3612</v>
      </c>
    </row>
    <row r="58" ht="11.25" customHeight="1">
      <c r="A58" s="183" t="s">
        <v>3613</v>
      </c>
      <c r="B58" s="183" t="s">
        <v>3614</v>
      </c>
    </row>
    <row r="59" ht="11.25" customHeight="1">
      <c r="A59" s="183" t="s">
        <v>3615</v>
      </c>
      <c r="B59" s="183" t="s">
        <v>3616</v>
      </c>
    </row>
    <row r="60" ht="11.25" customHeight="1">
      <c r="A60" s="183" t="s">
        <v>3617</v>
      </c>
      <c r="B60" s="183" t="s">
        <v>3618</v>
      </c>
    </row>
    <row r="61" ht="11.25" customHeight="1">
      <c r="A61" s="183"/>
      <c r="B61" s="183" t="s">
        <v>3619</v>
      </c>
    </row>
    <row r="62" ht="11.25" customHeight="1">
      <c r="A62" s="183"/>
      <c r="B62" s="183" t="s">
        <v>3620</v>
      </c>
    </row>
    <row r="63" ht="11.25" customHeight="1">
      <c r="A63" s="183"/>
      <c r="B63" s="183" t="s">
        <v>3621</v>
      </c>
    </row>
    <row r="64" ht="11.25" customHeight="1">
      <c r="A64" s="183"/>
      <c r="B64" s="183" t="s">
        <v>3622</v>
      </c>
    </row>
    <row r="65" ht="11.25" customHeight="1">
      <c r="A65" s="183"/>
      <c r="B65" s="183" t="s">
        <v>3623</v>
      </c>
    </row>
    <row r="66" ht="11.25" customHeight="1">
      <c r="A66" s="183"/>
      <c r="B66" s="183" t="s">
        <v>3624</v>
      </c>
    </row>
    <row r="67" ht="11.25" customHeight="1">
      <c r="A67" s="183"/>
      <c r="B67" s="183" t="s">
        <v>3625</v>
      </c>
    </row>
    <row r="68" ht="11.25" customHeight="1">
      <c r="A68" s="183"/>
      <c r="B68" s="183" t="s">
        <v>3626</v>
      </c>
    </row>
    <row r="69" ht="11.25" customHeight="1">
      <c r="A69" s="183"/>
      <c r="B69" s="183" t="s">
        <v>3627</v>
      </c>
    </row>
    <row r="70" ht="11.25" customHeight="1">
      <c r="A70" s="183"/>
      <c r="B70" s="183" t="s">
        <v>3628</v>
      </c>
    </row>
    <row r="71" ht="11.25" customHeight="1">
      <c r="A71" s="183"/>
      <c r="B71" s="183"/>
    </row>
    <row r="72" ht="11.25" customHeight="1">
      <c r="A72" s="183"/>
      <c r="B72" s="183"/>
    </row>
    <row r="73" ht="11.25" customHeight="1">
      <c r="A73" s="183"/>
      <c r="B73" s="183"/>
    </row>
    <row r="74" ht="11.25" customHeight="1">
      <c r="A74" s="183"/>
      <c r="B74" s="183"/>
    </row>
    <row r="75" ht="11.25" customHeight="1">
      <c r="A75" s="183"/>
      <c r="B75" s="183"/>
    </row>
    <row r="76" ht="11.25" customHeight="1">
      <c r="A76" s="183"/>
      <c r="B76" s="183"/>
    </row>
    <row r="77" ht="11.25" customHeight="1">
      <c r="A77" s="183"/>
      <c r="B77" s="183"/>
    </row>
    <row r="78" ht="11.25" customHeight="1">
      <c r="A78" s="183"/>
      <c r="B78" s="183"/>
    </row>
    <row r="79" ht="11.25" customHeight="1">
      <c r="A79" s="183"/>
      <c r="B79" s="183"/>
    </row>
    <row r="80" ht="11.25" customHeight="1">
      <c r="A80" s="183"/>
      <c r="B80" s="183"/>
    </row>
    <row r="81" ht="11.25" customHeight="1">
      <c r="A81" s="183"/>
      <c r="B81" s="183"/>
    </row>
    <row r="82" ht="11.25" customHeight="1">
      <c r="A82" s="183"/>
      <c r="B82" s="183"/>
    </row>
    <row r="83" ht="11.25" customHeight="1">
      <c r="A83" s="183"/>
      <c r="B83" s="183"/>
    </row>
    <row r="84" ht="11.25" customHeight="1">
      <c r="A84" s="183"/>
      <c r="B84" s="183"/>
    </row>
    <row r="85" ht="11.25" customHeight="1">
      <c r="A85" s="183"/>
      <c r="B85" s="183"/>
    </row>
    <row r="86" ht="11.25" customHeight="1">
      <c r="A86" s="183"/>
      <c r="B86" s="183"/>
    </row>
    <row r="87" ht="11.25" customHeight="1">
      <c r="A87" s="183"/>
      <c r="B87" s="183"/>
    </row>
    <row r="88" ht="11.25" customHeight="1">
      <c r="A88" s="183"/>
      <c r="B88" s="183"/>
    </row>
    <row r="89" ht="11.25" customHeight="1">
      <c r="A89" s="183"/>
      <c r="B89" s="183"/>
    </row>
    <row r="90" ht="11.25" customHeight="1">
      <c r="A90" s="183"/>
      <c r="B90" s="183"/>
    </row>
    <row r="91" ht="11.25" customHeight="1">
      <c r="A91" s="183"/>
      <c r="B91" s="183"/>
    </row>
    <row r="92" ht="11.25" customHeight="1">
      <c r="A92" s="183"/>
      <c r="B92" s="183"/>
    </row>
    <row r="93" ht="11.25" customHeight="1">
      <c r="A93" s="183"/>
      <c r="B93" s="183"/>
    </row>
    <row r="94" ht="11.25" customHeight="1">
      <c r="A94" s="183"/>
      <c r="B94" s="183"/>
    </row>
    <row r="95" ht="11.25" customHeight="1">
      <c r="A95" s="183"/>
      <c r="B95" s="183"/>
    </row>
    <row r="96" ht="11.25" customHeight="1">
      <c r="A96" s="183"/>
      <c r="B96" s="183"/>
    </row>
    <row r="97" ht="11.25" customHeight="1">
      <c r="A97" s="183"/>
      <c r="B97" s="183"/>
    </row>
    <row r="98" ht="11.25" customHeight="1">
      <c r="A98" s="183"/>
      <c r="B98" s="183"/>
    </row>
    <row r="99" ht="11.25" customHeight="1">
      <c r="A99" s="183"/>
      <c r="B99" s="183"/>
    </row>
    <row r="100" ht="11.25" customHeight="1">
      <c r="A100" s="183"/>
      <c r="B100" s="183"/>
    </row>
    <row r="101" ht="11.25" customHeight="1">
      <c r="A101" s="183"/>
      <c r="B101" s="183"/>
    </row>
    <row r="102" ht="11.25" customHeight="1">
      <c r="A102" s="183"/>
      <c r="B102" s="183"/>
    </row>
    <row r="103" ht="11.25" customHeight="1">
      <c r="A103" s="183"/>
      <c r="B103" s="183"/>
    </row>
    <row r="104" ht="11.25" customHeight="1">
      <c r="A104" s="183"/>
      <c r="B104" s="183"/>
    </row>
    <row r="105" ht="11.25" customHeight="1">
      <c r="A105" s="183"/>
      <c r="B105" s="183"/>
    </row>
    <row r="106" ht="11.25" customHeight="1">
      <c r="A106" s="183"/>
      <c r="B106" s="183"/>
    </row>
    <row r="107" ht="11.25" customHeight="1">
      <c r="A107" s="183"/>
      <c r="B107" s="183"/>
    </row>
    <row r="108" ht="11.25" customHeight="1">
      <c r="A108" s="183"/>
      <c r="B108" s="183"/>
    </row>
    <row r="109" ht="11.25" customHeight="1">
      <c r="A109" s="183"/>
      <c r="B109" s="183"/>
    </row>
    <row r="110" ht="11.25" customHeight="1">
      <c r="A110" s="183"/>
      <c r="B110" s="183"/>
    </row>
    <row r="111" ht="11.25" customHeight="1">
      <c r="A111" s="183"/>
      <c r="B111" s="183"/>
    </row>
    <row r="112" ht="11.25" customHeight="1">
      <c r="A112" s="183"/>
      <c r="B112" s="183"/>
    </row>
    <row r="113" ht="11.25" customHeight="1">
      <c r="A113" s="183"/>
      <c r="B113" s="183"/>
    </row>
    <row r="114" ht="11.25" customHeight="1">
      <c r="A114" s="183"/>
      <c r="B114" s="183"/>
    </row>
    <row r="115" ht="11.25" customHeight="1">
      <c r="A115" s="183"/>
      <c r="B115" s="183"/>
    </row>
    <row r="116" ht="11.25" customHeight="1">
      <c r="A116" s="183"/>
      <c r="B116" s="183"/>
    </row>
    <row r="117" ht="11.25" customHeight="1">
      <c r="A117" s="183"/>
      <c r="B117" s="183"/>
    </row>
    <row r="118" ht="11.25" customHeight="1">
      <c r="A118" s="183"/>
      <c r="B118" s="183"/>
    </row>
    <row r="119" ht="11.25" customHeight="1">
      <c r="A119" s="183"/>
      <c r="B119" s="183"/>
    </row>
    <row r="120" ht="11.25" customHeight="1">
      <c r="A120" s="183"/>
      <c r="B120" s="183"/>
    </row>
    <row r="121" ht="11.25" customHeight="1">
      <c r="A121" s="183"/>
      <c r="B121" s="183"/>
    </row>
    <row r="122" ht="11.25" customHeight="1">
      <c r="A122" s="183"/>
      <c r="B122" s="183"/>
    </row>
    <row r="123" ht="11.25" customHeight="1">
      <c r="A123" s="183"/>
      <c r="B123" s="183"/>
    </row>
    <row r="124" ht="11.25" customHeight="1">
      <c r="A124" s="183"/>
      <c r="B124" s="183"/>
    </row>
    <row r="125" ht="11.25" customHeight="1">
      <c r="A125" s="183"/>
      <c r="B125" s="183"/>
    </row>
    <row r="126" ht="11.25" customHeight="1">
      <c r="A126" s="183"/>
      <c r="B126" s="183"/>
    </row>
    <row r="127" ht="11.25" customHeight="1">
      <c r="A127" s="183"/>
      <c r="B127" s="183"/>
    </row>
    <row r="128" ht="11.25" customHeight="1">
      <c r="A128" s="183"/>
      <c r="B128" s="183"/>
    </row>
    <row r="129" ht="11.25" customHeight="1">
      <c r="A129" s="183"/>
      <c r="B129" s="183"/>
    </row>
    <row r="130" ht="11.25" customHeight="1">
      <c r="A130" s="183"/>
      <c r="B130" s="183"/>
    </row>
    <row r="131" ht="11.25" customHeight="1">
      <c r="A131" s="183"/>
      <c r="B131" s="183"/>
    </row>
    <row r="132" ht="11.25" customHeight="1">
      <c r="A132" s="183"/>
      <c r="B132" s="183"/>
    </row>
    <row r="133" ht="11.25" customHeight="1">
      <c r="A133" s="183"/>
      <c r="B133" s="183"/>
    </row>
    <row r="134" ht="11.25" customHeight="1">
      <c r="A134" s="183"/>
      <c r="B134" s="183"/>
    </row>
    <row r="135" ht="11.25" customHeight="1">
      <c r="A135" s="183"/>
      <c r="B135" s="183"/>
    </row>
    <row r="136" ht="11.25" customHeight="1">
      <c r="A136" s="183"/>
      <c r="B136" s="183"/>
    </row>
    <row r="137" ht="11.25" customHeight="1">
      <c r="A137" s="183"/>
      <c r="B137" s="183"/>
    </row>
    <row r="138" ht="11.25" customHeight="1">
      <c r="A138" s="183"/>
      <c r="B138" s="183"/>
    </row>
    <row r="139" ht="11.25" customHeight="1">
      <c r="A139" s="183"/>
      <c r="B139" s="183"/>
    </row>
    <row r="140" ht="11.25" customHeight="1">
      <c r="A140" s="183"/>
      <c r="B140" s="183"/>
    </row>
    <row r="141" ht="11.25" customHeight="1">
      <c r="A141" s="183"/>
      <c r="B141" s="183"/>
    </row>
    <row r="142" ht="11.25" customHeight="1">
      <c r="A142" s="183"/>
      <c r="B142" s="183"/>
    </row>
    <row r="143" ht="11.25" customHeight="1">
      <c r="A143" s="183"/>
      <c r="B143" s="183"/>
    </row>
    <row r="144" ht="11.25" customHeight="1">
      <c r="A144" s="183"/>
      <c r="B144" s="183"/>
    </row>
    <row r="145" ht="11.25" customHeight="1">
      <c r="A145" s="183"/>
      <c r="B145" s="183"/>
    </row>
    <row r="146" ht="11.25" customHeight="1">
      <c r="A146" s="183"/>
      <c r="B146" s="183"/>
    </row>
    <row r="147" ht="11.25" customHeight="1">
      <c r="A147" s="183"/>
      <c r="B147" s="183"/>
    </row>
    <row r="148" ht="11.25" customHeight="1">
      <c r="A148" s="183"/>
      <c r="B148" s="183"/>
    </row>
    <row r="149" ht="11.25" customHeight="1">
      <c r="A149" s="183"/>
      <c r="B149" s="183"/>
    </row>
    <row r="150" ht="11.25" customHeight="1">
      <c r="A150" s="183"/>
      <c r="B150" s="183"/>
    </row>
    <row r="151" ht="11.25" customHeight="1">
      <c r="A151" s="183"/>
      <c r="B151" s="183"/>
    </row>
    <row r="152" ht="11.25" customHeight="1">
      <c r="A152" s="183"/>
      <c r="B152" s="183"/>
    </row>
    <row r="153" ht="11.25" customHeight="1">
      <c r="A153" s="183"/>
      <c r="B153" s="183"/>
    </row>
    <row r="154" ht="11.25" customHeight="1">
      <c r="A154" s="183"/>
      <c r="B154" s="183"/>
    </row>
    <row r="155" ht="11.25" customHeight="1">
      <c r="A155" s="183"/>
      <c r="B155" s="183"/>
    </row>
    <row r="156" ht="11.25" customHeight="1">
      <c r="A156" s="183"/>
      <c r="B156" s="183"/>
    </row>
    <row r="157" ht="11.25" customHeight="1">
      <c r="A157" s="183"/>
      <c r="B157" s="183"/>
    </row>
    <row r="158" ht="11.25" customHeight="1">
      <c r="A158" s="183"/>
      <c r="B158" s="183"/>
    </row>
    <row r="159" ht="11.25" customHeight="1">
      <c r="A159" s="183"/>
      <c r="B159" s="183"/>
    </row>
    <row r="160" ht="11.25" customHeight="1">
      <c r="A160" s="183"/>
      <c r="B160" s="183"/>
    </row>
    <row r="161" ht="11.25" customHeight="1">
      <c r="A161" s="183"/>
      <c r="B161" s="183"/>
    </row>
    <row r="162" ht="11.25" customHeight="1">
      <c r="A162" s="183"/>
      <c r="B162" s="183"/>
    </row>
    <row r="163" ht="11.25" customHeight="1">
      <c r="A163" s="183"/>
      <c r="B163" s="183"/>
    </row>
    <row r="164" ht="11.25" customHeight="1">
      <c r="A164" s="183"/>
      <c r="B164" s="183"/>
    </row>
    <row r="165" ht="11.25" customHeight="1">
      <c r="A165" s="183"/>
      <c r="B165" s="183"/>
    </row>
    <row r="166" ht="11.25" customHeight="1">
      <c r="A166" s="183"/>
      <c r="B166" s="183"/>
    </row>
    <row r="167" ht="11.25" customHeight="1">
      <c r="A167" s="183"/>
      <c r="B167" s="183"/>
    </row>
    <row r="168" ht="11.25" customHeight="1">
      <c r="A168" s="183"/>
      <c r="B168" s="183"/>
    </row>
    <row r="169" ht="11.25" customHeight="1">
      <c r="A169" s="183"/>
      <c r="B169" s="183"/>
    </row>
    <row r="170" ht="11.25" customHeight="1">
      <c r="A170" s="183"/>
      <c r="B170" s="183"/>
    </row>
    <row r="171" ht="11.25" customHeight="1">
      <c r="A171" s="183"/>
      <c r="B171" s="183"/>
    </row>
    <row r="172" ht="11.25" customHeight="1">
      <c r="A172" s="183"/>
      <c r="B172" s="183"/>
    </row>
    <row r="173" ht="11.25" customHeight="1">
      <c r="A173" s="183"/>
      <c r="B173" s="183"/>
    </row>
    <row r="174" ht="11.25" customHeight="1">
      <c r="A174" s="183"/>
      <c r="B174" s="183"/>
    </row>
    <row r="175" ht="11.25" customHeight="1">
      <c r="A175" s="183"/>
      <c r="B175" s="183"/>
    </row>
    <row r="176" ht="11.25" customHeight="1">
      <c r="A176" s="183"/>
      <c r="B176" s="183"/>
    </row>
    <row r="177" ht="11.25" customHeight="1">
      <c r="A177" s="183"/>
      <c r="B177" s="183"/>
    </row>
    <row r="178" ht="11.25" customHeight="1">
      <c r="A178" s="183"/>
      <c r="B178" s="183"/>
    </row>
    <row r="179" ht="11.25" customHeight="1">
      <c r="A179" s="183"/>
      <c r="B179" s="183"/>
    </row>
    <row r="180" ht="11.25" customHeight="1">
      <c r="A180" s="183"/>
      <c r="B180" s="183"/>
    </row>
    <row r="181" ht="11.25" customHeight="1">
      <c r="A181" s="183"/>
      <c r="B181" s="183"/>
    </row>
    <row r="182" ht="11.25" customHeight="1">
      <c r="A182" s="183"/>
      <c r="B182" s="183"/>
    </row>
    <row r="183" ht="11.25" customHeight="1">
      <c r="A183" s="183"/>
      <c r="B183" s="183"/>
    </row>
    <row r="184" ht="11.25" customHeight="1">
      <c r="A184" s="183"/>
      <c r="B184" s="183"/>
    </row>
    <row r="185" ht="11.25" customHeight="1">
      <c r="A185" s="183"/>
      <c r="B185" s="183"/>
    </row>
    <row r="186" ht="11.25" customHeight="1">
      <c r="A186" s="183"/>
      <c r="B186" s="183"/>
    </row>
    <row r="187" ht="11.25" customHeight="1">
      <c r="A187" s="183"/>
      <c r="B187" s="183"/>
    </row>
    <row r="188" ht="11.25" customHeight="1">
      <c r="A188" s="183"/>
      <c r="B188" s="183"/>
    </row>
    <row r="189" ht="11.25" customHeight="1">
      <c r="A189" s="183"/>
      <c r="B189" s="183"/>
    </row>
    <row r="190" ht="11.25" customHeight="1">
      <c r="A190" s="183"/>
      <c r="B190" s="183"/>
    </row>
    <row r="191" ht="11.25" customHeight="1">
      <c r="A191" s="183"/>
      <c r="B191" s="183"/>
    </row>
    <row r="192" ht="11.25" customHeight="1">
      <c r="A192" s="183"/>
      <c r="B192" s="183"/>
    </row>
    <row r="193" ht="11.25" customHeight="1">
      <c r="A193" s="183"/>
      <c r="B193" s="183"/>
    </row>
    <row r="194" ht="11.25" customHeight="1">
      <c r="A194" s="183"/>
      <c r="B194" s="183"/>
    </row>
    <row r="195" ht="11.25" customHeight="1">
      <c r="A195" s="183"/>
      <c r="B195" s="183"/>
    </row>
    <row r="196" ht="11.25" customHeight="1">
      <c r="A196" s="183"/>
      <c r="B196" s="183"/>
    </row>
    <row r="197" ht="11.25" customHeight="1">
      <c r="A197" s="183"/>
      <c r="B197" s="183"/>
    </row>
    <row r="198" ht="11.25" customHeight="1">
      <c r="A198" s="183"/>
      <c r="B198" s="183"/>
    </row>
    <row r="199" ht="11.25" customHeight="1">
      <c r="A199" s="183"/>
      <c r="B199" s="183"/>
    </row>
    <row r="200" ht="11.25" customHeight="1">
      <c r="A200" s="183"/>
      <c r="B200" s="183"/>
    </row>
    <row r="201" ht="11.25" customHeight="1">
      <c r="A201" s="183"/>
      <c r="B201" s="183"/>
    </row>
    <row r="202" ht="11.25" customHeight="1">
      <c r="A202" s="183"/>
      <c r="B202" s="183"/>
    </row>
    <row r="203" ht="11.25" customHeight="1">
      <c r="A203" s="183"/>
      <c r="B203" s="183"/>
    </row>
    <row r="204" ht="11.25" customHeight="1">
      <c r="A204" s="183"/>
      <c r="B204" s="183"/>
    </row>
    <row r="205" ht="11.25" customHeight="1">
      <c r="A205" s="183"/>
      <c r="B205" s="183"/>
    </row>
    <row r="206" ht="11.25" customHeight="1">
      <c r="A206" s="183"/>
      <c r="B206" s="183"/>
    </row>
    <row r="207" ht="11.25" customHeight="1">
      <c r="A207" s="183"/>
      <c r="B207" s="183"/>
    </row>
    <row r="208" ht="11.25" customHeight="1">
      <c r="A208" s="183"/>
      <c r="B208" s="183"/>
    </row>
    <row r="209" ht="11.25" customHeight="1">
      <c r="A209" s="183"/>
      <c r="B209" s="183"/>
    </row>
    <row r="210" ht="11.25" customHeight="1">
      <c r="A210" s="183"/>
      <c r="B210" s="183"/>
    </row>
    <row r="211" ht="11.25" customHeight="1">
      <c r="A211" s="183"/>
      <c r="B211" s="183"/>
    </row>
    <row r="212" ht="11.25" customHeight="1">
      <c r="A212" s="183"/>
      <c r="B212" s="183"/>
    </row>
    <row r="213" ht="11.25" customHeight="1">
      <c r="A213" s="183"/>
      <c r="B213" s="183"/>
    </row>
    <row r="214" ht="11.25" customHeight="1">
      <c r="A214" s="183"/>
      <c r="B214" s="183"/>
    </row>
    <row r="215" ht="11.25" customHeight="1">
      <c r="A215" s="183"/>
      <c r="B215" s="183"/>
    </row>
    <row r="216" ht="11.25" customHeight="1">
      <c r="A216" s="183"/>
      <c r="B216" s="183"/>
    </row>
    <row r="217" ht="11.25" customHeight="1">
      <c r="A217" s="183"/>
      <c r="B217" s="183"/>
    </row>
    <row r="218" ht="11.25" customHeight="1">
      <c r="A218" s="183"/>
      <c r="B218" s="183"/>
    </row>
    <row r="219" ht="11.25" customHeight="1">
      <c r="A219" s="183"/>
      <c r="B219" s="183"/>
    </row>
    <row r="220" ht="11.25" customHeight="1">
      <c r="A220" s="183"/>
      <c r="B220" s="183"/>
    </row>
    <row r="221" ht="11.25" customHeight="1">
      <c r="A221" s="183"/>
      <c r="B221" s="183"/>
    </row>
    <row r="222" ht="11.25" customHeight="1">
      <c r="A222" s="183"/>
      <c r="B222" s="183"/>
    </row>
    <row r="223" ht="11.25" customHeight="1">
      <c r="A223" s="183"/>
      <c r="B223" s="183"/>
    </row>
    <row r="224" ht="11.25" customHeight="1">
      <c r="A224" s="183"/>
      <c r="B224" s="183"/>
    </row>
    <row r="225" ht="11.25" customHeight="1">
      <c r="A225" s="183"/>
      <c r="B225" s="183"/>
    </row>
    <row r="226" ht="11.25" customHeight="1">
      <c r="A226" s="183"/>
      <c r="B226" s="183"/>
    </row>
    <row r="227" ht="11.25" customHeight="1">
      <c r="A227" s="183"/>
      <c r="B227" s="183"/>
    </row>
    <row r="228" ht="11.25" customHeight="1">
      <c r="A228" s="183"/>
      <c r="B228" s="183"/>
    </row>
    <row r="229" ht="11.25" customHeight="1">
      <c r="A229" s="183"/>
      <c r="B229" s="183"/>
    </row>
    <row r="230" ht="11.25" customHeight="1">
      <c r="A230" s="183"/>
      <c r="B230" s="183"/>
    </row>
    <row r="231" ht="11.25" customHeight="1">
      <c r="A231" s="183"/>
      <c r="B231" s="183"/>
    </row>
    <row r="232" ht="11.25" customHeight="1">
      <c r="A232" s="183"/>
      <c r="B232" s="183"/>
    </row>
    <row r="233" ht="11.25" customHeight="1">
      <c r="A233" s="183"/>
      <c r="B233" s="183"/>
    </row>
    <row r="234" ht="11.25" customHeight="1">
      <c r="A234" s="183"/>
      <c r="B234" s="183"/>
    </row>
    <row r="235" ht="11.25" customHeight="1">
      <c r="A235" s="183"/>
      <c r="B235" s="183"/>
    </row>
    <row r="236" ht="11.25" customHeight="1">
      <c r="A236" s="183"/>
      <c r="B236" s="183"/>
    </row>
    <row r="237" ht="11.25" customHeight="1">
      <c r="A237" s="183"/>
      <c r="B237" s="183"/>
    </row>
    <row r="238" ht="11.25" customHeight="1">
      <c r="A238" s="183"/>
      <c r="B238" s="183"/>
    </row>
    <row r="239" ht="11.25" customHeight="1">
      <c r="A239" s="183"/>
      <c r="B239" s="183"/>
    </row>
    <row r="240" ht="11.25" customHeight="1">
      <c r="A240" s="183"/>
      <c r="B240" s="183"/>
    </row>
    <row r="241" ht="11.25" customHeight="1">
      <c r="A241" s="183"/>
      <c r="B241" s="183"/>
    </row>
    <row r="242" ht="11.25" customHeight="1">
      <c r="A242" s="183"/>
      <c r="B242" s="183"/>
    </row>
    <row r="243" ht="11.25" customHeight="1">
      <c r="A243" s="183"/>
      <c r="B243" s="183"/>
    </row>
    <row r="244" ht="11.25" customHeight="1">
      <c r="A244" s="183"/>
      <c r="B244" s="183"/>
    </row>
    <row r="245" ht="11.25" customHeight="1">
      <c r="A245" s="183"/>
      <c r="B245" s="183"/>
    </row>
    <row r="246" ht="11.25" customHeight="1">
      <c r="A246" s="183"/>
      <c r="B246" s="183"/>
    </row>
    <row r="247" ht="11.25" customHeight="1">
      <c r="A247" s="183"/>
      <c r="B247" s="183"/>
    </row>
    <row r="248" ht="11.25" customHeight="1">
      <c r="A248" s="183"/>
      <c r="B248" s="183"/>
    </row>
    <row r="249" ht="11.25" customHeight="1">
      <c r="A249" s="183"/>
      <c r="B249" s="183"/>
    </row>
    <row r="250" ht="11.25" customHeight="1">
      <c r="A250" s="183"/>
      <c r="B250" s="183"/>
    </row>
    <row r="251" ht="11.25" customHeight="1">
      <c r="A251" s="183"/>
      <c r="B251" s="183"/>
    </row>
    <row r="252" ht="11.25" customHeight="1">
      <c r="A252" s="183"/>
      <c r="B252" s="183"/>
    </row>
    <row r="253" ht="11.25" customHeight="1">
      <c r="A253" s="183"/>
      <c r="B253" s="183"/>
    </row>
  </sheetData>
  <sheetProtection autoFilter="0" deleteColumns="1" deleteRows="1" formatCells="1" formatColumns="0" formatRows="0" insertColumns="1" insertHyperlinks="1" insertRows="1" objects="0" pivotTables="1" scenarios="0" selectLockedCells="0" selectUnlockedCells="0" sheet="1" sort="1"/>
  <printOptions headings="0" gridLines="0"/>
  <pageMargins left="0.75" right="0.75" top="1" bottom="1" header="0.5" footer="0.5"/>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topLeftCell="A1" zoomScale="100" workbookViewId="0">
      <selection activeCell="A1" activeCellId="0" sqref="A1"/>
    </sheetView>
  </sheetViews>
  <sheetFormatPr defaultColWidth="9.140625" defaultRowHeight="11.25" customHeight="1"/>
  <cols>
    <col customWidth="1" min="1" max="1" style="63" width="3.7109375"/>
    <col customWidth="1" min="2" max="2" style="63" width="90.7109375"/>
    <col min="3" max="4" style="63" width="9.140625"/>
  </cols>
  <sheetData>
    <row r="1" ht="11.25" customHeight="1">
      <c r="B1" s="1405" t="s">
        <v>3629</v>
      </c>
    </row>
    <row r="2" ht="90" customHeight="1">
      <c r="B2" s="1406" t="s">
        <v>3630</v>
      </c>
    </row>
    <row r="3" ht="67.5" customHeight="1">
      <c r="B3" s="1406" t="s">
        <v>3631</v>
      </c>
    </row>
    <row r="4" ht="33.75" customHeight="1">
      <c r="B4" s="1406" t="s">
        <v>3632</v>
      </c>
    </row>
    <row r="5" ht="11.25" customHeight="1">
      <c r="B5" s="1406" t="s">
        <v>3633</v>
      </c>
    </row>
    <row r="6" ht="22.5" customHeight="1">
      <c r="B6" s="1406" t="s">
        <v>3634</v>
      </c>
    </row>
    <row r="7" ht="22.5" customHeight="1">
      <c r="B7" s="1406" t="s">
        <v>3635</v>
      </c>
    </row>
    <row r="8" ht="22.5" customHeight="1">
      <c r="B8" s="1406" t="s">
        <v>3636</v>
      </c>
    </row>
    <row r="9" ht="22.5" customHeight="1">
      <c r="B9" s="1406" t="s">
        <v>3637</v>
      </c>
    </row>
    <row r="10" ht="56.25" customHeight="1">
      <c r="B10" s="1406" t="s">
        <v>3638</v>
      </c>
    </row>
    <row r="11" ht="12.75" customHeight="1">
      <c r="B11" s="1407" t="s">
        <v>3639</v>
      </c>
    </row>
    <row r="12" ht="11.25" customHeight="1">
      <c r="B12" s="1405" t="s">
        <v>3640</v>
      </c>
    </row>
    <row r="13" ht="22.5" customHeight="1">
      <c r="B13" s="1406" t="s">
        <v>3641</v>
      </c>
    </row>
    <row r="14" ht="67.5" customHeight="1">
      <c r="B14" s="1406" t="s">
        <v>3642</v>
      </c>
    </row>
    <row r="15" ht="22.5" customHeight="1">
      <c r="B15" s="1406" t="s">
        <v>3643</v>
      </c>
    </row>
    <row r="16" ht="11.25" customHeight="1">
      <c r="B16" s="1405" t="s">
        <v>3644</v>
      </c>
      <c r="D16" s="793"/>
    </row>
    <row r="17" ht="33.75" customHeight="1">
      <c r="B17" s="1406" t="s">
        <v>3645</v>
      </c>
    </row>
    <row r="18" ht="33.75" customHeight="1">
      <c r="B18" s="1406" t="s">
        <v>3646</v>
      </c>
    </row>
    <row r="19" ht="11.25" customHeight="1">
      <c r="B19" s="1406" t="s">
        <v>3647</v>
      </c>
    </row>
    <row r="20" ht="33.75" customHeight="1">
      <c r="B20" s="1406" t="s">
        <v>3648</v>
      </c>
    </row>
    <row r="21" ht="11.25" customHeight="1">
      <c r="B21" s="1405" t="s">
        <v>3649</v>
      </c>
    </row>
    <row r="22" ht="11.25" customHeight="1">
      <c r="B22" s="1406" t="s">
        <v>3650</v>
      </c>
    </row>
    <row r="24" ht="22.5" customHeight="1">
      <c r="B24" s="1408" t="s">
        <v>3651</v>
      </c>
    </row>
    <row r="26" ht="11.25" customHeight="1">
      <c r="B26" s="1405" t="s">
        <v>3652</v>
      </c>
    </row>
    <row r="27" ht="22.5" customHeight="1">
      <c r="B27" s="438" t="s">
        <v>401</v>
      </c>
    </row>
    <row r="28" ht="56.25" customHeight="1">
      <c r="B28" s="438" t="s">
        <v>3653</v>
      </c>
    </row>
    <row r="29" ht="11.25" customHeight="1">
      <c r="B29" s="1409" t="s">
        <v>3654</v>
      </c>
    </row>
    <row r="30" ht="22.5" customHeight="1">
      <c r="B30" s="438" t="s">
        <v>3655</v>
      </c>
    </row>
    <row r="32" ht="11.25" customHeight="1">
      <c r="A32" s="63"/>
      <c r="B32" s="1410" t="s">
        <v>3656</v>
      </c>
    </row>
    <row r="33" ht="14.25" customHeight="1">
      <c r="A33" s="1411">
        <v>1</v>
      </c>
      <c r="B33" s="1412" t="s">
        <v>3657</v>
      </c>
    </row>
    <row r="34" ht="14.25" customHeight="1">
      <c r="A34" s="1411">
        <v>2</v>
      </c>
      <c r="B34" s="1412" t="s">
        <v>3658</v>
      </c>
    </row>
    <row r="35" ht="11.25" customHeight="1">
      <c r="B35" s="1410" t="s">
        <v>3659</v>
      </c>
    </row>
    <row r="36" ht="11.25" customHeight="1">
      <c r="B36" s="1412" t="s">
        <v>3660</v>
      </c>
    </row>
  </sheetData>
  <sheetProtection autoFilter="0" deleteColumns="1" deleteRows="1" formatCells="1" formatColumns="1" formatRows="1" insertColumns="1" insertHyperlinks="1" insertRows="1" objects="0" pivotTables="1" scenarios="0" selectLockedCells="0" selectUnlockedCells="0" sheet="1" sort="1"/>
  <printOptions headings="0" gridLines="0"/>
  <pageMargins left="0.75" right="0.75" top="1" bottom="1" header="0.5" footer="0.5"/>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3" tint="0.59999999999999998"/>
    <outlinePr applyStyles="0" summaryBelow="1" summaryRight="1" showOutlineSymbols="1"/>
    <pageSetUpPr autoPageBreaks="1" fitToPage="0"/>
  </sheetPr>
  <sheetViews>
    <sheetView showGridLines="0" zoomScale="90" workbookViewId="0">
      <pane xSplit="4" ySplit="13" topLeftCell="E14" activePane="bottomRight" state="frozen"/>
      <selection activeCell="A1" activeCellId="0" sqref="A1"/>
    </sheetView>
  </sheetViews>
  <sheetFormatPr defaultColWidth="10.57421875" defaultRowHeight="14.25" customHeight="1"/>
  <cols>
    <col customWidth="1" hidden="1" min="1" max="1" style="56" width="9.140625"/>
    <col customWidth="1" hidden="1" min="2" max="2" style="50" width="9.140625"/>
    <col customWidth="1" min="3" max="3" style="128" width="3.00390625"/>
    <col customWidth="1" min="4" max="4" style="50" width="5.00390625"/>
    <col customWidth="1" min="5" max="5" style="50" width="38.00390625"/>
    <col customWidth="1" min="6" max="7" style="50" width="3.00390625"/>
    <col customWidth="1" min="8" max="8" style="50" width="38.00390625"/>
    <col customWidth="1" min="9" max="9" style="50" width="35.00390625"/>
    <col customWidth="1" min="10" max="10" style="50" width="103.00390625"/>
    <col customWidth="1" min="11" max="11" style="139" width="3.00390625"/>
    <col customWidth="1" min="12" max="14" style="57" width="10.00390625"/>
    <col customWidth="1" min="15" max="15" style="57" width="13.00390625"/>
    <col customWidth="1" min="16" max="16" style="57" width="15.00390625"/>
    <col customWidth="1" min="17" max="17" style="57" width="16.00390625"/>
    <col customWidth="1" min="18" max="21" style="57" width="10.00390625"/>
    <col hidden="1" min="22" max="22" style="50" width="10.57421875"/>
  </cols>
  <sheetData>
    <row r="1" ht="22.5" hidden="1" customHeight="1">
      <c r="E1" s="168"/>
      <c r="F1" s="168"/>
      <c r="G1" s="168"/>
      <c r="H1" s="113" t="s">
        <v>357</v>
      </c>
      <c r="I1" s="113"/>
      <c r="V1" s="50" t="s">
        <v>14</v>
      </c>
    </row>
    <row r="2" s="50" customFormat="1" ht="14.25" hidden="1" customHeight="1">
      <c r="C2" s="391"/>
      <c r="D2" s="454" t="s">
        <v>109</v>
      </c>
      <c r="E2" s="455"/>
      <c r="F2" s="456"/>
      <c r="G2" s="218" t="s">
        <v>109</v>
      </c>
      <c r="H2" s="457"/>
      <c r="I2" s="458"/>
      <c r="L2" s="57"/>
      <c r="M2" s="57"/>
      <c r="N2" s="57"/>
      <c r="O2" s="57" t="s">
        <v>387</v>
      </c>
      <c r="P2" s="57"/>
      <c r="Q2" s="57"/>
      <c r="R2" s="129" t="s">
        <v>386</v>
      </c>
      <c r="S2" s="129" t="s">
        <v>386</v>
      </c>
      <c r="T2" s="57"/>
      <c r="U2" s="57"/>
      <c r="V2" s="50">
        <v>0</v>
      </c>
    </row>
    <row r="3" s="50" customFormat="1" ht="14.25" hidden="1" customHeight="1">
      <c r="C3" s="391"/>
      <c r="D3" s="459"/>
      <c r="E3" s="460"/>
      <c r="F3" s="448"/>
      <c r="G3" s="449"/>
      <c r="H3" s="449" t="s">
        <v>388</v>
      </c>
      <c r="I3" s="450"/>
      <c r="L3" s="57"/>
      <c r="M3" s="57"/>
      <c r="N3" s="57"/>
      <c r="O3" s="57"/>
      <c r="P3" s="57"/>
      <c r="Q3" s="57"/>
      <c r="R3" s="129"/>
      <c r="S3" s="129"/>
      <c r="T3" s="57"/>
      <c r="U3" s="57"/>
      <c r="V3" s="50">
        <v>0</v>
      </c>
    </row>
    <row r="4" ht="14.25" hidden="1" customHeight="1">
      <c r="V4" s="50">
        <v>0</v>
      </c>
    </row>
    <row r="5" s="70" customFormat="1" ht="5.25" customHeight="1">
      <c r="C5" s="413"/>
      <c r="D5" s="414"/>
      <c r="E5" s="414"/>
      <c r="F5" s="414"/>
      <c r="G5" s="414"/>
      <c r="H5" s="414" t="s">
        <v>361</v>
      </c>
      <c r="I5" s="414"/>
      <c r="J5" s="414"/>
      <c r="L5" s="57"/>
      <c r="M5" s="57"/>
      <c r="N5" s="57"/>
      <c r="O5" s="57"/>
      <c r="P5" s="57"/>
      <c r="Q5" s="57"/>
      <c r="R5" s="57"/>
      <c r="S5" s="57"/>
      <c r="T5" s="57"/>
      <c r="U5" s="57"/>
      <c r="V5" s="70">
        <v>5</v>
      </c>
    </row>
    <row r="6" ht="29.25" customHeight="1">
      <c r="C6" s="391"/>
      <c r="D6" s="461" t="s">
        <v>389</v>
      </c>
      <c r="E6" s="461"/>
      <c r="F6" s="461"/>
      <c r="G6" s="461"/>
      <c r="H6" s="461"/>
      <c r="I6" s="461"/>
      <c r="J6" s="416"/>
      <c r="K6" s="239"/>
      <c r="V6" s="50">
        <v>28</v>
      </c>
    </row>
    <row r="7" ht="18" customHeight="1">
      <c r="C7" s="391"/>
      <c r="D7" s="316" t="str">
        <f>IF(org=0,"Не определено",org)</f>
        <v xml:space="preserve">АО "ДГК"</v>
      </c>
      <c r="E7" s="316"/>
      <c r="F7" s="316"/>
      <c r="G7" s="316"/>
      <c r="H7" s="316"/>
      <c r="I7" s="316"/>
      <c r="J7" s="416"/>
      <c r="K7" s="239"/>
      <c r="V7" s="50">
        <v>17</v>
      </c>
    </row>
    <row r="8" s="65" customFormat="1" ht="5.25" customHeight="1">
      <c r="A8" s="420"/>
      <c r="C8" s="421"/>
      <c r="D8" s="422"/>
      <c r="E8" s="422"/>
      <c r="F8" s="422"/>
      <c r="G8" s="422"/>
      <c r="H8" s="422"/>
      <c r="I8" s="422"/>
      <c r="J8" s="422"/>
      <c r="L8" s="57"/>
      <c r="M8" s="57"/>
      <c r="N8" s="57"/>
      <c r="O8" s="57"/>
      <c r="P8" s="57"/>
      <c r="Q8" s="57"/>
      <c r="R8" s="57"/>
      <c r="S8" s="57"/>
      <c r="T8" s="57"/>
      <c r="U8" s="57"/>
      <c r="V8" s="65">
        <v>5</v>
      </c>
    </row>
    <row r="9" s="65" customFormat="1" ht="5.25" customHeight="1">
      <c r="A9" s="420"/>
      <c r="C9" s="421"/>
      <c r="D9" s="422"/>
      <c r="E9" s="422"/>
      <c r="F9" s="422"/>
      <c r="G9" s="422"/>
      <c r="H9" s="422"/>
      <c r="I9" s="422"/>
      <c r="J9" s="422"/>
      <c r="L9" s="57"/>
      <c r="M9" s="57"/>
      <c r="N9" s="57"/>
      <c r="O9" s="57"/>
      <c r="P9" s="57"/>
      <c r="Q9" s="57"/>
      <c r="R9" s="57"/>
      <c r="S9" s="57"/>
      <c r="T9" s="57"/>
      <c r="U9" s="57"/>
      <c r="V9" s="65">
        <v>5</v>
      </c>
    </row>
    <row r="10" ht="14.65" customHeight="1">
      <c r="C10" s="391"/>
      <c r="D10" s="424" t="s">
        <v>305</v>
      </c>
      <c r="E10" s="425"/>
      <c r="F10" s="425"/>
      <c r="G10" s="425"/>
      <c r="H10" s="425"/>
      <c r="I10" s="425"/>
      <c r="J10" s="246" t="s">
        <v>306</v>
      </c>
      <c r="V10" s="50">
        <v>14</v>
      </c>
    </row>
    <row r="11" ht="27.300000000000001" customHeight="1">
      <c r="C11" s="391"/>
      <c r="D11" s="157" t="s">
        <v>89</v>
      </c>
      <c r="E11" s="246" t="s">
        <v>105</v>
      </c>
      <c r="F11" s="317" t="s">
        <v>89</v>
      </c>
      <c r="G11" s="318"/>
      <c r="H11" s="320" t="s">
        <v>390</v>
      </c>
      <c r="I11" s="320" t="s">
        <v>391</v>
      </c>
      <c r="J11" s="246"/>
      <c r="V11" s="50">
        <v>26</v>
      </c>
    </row>
    <row r="12" ht="14.65" customHeight="1">
      <c r="C12" s="391"/>
      <c r="D12" s="157"/>
      <c r="E12" s="246"/>
      <c r="F12" s="323"/>
      <c r="G12" s="324"/>
      <c r="H12" s="162"/>
      <c r="I12" s="162"/>
      <c r="J12" s="246"/>
      <c r="V12" s="50">
        <v>14</v>
      </c>
    </row>
    <row r="13" s="131" customFormat="1" ht="11.25" hidden="1" customHeight="1">
      <c r="C13" s="435"/>
      <c r="D13" s="436" t="s">
        <v>381</v>
      </c>
      <c r="E13" s="436"/>
      <c r="F13" s="436"/>
      <c r="G13" s="436"/>
      <c r="H13" s="437"/>
      <c r="I13" s="437"/>
      <c r="J13" s="438"/>
      <c r="L13" s="57"/>
      <c r="M13" s="57"/>
      <c r="N13" s="57"/>
      <c r="O13" s="57"/>
      <c r="P13" s="57"/>
      <c r="Q13" s="57"/>
      <c r="R13" s="57"/>
      <c r="S13" s="57"/>
      <c r="T13" s="57"/>
      <c r="U13" s="57"/>
      <c r="V13" s="131">
        <v>0</v>
      </c>
    </row>
    <row r="14" ht="14.65" customHeight="1">
      <c r="A14" s="50"/>
      <c r="C14" s="391"/>
      <c r="D14" s="454" t="s">
        <v>109</v>
      </c>
      <c r="E14" s="455"/>
      <c r="F14" s="456"/>
      <c r="G14" s="218" t="s">
        <v>109</v>
      </c>
      <c r="H14" s="457"/>
      <c r="I14" s="458"/>
      <c r="J14" s="285" t="s">
        <v>392</v>
      </c>
      <c r="K14" s="50"/>
      <c r="R14" s="129" t="s">
        <v>386</v>
      </c>
      <c r="S14" s="129" t="s">
        <v>386</v>
      </c>
      <c r="V14" s="50">
        <v>14</v>
      </c>
    </row>
    <row r="15" ht="14.65" customHeight="1">
      <c r="A15" s="50"/>
      <c r="C15" s="391"/>
      <c r="D15" s="459"/>
      <c r="E15" s="460"/>
      <c r="F15" s="448"/>
      <c r="G15" s="449"/>
      <c r="H15" s="449" t="s">
        <v>388</v>
      </c>
      <c r="I15" s="450"/>
      <c r="J15" s="287"/>
      <c r="K15" s="50"/>
      <c r="R15" s="129"/>
      <c r="S15" s="129"/>
      <c r="V15" s="50">
        <v>14</v>
      </c>
    </row>
    <row r="16" ht="14.65" customHeight="1">
      <c r="A16" s="50"/>
      <c r="C16" s="391"/>
      <c r="D16" s="448"/>
      <c r="E16" s="449" t="s">
        <v>121</v>
      </c>
      <c r="F16" s="450"/>
      <c r="G16" s="450"/>
      <c r="H16" s="451"/>
      <c r="I16" s="451"/>
      <c r="J16" s="289"/>
      <c r="K16" s="50"/>
      <c r="V16" s="50">
        <v>14</v>
      </c>
    </row>
    <row r="17" ht="14.65" customHeight="1">
      <c r="K17" s="50"/>
      <c r="V17" s="50">
        <v>14</v>
      </c>
    </row>
    <row r="18" ht="22.5" hidden="1" customHeight="1">
      <c r="A18" s="56" t="s">
        <v>83</v>
      </c>
      <c r="B18" s="50">
        <v>0</v>
      </c>
      <c r="C18" s="128">
        <v>3</v>
      </c>
      <c r="D18" s="50">
        <v>5</v>
      </c>
      <c r="E18" s="50">
        <v>38</v>
      </c>
      <c r="F18" s="50">
        <v>3</v>
      </c>
      <c r="G18" s="50">
        <v>3</v>
      </c>
      <c r="H18" s="50">
        <v>38</v>
      </c>
      <c r="I18" s="50">
        <v>35</v>
      </c>
      <c r="J18" s="50">
        <v>103</v>
      </c>
      <c r="K18" s="139">
        <v>3</v>
      </c>
      <c r="L18" s="57">
        <v>10</v>
      </c>
      <c r="M18" s="57">
        <v>10</v>
      </c>
      <c r="N18" s="57">
        <v>10</v>
      </c>
      <c r="O18" s="57">
        <v>13</v>
      </c>
      <c r="P18" s="57">
        <v>15</v>
      </c>
      <c r="Q18" s="57">
        <v>16</v>
      </c>
      <c r="R18" s="57">
        <v>10</v>
      </c>
      <c r="S18" s="57">
        <v>10</v>
      </c>
      <c r="T18" s="57">
        <v>10</v>
      </c>
      <c r="U18" s="57">
        <v>10</v>
      </c>
      <c r="V18" s="50">
        <v>23</v>
      </c>
    </row>
  </sheetData>
  <sheetProtection autoFilter="0" deleteColumns="1" deleteRows="1" formatCells="1" formatColumns="0" formatRows="0" insertColumns="1" insertHyperlinks="1" insertRows="1" objects="0" pivotTables="1" scenarios="0" selectLockedCells="0" selectUnlockedCells="0" sheet="1" sort="1"/>
  <mergeCells count="15">
    <mergeCell ref="H1:I1"/>
    <mergeCell ref="D2:D3"/>
    <mergeCell ref="E2:E3"/>
    <mergeCell ref="D6:I6"/>
    <mergeCell ref="D7:I7"/>
    <mergeCell ref="D10:I10"/>
    <mergeCell ref="J10:J12"/>
    <mergeCell ref="D11:D12"/>
    <mergeCell ref="E11:E12"/>
    <mergeCell ref="F11:G12"/>
    <mergeCell ref="H11:H12"/>
    <mergeCell ref="I11:I12"/>
    <mergeCell ref="D14:D15"/>
    <mergeCell ref="E14:E15"/>
    <mergeCell ref="J14:J16"/>
  </mergeCells>
  <dataValidations count="2" disablePrompts="0">
    <dataValidation sqref="E13:G13" type="none" allowBlank="1" error="Допускается ввод только неотрицательных чисел!" errorStyle="stop" errorTitle="Ошибка" imeMode="noControl" operator="between" showDropDown="0" showErrorMessage="1" showInputMessage="0"/>
    <dataValidation sqref="E14 E2" type="none" allowBlank="1" errorStyle="stop" imeMode="noControl" operator="between" prompt="Выберите один или несколько одновременно видов деятельности, выполнив последовательно по одному щелчку на строке с видом деятельности"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3" disablePrompts="0">
        <x14:dataValidation xr:uid="{00D80077-001C-4CBF-97BB-000C006300D3}" type="textLength" allowBlank="1" error="Допускается ввод не более 900 символов!" errorStyle="stop" errorTitle="Ошибка" imeMode="noControl" operator="lessThanOrEqual" showDropDown="0" showErrorMessage="1" showInputMessage="1">
          <x14:formula1>
            <xm:f>900</xm:f>
          </x14:formula1>
          <xm:sqref>H14 H2</xm:sqref>
        </x14:dataValidation>
        <x14:dataValidation xr:uid="{001B0099-0013-448C-856F-004700DE0003}" type="decimal" allowBlank="1" error="Допускается ввод только неотрицательных чисел!" errorStyle="stop" errorTitle="Ошибка" imeMode="noControl" operator="between" showDropDown="0" showErrorMessage="1" showInputMessage="0">
          <x14:formula1>
            <xm:f>0</xm:f>
          </x14:formula1>
          <x14:formula2>
            <xm:f>9.99999999999999E+23</xm:f>
          </x14:formula2>
          <xm:sqref>H13:I13</xm:sqref>
        </x14:dataValidation>
        <x14:dataValidation xr:uid="{005A0038-0042-4CAB-9D62-001C004C00BD}" type="whole" allowBlank="1" error="Допускается ввод только неотрицательных целых чисел!" errorStyle="stop" errorTitle="Ошибка" imeMode="noControl" operator="between" showDropDown="0" showErrorMessage="1" showInputMessage="0">
          <x14:formula1>
            <xm:f>0</xm:f>
          </x14:formula1>
          <x14:formula2>
            <xm:f>9.99999999999999E+23</xm:f>
          </x14:formula2>
          <xm:sqref>I14 I2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Р7-Офис/2025.2.2.832</Application>
  <Company>ФАС России</Company>
  <DocSecurity>0</DocSecurity>
  <HyperlinksChanged>false</HyperlinksChanged>
  <LinksUpToDate>false</LinksUpToDate>
  <ScaleCrop>false</ScaleCrop>
  <SharedDoc>false</SharedDoc>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starovetckaya_av</cp:lastModifiedBy>
  <cp:revision>1</cp:revision>
  <dcterms:created xsi:type="dcterms:W3CDTF">2004-05-21T07:18:45Z</dcterms:created>
  <dcterms:modified xsi:type="dcterms:W3CDTF">2026-07-24T04:44:34Z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itTemplate">
    <vt:bool>true</vt:bool>
  </property>
  <property fmtid="{D5CDD505-2E9C-101B-9397-08002B2CF9AE}" pid="3" name="Version">
    <vt:lpwstr>FAS.JKH.OPEN.INFO.QUARTER.WARM</vt:lpwstr>
  </property>
  <property fmtid="{D5CDD505-2E9C-101B-9397-08002B2CF9AE}" pid="4" name="UserComments">
    <vt:lpwstr/>
  </property>
  <property fmtid="{D5CDD505-2E9C-101B-9397-08002B2CF9AE}" pid="5" name="PeriodLength">
    <vt:lpwstr/>
  </property>
  <property fmtid="{D5CDD505-2E9C-101B-9397-08002B2CF9AE}" pid="6" name="XsltDocFilePath">
    <vt:lpwstr/>
  </property>
  <property fmtid="{D5CDD505-2E9C-101B-9397-08002B2CF9AE}" pid="7" name="XslViewFilePath">
    <vt:lpwstr/>
  </property>
  <property fmtid="{D5CDD505-2E9C-101B-9397-08002B2CF9AE}" pid="8" name="RootDocFilePath">
    <vt:lpwstr/>
  </property>
  <property fmtid="{D5CDD505-2E9C-101B-9397-08002B2CF9AE}" pid="9" name="HtmlTempFilePath">
    <vt:lpwstr/>
  </property>
  <property fmtid="{D5CDD505-2E9C-101B-9397-08002B2CF9AE}" pid="10" name="keywords">
    <vt:lpwstr/>
  </property>
  <property fmtid="{D5CDD505-2E9C-101B-9397-08002B2CF9AE}" pid="11" name="Status">
    <vt:lpwstr>1</vt:lpwstr>
  </property>
  <property fmtid="{D5CDD505-2E9C-101B-9397-08002B2CF9AE}" pid="12" name="CurrentVersion">
    <vt:lpwstr>0.5</vt:lpwstr>
  </property>
  <property fmtid="{D5CDD505-2E9C-101B-9397-08002B2CF9AE}" pid="13" name="XMLTempFilePath">
    <vt:lpwstr/>
  </property>
  <property fmtid="{D5CDD505-2E9C-101B-9397-08002B2CF9AE}" pid="14" name="entityid">
    <vt:lpwstr/>
  </property>
  <property fmtid="{D5CDD505-2E9C-101B-9397-08002B2CF9AE}" pid="15" name="Period">
    <vt:lpwstr/>
  </property>
  <property fmtid="{D5CDD505-2E9C-101B-9397-08002B2CF9AE}" pid="16" name="TemplateOperationMode">
    <vt:i4>2</vt:i4>
  </property>
  <property fmtid="{D5CDD505-2E9C-101B-9397-08002B2CF9AE}" pid="17" name="Periodicity">
    <vt:lpwstr>YEAR</vt:lpwstr>
  </property>
  <property fmtid="{D5CDD505-2E9C-101B-9397-08002B2CF9AE}" pid="18" name="TypePlanning">
    <vt:lpwstr>PLAN</vt:lpwstr>
  </property>
  <property fmtid="{D5CDD505-2E9C-101B-9397-08002B2CF9AE}" pid="19" name="ProtectBook">
    <vt:i4>0</vt:i4>
  </property>
</Properties>
</file>